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codeName="ThisWorkbook" defaultThemeVersion="124226"/>
  <workbookProtection workbookPassword="B262" lockStructure="1"/>
  <bookViews>
    <workbookView xWindow="4500" yWindow="2820" windowWidth="15480" windowHeight="2190" tabRatio="943" firstSheet="20" activeTab="20"/>
  </bookViews>
  <sheets>
    <sheet name="Budget Req 1516" sheetId="77" state="hidden" r:id="rId1"/>
    <sheet name="Budget Req 1617" sheetId="82" state="hidden" r:id="rId2"/>
    <sheet name="Funding Model" sheetId="4" state="hidden" r:id="rId3"/>
    <sheet name="2016-17 Funding Summary" sheetId="61" state="hidden" r:id="rId4"/>
    <sheet name="2016-17 Funding Detail" sheetId="74" state="hidden" r:id="rId5"/>
    <sheet name="Band Calculations 1617" sheetId="78" state="hidden" r:id="rId6"/>
    <sheet name="2016-17 Other Funding" sheetId="81" state="hidden" r:id="rId7"/>
    <sheet name="2015-16 Funding Summary" sheetId="80" state="hidden" r:id="rId8"/>
    <sheet name="2015-16 Funding Detail" sheetId="79" state="hidden" r:id="rId9"/>
    <sheet name="Band Calculations 1516" sheetId="73" state="hidden" r:id="rId10"/>
    <sheet name="2014-15 Funding Detail" sheetId="69" state="hidden" r:id="rId11"/>
    <sheet name="2013-14 Funding (4)" sheetId="68" state="hidden" r:id="rId12"/>
    <sheet name="2012-13 Top-ups" sheetId="51" state="hidden" r:id="rId13"/>
    <sheet name="Band Calculations 1415" sheetId="66" state="hidden" r:id="rId14"/>
    <sheet name="Band Calculations" sheetId="17" state="hidden" r:id="rId15"/>
    <sheet name="2015-16 Other Funding" sheetId="60" state="hidden" r:id="rId16"/>
    <sheet name="Revised Band Returns" sheetId="41" state="hidden" r:id="rId17"/>
    <sheet name="FSM Calculation 1516" sheetId="75" state="hidden" r:id="rId18"/>
    <sheet name="DSG US 1415" sheetId="70" state="hidden" r:id="rId19"/>
    <sheet name="DSG US 1516" sheetId="76" state="hidden" r:id="rId20"/>
    <sheet name="Front Sheet - Please Read First" sheetId="63" r:id="rId21"/>
    <sheet name="ISB Weightings" sheetId="65" r:id="rId22"/>
    <sheet name="Budget Shares" sheetId="58" r:id="rId23"/>
    <sheet name="2017-18 Funding Summary" sheetId="83" state="hidden" r:id="rId24"/>
    <sheet name="2017-18 Funding Detail" sheetId="84" state="hidden" r:id="rId25"/>
    <sheet name="Band Calculations 1718" sheetId="85" state="hidden" r:id="rId26"/>
    <sheet name="2017-18 Other Funding" sheetId="86" state="hidden" r:id="rId27"/>
    <sheet name="FSM Calculation 1718" sheetId="87" state="hidden" r:id="rId28"/>
    <sheet name="Budget Requirement 1718" sheetId="89" state="hidden" r:id="rId29"/>
    <sheet name="Funding Summary" sheetId="90" r:id="rId30"/>
    <sheet name="Funding Detail - Rebase" sheetId="91" state="hidden" r:id="rId31"/>
    <sheet name="Band Calculations - Rebase" sheetId="92" state="hidden" r:id="rId32"/>
    <sheet name="Revised Bands - Rebase" sheetId="93" state="hidden" r:id="rId33"/>
    <sheet name="1819 Funding Detail" sheetId="94" state="hidden" r:id="rId34"/>
    <sheet name="1819 Band Calculations" sheetId="95" state="hidden" r:id="rId35"/>
    <sheet name="1819 Revised Bands" sheetId="96" state="hidden" r:id="rId36"/>
    <sheet name="FSM Calculation 1819" sheetId="100" state="hidden" r:id="rId37"/>
    <sheet name="2018-19 Other Funding" sheetId="101" state="hidden" r:id="rId38"/>
    <sheet name="1819 DSG 1718 Underspend" sheetId="102" state="hidden" r:id="rId39"/>
    <sheet name="1819 Budget Requirement" sheetId="103" state="hidden" r:id="rId40"/>
    <sheet name="1920 Budget Requirement" sheetId="105" state="hidden" r:id="rId41"/>
    <sheet name="1920 Funding Detail" sheetId="104" state="hidden" r:id="rId42"/>
    <sheet name="1920 Band Calculations" sheetId="108" state="hidden" r:id="rId43"/>
    <sheet name="1920 Band Moderations" sheetId="107" state="hidden" r:id="rId44"/>
    <sheet name="1920 Other Funding" sheetId="106" state="hidden" r:id="rId45"/>
    <sheet name="1920 FSM Calculation" sheetId="109" state="hidden" r:id="rId46"/>
    <sheet name="Band Values" sheetId="110" state="hidden" r:id="rId47"/>
    <sheet name="2021 Budget Requirement" sheetId="111" state="hidden" r:id="rId48"/>
    <sheet name="MFG" sheetId="119" r:id="rId49"/>
    <sheet name="2021 Band Calculations" sheetId="113" state="hidden" r:id="rId50"/>
    <sheet name="2021 FSM Calculation" sheetId="114" state="hidden" r:id="rId51"/>
    <sheet name="2021 Other Funding" sheetId="115" state="hidden" r:id="rId52"/>
    <sheet name="2021 Band Moderations" sheetId="116" state="hidden" r:id="rId53"/>
    <sheet name="MFG Tab" sheetId="117" state="hidden" r:id="rId54"/>
    <sheet name="2122 Budget Requirement" sheetId="124" state="hidden" r:id="rId55"/>
    <sheet name="2122 Funding Detail" sheetId="120" state="hidden" r:id="rId56"/>
    <sheet name="2122 Band Calculations" sheetId="121" state="hidden" r:id="rId57"/>
    <sheet name="2021 Funding Detail" sheetId="112" state="hidden" r:id="rId58"/>
    <sheet name="2122 MFG Protection" sheetId="125" state="hidden" r:id="rId59"/>
    <sheet name="202021 MFG Protection" sheetId="118" state="hidden" r:id="rId60"/>
    <sheet name="Group Sizes" sheetId="98" state="hidden" r:id="rId61"/>
    <sheet name="2122 FSM Calculation" sheetId="123" state="hidden" r:id="rId62"/>
    <sheet name="2122 Other Funding" sheetId="122" state="hidden" r:id="rId63"/>
    <sheet name="2122 Band Values" sheetId="127" state="hidden" r:id="rId64"/>
    <sheet name="2122 Teachers Pay Scales" sheetId="128" state="hidden" r:id="rId65"/>
    <sheet name="2122 TA Pay Scales" sheetId="129" state="hidden" r:id="rId66"/>
    <sheet name="2122 GLEA Pay Scales" sheetId="130" state="hidden" r:id="rId67"/>
    <sheet name="2122 Pay &amp; Pension Allocations" sheetId="131" state="hidden" r:id="rId68"/>
    <sheet name="Pay &amp; Pension Workings" sheetId="132" state="hidden" r:id="rId69"/>
    <sheet name="TA Workings" sheetId="133" state="hidden" r:id="rId70"/>
    <sheet name="2122 Band Moderations" sheetId="126" state="hidden" r:id="rId71"/>
    <sheet name="2122 OLEA Placements" sheetId="134" state="hidden" r:id="rId72"/>
  </sheets>
  <externalReferences>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s>
  <definedNames>
    <definedName name="a">[1]Detailed_Output!$A$4:$U$230</definedName>
    <definedName name="AAHel" localSheetId="68">#REF!</definedName>
    <definedName name="AAHel" localSheetId="69">#REF!</definedName>
    <definedName name="AAHel">#REF!</definedName>
    <definedName name="ABSG" localSheetId="68">#REF!</definedName>
    <definedName name="ABSG" localSheetId="69">#REF!</definedName>
    <definedName name="ABSG">#REF!</definedName>
    <definedName name="Acad_months">[2]Academies!$B$29:$B$40</definedName>
    <definedName name="AST" localSheetId="68">#REF!</definedName>
    <definedName name="AST" localSheetId="69">#REF!</definedName>
    <definedName name="AST">#REF!</definedName>
    <definedName name="BasketNo" localSheetId="68">#REF!</definedName>
    <definedName name="BasketNo" localSheetId="69">#REF!</definedName>
    <definedName name="BasketNo">#REF!</definedName>
    <definedName name="BasketUoF_UnAdj" localSheetId="68">#REF!</definedName>
    <definedName name="BasketUoF_UnAdj" localSheetId="69">#REF!</definedName>
    <definedName name="BasketUoF_UnAdj">#REF!</definedName>
    <definedName name="DATA1" localSheetId="68">#REF!</definedName>
    <definedName name="DATA1" localSheetId="69">#REF!</definedName>
    <definedName name="DATA1">#REF!</definedName>
    <definedName name="DATA10" localSheetId="12">#REF!</definedName>
    <definedName name="DATA10" localSheetId="11">#REF!</definedName>
    <definedName name="DATA10" localSheetId="10">#REF!</definedName>
    <definedName name="DATA10" localSheetId="4">#REF!</definedName>
    <definedName name="DATA10" localSheetId="3">#REF!</definedName>
    <definedName name="DATA10" localSheetId="13">#REF!</definedName>
    <definedName name="DATA10" localSheetId="9">#REF!</definedName>
    <definedName name="DATA10" localSheetId="0">#REF!</definedName>
    <definedName name="DATA10" localSheetId="19">#REF!</definedName>
    <definedName name="DATA10" localSheetId="68">#REF!</definedName>
    <definedName name="DATA10" localSheetId="69">#REF!</definedName>
    <definedName name="DATA10">#REF!</definedName>
    <definedName name="DATA11" localSheetId="68">#REF!</definedName>
    <definedName name="DATA11" localSheetId="69">#REF!</definedName>
    <definedName name="DATA11">#REF!</definedName>
    <definedName name="DATA12" localSheetId="68">#REF!</definedName>
    <definedName name="DATA12" localSheetId="69">#REF!</definedName>
    <definedName name="DATA12">#REF!</definedName>
    <definedName name="DATA13" localSheetId="12">#REF!</definedName>
    <definedName name="DATA13" localSheetId="11">#REF!</definedName>
    <definedName name="DATA13" localSheetId="10">#REF!</definedName>
    <definedName name="DATA13" localSheetId="4">#REF!</definedName>
    <definedName name="DATA13" localSheetId="3">#REF!</definedName>
    <definedName name="DATA13" localSheetId="13">#REF!</definedName>
    <definedName name="DATA13" localSheetId="9">#REF!</definedName>
    <definedName name="DATA13" localSheetId="0">#REF!</definedName>
    <definedName name="DATA13" localSheetId="19">#REF!</definedName>
    <definedName name="DATA13" localSheetId="68">#REF!</definedName>
    <definedName name="DATA13" localSheetId="69">#REF!</definedName>
    <definedName name="DATA13">#REF!</definedName>
    <definedName name="DATA14" localSheetId="12">'[3]Staffing Est.'!#REF!</definedName>
    <definedName name="DATA14" localSheetId="11">'[3]Staffing Est.'!#REF!</definedName>
    <definedName name="DATA14" localSheetId="10">'[3]Staffing Est.'!#REF!</definedName>
    <definedName name="DATA14" localSheetId="4">'[3]Staffing Est.'!#REF!</definedName>
    <definedName name="DATA14" localSheetId="3">'[3]Staffing Est.'!#REF!</definedName>
    <definedName name="DATA14" localSheetId="13">'[3]Staffing Est.'!#REF!</definedName>
    <definedName name="DATA14" localSheetId="9">'[3]Staffing Est.'!#REF!</definedName>
    <definedName name="DATA14" localSheetId="0">'[3]Staffing Est.'!#REF!</definedName>
    <definedName name="DATA14" localSheetId="19">'[3]Staffing Est.'!#REF!</definedName>
    <definedName name="DATA14" localSheetId="68">'[3]Staffing Est.'!#REF!</definedName>
    <definedName name="DATA14" localSheetId="69">'[3]Staffing Est.'!#REF!</definedName>
    <definedName name="DATA14">'[3]Staffing Est.'!#REF!</definedName>
    <definedName name="DATA2" localSheetId="68">#REF!</definedName>
    <definedName name="DATA2" localSheetId="69">#REF!</definedName>
    <definedName name="DATA2">#REF!</definedName>
    <definedName name="DATA3" localSheetId="68">#REF!</definedName>
    <definedName name="DATA3" localSheetId="69">#REF!</definedName>
    <definedName name="DATA3">#REF!</definedName>
    <definedName name="DATA4" localSheetId="68">#REF!</definedName>
    <definedName name="DATA4" localSheetId="69">#REF!</definedName>
    <definedName name="DATA4">#REF!</definedName>
    <definedName name="DATA5" localSheetId="68">#REF!</definedName>
    <definedName name="DATA5" localSheetId="69">#REF!</definedName>
    <definedName name="DATA5">#REF!</definedName>
    <definedName name="DATA6" localSheetId="68">#REF!</definedName>
    <definedName name="DATA6" localSheetId="69">#REF!</definedName>
    <definedName name="DATA6">#REF!</definedName>
    <definedName name="DATA7" localSheetId="68">#REF!</definedName>
    <definedName name="DATA7" localSheetId="69">#REF!</definedName>
    <definedName name="DATA7">#REF!</definedName>
    <definedName name="DATA8" localSheetId="68">#REF!</definedName>
    <definedName name="DATA8" localSheetId="69">#REF!</definedName>
    <definedName name="DATA8">#REF!</definedName>
    <definedName name="DATA9" localSheetId="12">#REF!</definedName>
    <definedName name="DATA9" localSheetId="11">#REF!</definedName>
    <definedName name="DATA9" localSheetId="10">#REF!</definedName>
    <definedName name="DATA9" localSheetId="4">#REF!</definedName>
    <definedName name="DATA9" localSheetId="3">#REF!</definedName>
    <definedName name="DATA9" localSheetId="13">#REF!</definedName>
    <definedName name="DATA9" localSheetId="9">#REF!</definedName>
    <definedName name="DATA9" localSheetId="0">#REF!</definedName>
    <definedName name="DATA9" localSheetId="19">#REF!</definedName>
    <definedName name="DATA9" localSheetId="68">#REF!</definedName>
    <definedName name="DATA9" localSheetId="69">#REF!</definedName>
    <definedName name="DATA9">#REF!</definedName>
    <definedName name="DDLIST" localSheetId="68">#REF!</definedName>
    <definedName name="DDLIST" localSheetId="69">#REF!</definedName>
    <definedName name="DDLIST">#REF!</definedName>
    <definedName name="DETAIL" localSheetId="2">#REF!</definedName>
    <definedName name="FSM_uc" localSheetId="68">#REF!</definedName>
    <definedName name="FSM_uc" localSheetId="69">#REF!</definedName>
    <definedName name="FSM_uc">#REF!</definedName>
    <definedName name="FSM_UC_FUTURE" localSheetId="68">#REF!</definedName>
    <definedName name="FSM_UC_FUTURE" localSheetId="69">#REF!</definedName>
    <definedName name="FSM_UC_FUTURE">#REF!</definedName>
    <definedName name="FTEall">[4]FTEall!$B$11:$S$160</definedName>
    <definedName name="gg" localSheetId="11">[5]Section52!#REF!</definedName>
    <definedName name="gg" localSheetId="10">[5]Section52!#REF!</definedName>
    <definedName name="gg" localSheetId="4">[5]Section52!#REF!</definedName>
    <definedName name="gg" localSheetId="9">[5]Section52!#REF!</definedName>
    <definedName name="gg" localSheetId="19">[5]Section52!#REF!</definedName>
    <definedName name="gg" localSheetId="68">[5]Section52!#REF!</definedName>
    <definedName name="gg" localSheetId="69">[5]Section52!#REF!</definedName>
    <definedName name="gg">[5]Section52!#REF!</definedName>
    <definedName name="Gross_S52" localSheetId="68">#REF!</definedName>
    <definedName name="Gross_S52" localSheetId="69">#REF!</definedName>
    <definedName name="Gross_S52">#REF!</definedName>
    <definedName name="Indicator" localSheetId="0">[6]CodeSet!$A$1:$A$2</definedName>
    <definedName name="Indicator">[6]CodeSet!$A$1:$A$2</definedName>
    <definedName name="Indicator2" localSheetId="0">[6]CodeSet!$A$4:$A$6</definedName>
    <definedName name="Indicator2">[6]CodeSet!$A$4:$A$6</definedName>
    <definedName name="LA_Choice">[7]Instructions!$E$20</definedName>
    <definedName name="LEA_Choice">[8]Instructions!$D$6</definedName>
    <definedName name="LEAcount" localSheetId="68">#REF!</definedName>
    <definedName name="LEAcount" localSheetId="69">#REF!</definedName>
    <definedName name="LEAcount">#REF!</definedName>
    <definedName name="LIG">[9]LIG!$A$5:$J$154</definedName>
    <definedName name="ListLAs">'[10]LACSEG All LAs'!$A$4:$A$153</definedName>
    <definedName name="Meals" localSheetId="68">#REF!</definedName>
    <definedName name="Meals" localSheetId="69">#REF!</definedName>
    <definedName name="Meals">#REF!</definedName>
    <definedName name="MealsHel" localSheetId="68">#REF!</definedName>
    <definedName name="MealsHel" localSheetId="69">#REF!</definedName>
    <definedName name="MealsHel">#REF!</definedName>
    <definedName name="Mealsold" localSheetId="12">[5]Section52!#REF!</definedName>
    <definedName name="Mealsold" localSheetId="11">[5]Section52!#REF!</definedName>
    <definedName name="Mealsold" localSheetId="10">[5]Section52!#REF!</definedName>
    <definedName name="Mealsold" localSheetId="4">[5]Section52!#REF!</definedName>
    <definedName name="Mealsold" localSheetId="3">[5]Section52!#REF!</definedName>
    <definedName name="Mealsold" localSheetId="13">[5]Section52!#REF!</definedName>
    <definedName name="Mealsold" localSheetId="9">[5]Section52!#REF!</definedName>
    <definedName name="Mealsold" localSheetId="0">[5]Section52!#REF!</definedName>
    <definedName name="Mealsold" localSheetId="19">[5]Section52!#REF!</definedName>
    <definedName name="Mealsold" localSheetId="68">[5]Section52!#REF!</definedName>
    <definedName name="Mealsold" localSheetId="69">[5]Section52!#REF!</definedName>
    <definedName name="Mealsold">[5]Section52!#REF!</definedName>
    <definedName name="Names_Lookup">'[7]Background data'!$A$6:$Q$155</definedName>
    <definedName name="NI" localSheetId="2">#REF!</definedName>
    <definedName name="OLE_LINK1" localSheetId="21">'ISB Weightings'!#REF!</definedName>
    <definedName name="OLE_LINK3" localSheetId="21">'ISB Weightings'!#REF!</definedName>
    <definedName name="OptionsHel" localSheetId="68">#REF!</definedName>
    <definedName name="OptionsHel" localSheetId="69">#REF!</definedName>
    <definedName name="OptionsHel">#REF!</definedName>
    <definedName name="p" localSheetId="4">#REF!</definedName>
    <definedName name="p" localSheetId="9">#REF!</definedName>
    <definedName name="p" localSheetId="19">#REF!</definedName>
    <definedName name="p" localSheetId="68">#REF!</definedName>
    <definedName name="p" localSheetId="69">#REF!</definedName>
    <definedName name="p">#REF!</definedName>
    <definedName name="Phase_split">[9]all_asc!$A$12:$V$179</definedName>
    <definedName name="_xlnm.Print_Area" localSheetId="12">'2012-13 Top-ups'!$B$1:$Z$46</definedName>
    <definedName name="_xlnm.Print_Area" localSheetId="11">'2013-14 Funding (4)'!$A$1:$AE$27</definedName>
    <definedName name="_xlnm.Print_Area" localSheetId="10">'2014-15 Funding Detail'!$A$1:$AB$26</definedName>
    <definedName name="_xlnm.Print_Area" localSheetId="15">'2015-16 Other Funding'!$A$1:$Y$26</definedName>
    <definedName name="_xlnm.Print_Area" localSheetId="4">'2016-17 Funding Detail'!$A$1:$AJ$26</definedName>
    <definedName name="_xlnm.Print_Area" localSheetId="3">'2016-17 Funding Summary'!$A$1:$I$146</definedName>
    <definedName name="_xlnm.Print_Area" localSheetId="13">'Band Calculations 1415'!$A$1:$U$128</definedName>
    <definedName name="_xlnm.Print_Area" localSheetId="9">'Band Calculations 1516'!$A$1:$AM$130</definedName>
    <definedName name="_xlnm.Print_Area" localSheetId="22">'Budget Shares'!$A$1:$H$115</definedName>
    <definedName name="_xlnm.Print_Area" localSheetId="20">'Front Sheet - Please Read First'!$A$1:$B$34</definedName>
    <definedName name="_xlnm.Print_Area" localSheetId="2">'Funding Model'!$A$1:$J$39</definedName>
    <definedName name="_xlnm.Print_Area" localSheetId="29">'Funding Summary'!$A$1:$H$125</definedName>
    <definedName name="_xlnm.Print_Area" localSheetId="21">'ISB Weightings'!$B$1:$B$182</definedName>
    <definedName name="_xlnm.Print_Area" localSheetId="48">MFG!$A$1:$P$23</definedName>
    <definedName name="_xlnm.Print_Area" localSheetId="16">'Revised Band Returns'!$A$1:$T$56</definedName>
    <definedName name="PTR" localSheetId="68">#REF!</definedName>
    <definedName name="PTR" localSheetId="69">#REF!</definedName>
    <definedName name="PTR">#REF!</definedName>
    <definedName name="PYEAR">'[11]Basic Information'!$G$14</definedName>
    <definedName name="qry_nor_list_a3_and_a4_cohorts_joined" localSheetId="68">#REF!</definedName>
    <definedName name="qry_nor_list_a3_and_a4_cohorts_joined" localSheetId="69">#REF!</definedName>
    <definedName name="qry_nor_list_a3_and_a4_cohorts_joined">#REF!</definedName>
    <definedName name="Query2" localSheetId="68">#REF!</definedName>
    <definedName name="Query2" localSheetId="69">#REF!</definedName>
    <definedName name="Query2">#REF!</definedName>
    <definedName name="Query3" localSheetId="68">#REF!</definedName>
    <definedName name="Query3" localSheetId="69">#REF!</definedName>
    <definedName name="Query3">#REF!</definedName>
    <definedName name="Query4" localSheetId="68">#REF!</definedName>
    <definedName name="Query4" localSheetId="69">#REF!</definedName>
    <definedName name="Query4">#REF!</definedName>
    <definedName name="recoupamount">'[12]Academy Recoupment'!$D$39</definedName>
    <definedName name="SALARY">#N/A</definedName>
    <definedName name="school">'[13]FTE data'!$A$3:$BR$379</definedName>
    <definedName name="schools" localSheetId="68">#REF!</definedName>
    <definedName name="schools" localSheetId="69">#REF!</definedName>
    <definedName name="schools">#REF!</definedName>
    <definedName name="SchTypeList" localSheetId="0">[6]CodeSet!$C$1:$C$10</definedName>
    <definedName name="SchTypeList">[6]CodeSet!$C$1:$C$10</definedName>
    <definedName name="sec_asc" localSheetId="68">#REF!</definedName>
    <definedName name="sec_asc" localSheetId="69">#REF!</definedName>
    <definedName name="sec_asc">#REF!</definedName>
    <definedName name="SEC_S52" localSheetId="68">#REF!</definedName>
    <definedName name="SEC_S52" localSheetId="69">#REF!</definedName>
    <definedName name="SEC_S52">#REF!</definedName>
    <definedName name="SEN" localSheetId="68">#REF!</definedName>
    <definedName name="SEN" localSheetId="69">#REF!</definedName>
    <definedName name="SEN">#REF!</definedName>
    <definedName name="TableOne">'[9]S52 Sec'!$A$11:$CO$161</definedName>
    <definedName name="TableOneGross">'[4]S52 Gross'!$A$11:$CY$161</definedName>
    <definedName name="TableOneSec">'[4]S52 Sec'!$A$11:$CW$161</definedName>
    <definedName name="TEST1" localSheetId="68">#REF!</definedName>
    <definedName name="TEST1" localSheetId="69">#REF!</definedName>
    <definedName name="TEST1">#REF!</definedName>
    <definedName name="TESTHKEY" localSheetId="68">#REF!</definedName>
    <definedName name="TESTHKEY" localSheetId="69">#REF!</definedName>
    <definedName name="TESTHKEY">#REF!</definedName>
    <definedName name="TESTKEYS" localSheetId="68">#REF!</definedName>
    <definedName name="TESTKEYS" localSheetId="69">#REF!</definedName>
    <definedName name="TESTKEYS">#REF!</definedName>
    <definedName name="TESTVKEY" localSheetId="68">#REF!</definedName>
    <definedName name="TESTVKEY" localSheetId="69">#REF!</definedName>
    <definedName name="TESTVKEY">#REF!</definedName>
    <definedName name="UoF_Adj" localSheetId="68">#REF!</definedName>
    <definedName name="UoF_Adj" localSheetId="69">#REF!</definedName>
    <definedName name="UoF_Adj">#REF!</definedName>
    <definedName name="UoFHel" localSheetId="68">#REF!</definedName>
    <definedName name="UoFHel" localSheetId="69">#REF!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45621"/>
</workbook>
</file>

<file path=xl/calcChain.xml><?xml version="1.0" encoding="utf-8"?>
<calcChain xmlns="http://schemas.openxmlformats.org/spreadsheetml/2006/main">
  <c r="D44" i="58" l="1"/>
  <c r="G42" i="90"/>
  <c r="G41" i="90"/>
  <c r="G39" i="90"/>
  <c r="G38" i="90"/>
  <c r="D43" i="90"/>
  <c r="D40" i="90"/>
  <c r="D39" i="90"/>
  <c r="D38" i="90"/>
  <c r="D37" i="90"/>
  <c r="D36" i="90"/>
  <c r="D35" i="90"/>
  <c r="D34" i="90"/>
  <c r="G13" i="124" l="1"/>
  <c r="E13" i="124"/>
  <c r="BL20" i="122"/>
  <c r="BL24" i="122"/>
  <c r="BL23" i="122"/>
  <c r="BL21" i="122"/>
  <c r="BL17" i="122"/>
  <c r="BL14" i="122"/>
  <c r="BL12" i="122"/>
  <c r="BL7" i="122"/>
  <c r="D55" i="90"/>
  <c r="D48" i="90"/>
  <c r="D49" i="90"/>
  <c r="D50" i="90"/>
  <c r="D51" i="90"/>
  <c r="D52" i="90"/>
  <c r="D53" i="90"/>
  <c r="D47" i="90"/>
  <c r="E4" i="120" l="1"/>
  <c r="D28" i="90"/>
  <c r="B28" i="90"/>
  <c r="E51" i="98" l="1"/>
  <c r="N110" i="132" l="1"/>
  <c r="AX26" i="127" l="1"/>
  <c r="AZ26" i="127"/>
  <c r="E153" i="128"/>
  <c r="I153" i="128" s="1"/>
  <c r="M167" i="128"/>
  <c r="I167" i="128"/>
  <c r="P166" i="128"/>
  <c r="R166" i="128" s="1"/>
  <c r="M166" i="128"/>
  <c r="I166" i="128"/>
  <c r="G166" i="128"/>
  <c r="K166" i="128" s="1"/>
  <c r="M165" i="128"/>
  <c r="I165" i="128"/>
  <c r="P164" i="128"/>
  <c r="R164" i="128" s="1"/>
  <c r="M164" i="128"/>
  <c r="I164" i="128"/>
  <c r="G164" i="128"/>
  <c r="K164" i="128" s="1"/>
  <c r="M163" i="128"/>
  <c r="I163" i="128"/>
  <c r="P162" i="128"/>
  <c r="R162" i="128" s="1"/>
  <c r="M162" i="128"/>
  <c r="I162" i="128"/>
  <c r="G162" i="128"/>
  <c r="K162" i="128" s="1"/>
  <c r="M158" i="128"/>
  <c r="I158" i="128"/>
  <c r="P157" i="128"/>
  <c r="R157" i="128" s="1"/>
  <c r="M157" i="128"/>
  <c r="I157" i="128"/>
  <c r="G157" i="128"/>
  <c r="K157" i="128" s="1"/>
  <c r="M156" i="128"/>
  <c r="I156" i="128"/>
  <c r="P154" i="128"/>
  <c r="R154" i="128" s="1"/>
  <c r="M154" i="128"/>
  <c r="I154" i="128"/>
  <c r="G154" i="128"/>
  <c r="K154" i="128" s="1"/>
  <c r="M152" i="128"/>
  <c r="P152" i="128" s="1"/>
  <c r="R152" i="128" s="1"/>
  <c r="I152" i="128"/>
  <c r="M151" i="128"/>
  <c r="I151" i="128"/>
  <c r="M150" i="128"/>
  <c r="P150" i="128" s="1"/>
  <c r="R150" i="128" s="1"/>
  <c r="I150" i="128"/>
  <c r="M149" i="128"/>
  <c r="I149" i="128"/>
  <c r="R158" i="128" l="1"/>
  <c r="R151" i="128"/>
  <c r="R156" i="128"/>
  <c r="G149" i="128"/>
  <c r="K149" i="128" s="1"/>
  <c r="P149" i="128"/>
  <c r="R149" i="128" s="1"/>
  <c r="G151" i="128"/>
  <c r="K151" i="128" s="1"/>
  <c r="P151" i="128"/>
  <c r="M153" i="128"/>
  <c r="G156" i="128"/>
  <c r="K156" i="128" s="1"/>
  <c r="P156" i="128"/>
  <c r="G158" i="128"/>
  <c r="K158" i="128" s="1"/>
  <c r="P158" i="128"/>
  <c r="G163" i="128"/>
  <c r="K163" i="128" s="1"/>
  <c r="P163" i="128"/>
  <c r="R163" i="128" s="1"/>
  <c r="G165" i="128"/>
  <c r="K165" i="128" s="1"/>
  <c r="P165" i="128"/>
  <c r="R165" i="128" s="1"/>
  <c r="G167" i="128"/>
  <c r="K167" i="128" s="1"/>
  <c r="P167" i="128"/>
  <c r="R167" i="128" s="1"/>
  <c r="G150" i="128"/>
  <c r="K150" i="128" s="1"/>
  <c r="G152" i="128"/>
  <c r="K152" i="128" s="1"/>
  <c r="P153" i="128" l="1"/>
  <c r="R153" i="128" s="1"/>
  <c r="G153" i="128"/>
  <c r="K153" i="128" s="1"/>
  <c r="J20" i="124" l="1"/>
  <c r="G106" i="121" l="1"/>
  <c r="BE20" i="127"/>
  <c r="K104" i="133"/>
  <c r="E126" i="128"/>
  <c r="N109" i="132"/>
  <c r="G104" i="132"/>
  <c r="G106" i="132"/>
  <c r="AZ8" i="127"/>
  <c r="AZ11" i="127"/>
  <c r="AZ14" i="127"/>
  <c r="AZ17" i="127"/>
  <c r="AZ22" i="127"/>
  <c r="AZ24" i="127"/>
  <c r="AZ5" i="127"/>
  <c r="BA24" i="127"/>
  <c r="I126" i="128" l="1"/>
  <c r="P140" i="128"/>
  <c r="R140" i="128" s="1"/>
  <c r="M140" i="128"/>
  <c r="I140" i="128"/>
  <c r="G140" i="128"/>
  <c r="K140" i="128" s="1"/>
  <c r="M139" i="128"/>
  <c r="I139" i="128"/>
  <c r="P138" i="128"/>
  <c r="R138" i="128" s="1"/>
  <c r="M138" i="128"/>
  <c r="I138" i="128"/>
  <c r="G138" i="128"/>
  <c r="K138" i="128" s="1"/>
  <c r="M137" i="128"/>
  <c r="I137" i="128"/>
  <c r="P136" i="128"/>
  <c r="M136" i="128"/>
  <c r="R136" i="128" s="1"/>
  <c r="I136" i="128"/>
  <c r="G136" i="128"/>
  <c r="K136" i="128" s="1"/>
  <c r="M135" i="128"/>
  <c r="P135" i="128" s="1"/>
  <c r="R135" i="128" s="1"/>
  <c r="I135" i="128"/>
  <c r="P131" i="128"/>
  <c r="M131" i="128"/>
  <c r="R131" i="128" s="1"/>
  <c r="I131" i="128"/>
  <c r="G131" i="128"/>
  <c r="K131" i="128" s="1"/>
  <c r="M130" i="128"/>
  <c r="I130" i="128"/>
  <c r="P129" i="128"/>
  <c r="M129" i="128"/>
  <c r="R129" i="128" s="1"/>
  <c r="I129" i="128"/>
  <c r="G129" i="128"/>
  <c r="K129" i="128" s="1"/>
  <c r="M127" i="128"/>
  <c r="I127" i="128"/>
  <c r="M125" i="128"/>
  <c r="P125" i="128" s="1"/>
  <c r="I125" i="128"/>
  <c r="M124" i="128"/>
  <c r="P124" i="128" s="1"/>
  <c r="R124" i="128" s="1"/>
  <c r="I124" i="128"/>
  <c r="M123" i="128"/>
  <c r="P123" i="128" s="1"/>
  <c r="I123" i="128"/>
  <c r="M122" i="128"/>
  <c r="P122" i="128" s="1"/>
  <c r="R122" i="128" s="1"/>
  <c r="I122" i="128"/>
  <c r="R123" i="128" l="1"/>
  <c r="R125" i="128"/>
  <c r="G127" i="128"/>
  <c r="K127" i="128" s="1"/>
  <c r="P127" i="128"/>
  <c r="R127" i="128" s="1"/>
  <c r="G130" i="128"/>
  <c r="K130" i="128" s="1"/>
  <c r="P130" i="128"/>
  <c r="R130" i="128" s="1"/>
  <c r="G135" i="128"/>
  <c r="K135" i="128" s="1"/>
  <c r="G137" i="128"/>
  <c r="K137" i="128" s="1"/>
  <c r="P137" i="128"/>
  <c r="R137" i="128" s="1"/>
  <c r="G139" i="128"/>
  <c r="K139" i="128" s="1"/>
  <c r="P139" i="128"/>
  <c r="R139" i="128" s="1"/>
  <c r="G122" i="128"/>
  <c r="K122" i="128" s="1"/>
  <c r="G124" i="128"/>
  <c r="K124" i="128" s="1"/>
  <c r="M126" i="128"/>
  <c r="G123" i="128"/>
  <c r="K123" i="128" s="1"/>
  <c r="G125" i="128"/>
  <c r="K125" i="128" s="1"/>
  <c r="G126" i="128" l="1"/>
  <c r="K126" i="128" s="1"/>
  <c r="P126" i="128"/>
  <c r="R126" i="128" s="1"/>
  <c r="AX14" i="127" l="1"/>
  <c r="AX11" i="127"/>
  <c r="AX22" i="127"/>
  <c r="AX8" i="127"/>
  <c r="AX5" i="127"/>
  <c r="AX17" i="127"/>
  <c r="N102" i="132" l="1"/>
  <c r="G102" i="132" s="1"/>
  <c r="N96" i="132"/>
  <c r="G96" i="132" s="1"/>
  <c r="N98" i="132"/>
  <c r="G98" i="132" s="1"/>
  <c r="N100" i="132"/>
  <c r="G100" i="132" s="1"/>
  <c r="N94" i="132"/>
  <c r="G94" i="132" s="1"/>
  <c r="N92" i="132"/>
  <c r="G92" i="132" s="1"/>
  <c r="P103" i="131" l="1"/>
  <c r="P101" i="131"/>
  <c r="P99" i="131"/>
  <c r="P97" i="131"/>
  <c r="T82" i="131"/>
  <c r="S82" i="131" s="1"/>
  <c r="AV6" i="127" l="1"/>
  <c r="AV7" i="127"/>
  <c r="AV9" i="127"/>
  <c r="AV10" i="127"/>
  <c r="AV12" i="127"/>
  <c r="AV13" i="127"/>
  <c r="AV15" i="127"/>
  <c r="AV16" i="127"/>
  <c r="AV18" i="127"/>
  <c r="AV19" i="127"/>
  <c r="AV20" i="127"/>
  <c r="AV21" i="127"/>
  <c r="AV23" i="127"/>
  <c r="AM6" i="127"/>
  <c r="AM7" i="127"/>
  <c r="AM8" i="127"/>
  <c r="AM9" i="127"/>
  <c r="AM10" i="127"/>
  <c r="AM11" i="127"/>
  <c r="AM12" i="127"/>
  <c r="AM13" i="127"/>
  <c r="AM14" i="127"/>
  <c r="AM15" i="127"/>
  <c r="AM16" i="127"/>
  <c r="AM17" i="127"/>
  <c r="AM5" i="127"/>
  <c r="AN5" i="127"/>
  <c r="E98" i="128"/>
  <c r="M92" i="132"/>
  <c r="C21" i="123" l="1"/>
  <c r="C20" i="123"/>
  <c r="C19" i="123"/>
  <c r="C18" i="123"/>
  <c r="C17" i="123"/>
  <c r="C16" i="123"/>
  <c r="C15" i="123"/>
  <c r="C14" i="123"/>
  <c r="C13" i="123"/>
  <c r="C12" i="123"/>
  <c r="C11" i="123"/>
  <c r="C10" i="123"/>
  <c r="C9" i="123"/>
  <c r="C8" i="123"/>
  <c r="C7" i="123"/>
  <c r="C6" i="123"/>
  <c r="C5" i="123"/>
  <c r="C4" i="123"/>
  <c r="E24" i="134"/>
  <c r="E22" i="134"/>
  <c r="E21" i="134"/>
  <c r="E20" i="134"/>
  <c r="E19" i="134"/>
  <c r="E18" i="134"/>
  <c r="E17" i="134"/>
  <c r="E16" i="134"/>
  <c r="E15" i="134"/>
  <c r="E14" i="134"/>
  <c r="E13" i="134"/>
  <c r="E12" i="134"/>
  <c r="E11" i="134"/>
  <c r="E10" i="134"/>
  <c r="E9" i="134"/>
  <c r="E8" i="134"/>
  <c r="E7" i="134"/>
  <c r="E6" i="134"/>
  <c r="E5" i="134"/>
  <c r="D6" i="133" l="1"/>
  <c r="E6" i="133"/>
  <c r="F6" i="133"/>
  <c r="G6" i="133"/>
  <c r="H6" i="133"/>
  <c r="I6" i="133"/>
  <c r="J6" i="133"/>
  <c r="D7" i="133"/>
  <c r="E7" i="133"/>
  <c r="F7" i="133"/>
  <c r="G7" i="133"/>
  <c r="H7" i="133"/>
  <c r="I7" i="133"/>
  <c r="J7" i="133"/>
  <c r="D8" i="133"/>
  <c r="E8" i="133"/>
  <c r="F8" i="133"/>
  <c r="G8" i="133"/>
  <c r="H8" i="133"/>
  <c r="I8" i="133"/>
  <c r="J8" i="133"/>
  <c r="D9" i="133"/>
  <c r="E9" i="133"/>
  <c r="F9" i="133"/>
  <c r="G9" i="133"/>
  <c r="H9" i="133"/>
  <c r="I9" i="133"/>
  <c r="J9" i="133"/>
  <c r="D10" i="133"/>
  <c r="E10" i="133"/>
  <c r="F10" i="133"/>
  <c r="G10" i="133"/>
  <c r="H10" i="133"/>
  <c r="I10" i="133"/>
  <c r="J10" i="133"/>
  <c r="D11" i="133"/>
  <c r="E11" i="133"/>
  <c r="F11" i="133"/>
  <c r="G11" i="133"/>
  <c r="H11" i="133"/>
  <c r="I11" i="133"/>
  <c r="J11" i="133"/>
  <c r="D12" i="133"/>
  <c r="E12" i="133"/>
  <c r="F12" i="133"/>
  <c r="G12" i="133"/>
  <c r="H12" i="133"/>
  <c r="I12" i="133"/>
  <c r="J12" i="133"/>
  <c r="D13" i="133"/>
  <c r="E13" i="133"/>
  <c r="F13" i="133"/>
  <c r="G13" i="133"/>
  <c r="H13" i="133"/>
  <c r="I13" i="133"/>
  <c r="J13" i="133"/>
  <c r="D14" i="133"/>
  <c r="E14" i="133"/>
  <c r="F14" i="133"/>
  <c r="G14" i="133"/>
  <c r="H14" i="133"/>
  <c r="I14" i="133"/>
  <c r="J14" i="133"/>
  <c r="D15" i="133"/>
  <c r="E15" i="133"/>
  <c r="F15" i="133"/>
  <c r="G15" i="133"/>
  <c r="H15" i="133"/>
  <c r="I15" i="133"/>
  <c r="J15" i="133"/>
  <c r="D16" i="133"/>
  <c r="E16" i="133"/>
  <c r="F16" i="133"/>
  <c r="G16" i="133"/>
  <c r="H16" i="133"/>
  <c r="I16" i="133"/>
  <c r="J16" i="133"/>
  <c r="D17" i="133"/>
  <c r="E17" i="133"/>
  <c r="F17" i="133"/>
  <c r="G17" i="133"/>
  <c r="H17" i="133"/>
  <c r="I17" i="133"/>
  <c r="J17" i="133"/>
  <c r="D18" i="133"/>
  <c r="E18" i="133"/>
  <c r="F18" i="133"/>
  <c r="G18" i="133"/>
  <c r="H18" i="133"/>
  <c r="I18" i="133"/>
  <c r="J18" i="133"/>
  <c r="D19" i="133"/>
  <c r="E19" i="133"/>
  <c r="F19" i="133"/>
  <c r="G19" i="133"/>
  <c r="H19" i="133"/>
  <c r="I19" i="133"/>
  <c r="J19" i="133"/>
  <c r="D20" i="133"/>
  <c r="E20" i="133"/>
  <c r="F20" i="133"/>
  <c r="G20" i="133"/>
  <c r="H20" i="133"/>
  <c r="I20" i="133"/>
  <c r="J20" i="133"/>
  <c r="D21" i="133"/>
  <c r="E21" i="133"/>
  <c r="F21" i="133"/>
  <c r="G21" i="133"/>
  <c r="H21" i="133"/>
  <c r="I21" i="133"/>
  <c r="J21" i="133"/>
  <c r="D22" i="133"/>
  <c r="E22" i="133"/>
  <c r="F22" i="133"/>
  <c r="G22" i="133"/>
  <c r="H22" i="133"/>
  <c r="I22" i="133"/>
  <c r="J22" i="133"/>
  <c r="D23" i="133"/>
  <c r="E23" i="133"/>
  <c r="F23" i="133"/>
  <c r="G23" i="133"/>
  <c r="H23" i="133"/>
  <c r="I23" i="133"/>
  <c r="J23" i="133"/>
  <c r="D28" i="133"/>
  <c r="E28" i="133"/>
  <c r="F28" i="133"/>
  <c r="G28" i="133"/>
  <c r="H28" i="133"/>
  <c r="I28" i="133"/>
  <c r="J28" i="133"/>
  <c r="D29" i="133"/>
  <c r="E29" i="133"/>
  <c r="F29" i="133"/>
  <c r="G29" i="133"/>
  <c r="H29" i="133"/>
  <c r="I29" i="133"/>
  <c r="J29" i="133"/>
  <c r="D30" i="133"/>
  <c r="E30" i="133"/>
  <c r="F30" i="133"/>
  <c r="G30" i="133"/>
  <c r="H30" i="133"/>
  <c r="I30" i="133"/>
  <c r="J30" i="133"/>
  <c r="D31" i="133"/>
  <c r="E31" i="133"/>
  <c r="F31" i="133"/>
  <c r="G31" i="133"/>
  <c r="H31" i="133"/>
  <c r="I31" i="133"/>
  <c r="J31" i="133"/>
  <c r="D32" i="133"/>
  <c r="E32" i="133"/>
  <c r="F32" i="133"/>
  <c r="G32" i="133"/>
  <c r="H32" i="133"/>
  <c r="I32" i="133"/>
  <c r="J32" i="133"/>
  <c r="D33" i="133"/>
  <c r="E33" i="133"/>
  <c r="F33" i="133"/>
  <c r="G33" i="133"/>
  <c r="H33" i="133"/>
  <c r="I33" i="133"/>
  <c r="J33" i="133"/>
  <c r="D34" i="133"/>
  <c r="E34" i="133"/>
  <c r="F34" i="133"/>
  <c r="G34" i="133"/>
  <c r="H34" i="133"/>
  <c r="I34" i="133"/>
  <c r="J34" i="133"/>
  <c r="D35" i="133"/>
  <c r="E35" i="133"/>
  <c r="F35" i="133"/>
  <c r="G35" i="133"/>
  <c r="H35" i="133"/>
  <c r="I35" i="133"/>
  <c r="J35" i="133"/>
  <c r="D36" i="133"/>
  <c r="E36" i="133"/>
  <c r="F36" i="133"/>
  <c r="G36" i="133"/>
  <c r="H36" i="133"/>
  <c r="I36" i="133"/>
  <c r="J36" i="133"/>
  <c r="D37" i="133"/>
  <c r="E37" i="133"/>
  <c r="F37" i="133"/>
  <c r="G37" i="133"/>
  <c r="H37" i="133"/>
  <c r="I37" i="133"/>
  <c r="J37" i="133"/>
  <c r="D38" i="133"/>
  <c r="E38" i="133"/>
  <c r="F38" i="133"/>
  <c r="G38" i="133"/>
  <c r="H38" i="133"/>
  <c r="I38" i="133"/>
  <c r="J38" i="133"/>
  <c r="D39" i="133"/>
  <c r="E39" i="133"/>
  <c r="F39" i="133"/>
  <c r="G39" i="133"/>
  <c r="H39" i="133"/>
  <c r="I39" i="133"/>
  <c r="J39" i="133"/>
  <c r="D40" i="133"/>
  <c r="E40" i="133"/>
  <c r="F40" i="133"/>
  <c r="G40" i="133"/>
  <c r="H40" i="133"/>
  <c r="I40" i="133"/>
  <c r="J40" i="133"/>
  <c r="D41" i="133"/>
  <c r="E41" i="133"/>
  <c r="F41" i="133"/>
  <c r="G41" i="133"/>
  <c r="H41" i="133"/>
  <c r="I41" i="133"/>
  <c r="J41" i="133"/>
  <c r="D42" i="133"/>
  <c r="E42" i="133"/>
  <c r="F42" i="133"/>
  <c r="G42" i="133"/>
  <c r="H42" i="133"/>
  <c r="I42" i="133"/>
  <c r="J42" i="133"/>
  <c r="D43" i="133"/>
  <c r="E43" i="133"/>
  <c r="F43" i="133"/>
  <c r="G43" i="133"/>
  <c r="H43" i="133"/>
  <c r="I43" i="133"/>
  <c r="J43" i="133"/>
  <c r="D44" i="133"/>
  <c r="E44" i="133"/>
  <c r="F44" i="133"/>
  <c r="G44" i="133"/>
  <c r="H44" i="133"/>
  <c r="I44" i="133"/>
  <c r="J44" i="133"/>
  <c r="D45" i="133"/>
  <c r="E45" i="133"/>
  <c r="F45" i="133"/>
  <c r="G45" i="133"/>
  <c r="H45" i="133"/>
  <c r="I45" i="133"/>
  <c r="J45" i="133"/>
  <c r="D50" i="133"/>
  <c r="E50" i="133"/>
  <c r="F50" i="133"/>
  <c r="G50" i="133"/>
  <c r="H50" i="133"/>
  <c r="I50" i="133"/>
  <c r="J50" i="133"/>
  <c r="D51" i="133"/>
  <c r="E51" i="133"/>
  <c r="F51" i="133"/>
  <c r="G51" i="133"/>
  <c r="H51" i="133"/>
  <c r="I51" i="133"/>
  <c r="J51" i="133"/>
  <c r="D52" i="133"/>
  <c r="E52" i="133"/>
  <c r="F52" i="133"/>
  <c r="G52" i="133"/>
  <c r="H52" i="133"/>
  <c r="I52" i="133"/>
  <c r="J52" i="133"/>
  <c r="D53" i="133"/>
  <c r="E53" i="133"/>
  <c r="F53" i="133"/>
  <c r="G53" i="133"/>
  <c r="H53" i="133"/>
  <c r="I53" i="133"/>
  <c r="J53" i="133"/>
  <c r="D54" i="133"/>
  <c r="E54" i="133"/>
  <c r="F54" i="133"/>
  <c r="G54" i="133"/>
  <c r="H54" i="133"/>
  <c r="I54" i="133"/>
  <c r="J54" i="133"/>
  <c r="D55" i="133"/>
  <c r="E55" i="133"/>
  <c r="F55" i="133"/>
  <c r="G55" i="133"/>
  <c r="H55" i="133"/>
  <c r="I55" i="133"/>
  <c r="J55" i="133"/>
  <c r="D56" i="133"/>
  <c r="E56" i="133"/>
  <c r="F56" i="133"/>
  <c r="G56" i="133"/>
  <c r="H56" i="133"/>
  <c r="I56" i="133"/>
  <c r="J56" i="133"/>
  <c r="D57" i="133"/>
  <c r="E57" i="133"/>
  <c r="F57" i="133"/>
  <c r="G57" i="133"/>
  <c r="H57" i="133"/>
  <c r="I57" i="133"/>
  <c r="J57" i="133"/>
  <c r="D58" i="133"/>
  <c r="E58" i="133"/>
  <c r="F58" i="133"/>
  <c r="G58" i="133"/>
  <c r="H58" i="133"/>
  <c r="I58" i="133"/>
  <c r="J58" i="133"/>
  <c r="D59" i="133"/>
  <c r="E59" i="133"/>
  <c r="F59" i="133"/>
  <c r="G59" i="133"/>
  <c r="H59" i="133"/>
  <c r="I59" i="133"/>
  <c r="J59" i="133"/>
  <c r="D60" i="133"/>
  <c r="E60" i="133"/>
  <c r="F60" i="133"/>
  <c r="G60" i="133"/>
  <c r="H60" i="133"/>
  <c r="I60" i="133"/>
  <c r="J60" i="133"/>
  <c r="D61" i="133"/>
  <c r="E61" i="133"/>
  <c r="F61" i="133"/>
  <c r="G61" i="133"/>
  <c r="H61" i="133"/>
  <c r="I61" i="133"/>
  <c r="J61" i="133"/>
  <c r="D62" i="133"/>
  <c r="E62" i="133"/>
  <c r="F62" i="133"/>
  <c r="G62" i="133"/>
  <c r="H62" i="133"/>
  <c r="I62" i="133"/>
  <c r="J62" i="133"/>
  <c r="D63" i="133"/>
  <c r="E63" i="133"/>
  <c r="F63" i="133"/>
  <c r="G63" i="133"/>
  <c r="H63" i="133"/>
  <c r="I63" i="133"/>
  <c r="J63" i="133"/>
  <c r="D64" i="133"/>
  <c r="E64" i="133"/>
  <c r="F64" i="133"/>
  <c r="G64" i="133"/>
  <c r="H64" i="133"/>
  <c r="I64" i="133"/>
  <c r="J64" i="133"/>
  <c r="D65" i="133"/>
  <c r="E65" i="133"/>
  <c r="F65" i="133"/>
  <c r="G65" i="133"/>
  <c r="H65" i="133"/>
  <c r="I65" i="133"/>
  <c r="J65" i="133"/>
  <c r="D66" i="133"/>
  <c r="E66" i="133"/>
  <c r="F66" i="133"/>
  <c r="G66" i="133"/>
  <c r="H66" i="133"/>
  <c r="I66" i="133"/>
  <c r="J66" i="133"/>
  <c r="D67" i="133"/>
  <c r="E67" i="133"/>
  <c r="F67" i="133"/>
  <c r="G67" i="133"/>
  <c r="H67" i="133"/>
  <c r="I67" i="133"/>
  <c r="J67" i="133"/>
  <c r="D72" i="133"/>
  <c r="E72" i="133"/>
  <c r="F72" i="133"/>
  <c r="G72" i="133"/>
  <c r="H72" i="133"/>
  <c r="I72" i="133"/>
  <c r="J72" i="133"/>
  <c r="D73" i="133"/>
  <c r="E73" i="133"/>
  <c r="F73" i="133"/>
  <c r="G73" i="133"/>
  <c r="H73" i="133"/>
  <c r="I73" i="133"/>
  <c r="J73" i="133"/>
  <c r="D74" i="133"/>
  <c r="E74" i="133"/>
  <c r="F74" i="133"/>
  <c r="G74" i="133"/>
  <c r="H74" i="133"/>
  <c r="I74" i="133"/>
  <c r="J74" i="133"/>
  <c r="D75" i="133"/>
  <c r="E75" i="133"/>
  <c r="F75" i="133"/>
  <c r="G75" i="133"/>
  <c r="H75" i="133"/>
  <c r="I75" i="133"/>
  <c r="J75" i="133"/>
  <c r="D76" i="133"/>
  <c r="E76" i="133"/>
  <c r="F76" i="133"/>
  <c r="G76" i="133"/>
  <c r="H76" i="133"/>
  <c r="I76" i="133"/>
  <c r="J76" i="133"/>
  <c r="D77" i="133"/>
  <c r="E77" i="133"/>
  <c r="F77" i="133"/>
  <c r="G77" i="133"/>
  <c r="H77" i="133"/>
  <c r="I77" i="133"/>
  <c r="J77" i="133"/>
  <c r="D78" i="133"/>
  <c r="E78" i="133"/>
  <c r="F78" i="133"/>
  <c r="G78" i="133"/>
  <c r="H78" i="133"/>
  <c r="I78" i="133"/>
  <c r="J78" i="133"/>
  <c r="D79" i="133"/>
  <c r="E79" i="133"/>
  <c r="F79" i="133"/>
  <c r="G79" i="133"/>
  <c r="H79" i="133"/>
  <c r="I79" i="133"/>
  <c r="J79" i="133"/>
  <c r="D80" i="133"/>
  <c r="E80" i="133"/>
  <c r="F80" i="133"/>
  <c r="G80" i="133"/>
  <c r="H80" i="133"/>
  <c r="I80" i="133"/>
  <c r="J80" i="133"/>
  <c r="D81" i="133"/>
  <c r="E81" i="133"/>
  <c r="F81" i="133"/>
  <c r="G81" i="133"/>
  <c r="H81" i="133"/>
  <c r="I81" i="133"/>
  <c r="J81" i="133"/>
  <c r="D82" i="133"/>
  <c r="E82" i="133"/>
  <c r="F82" i="133"/>
  <c r="G82" i="133"/>
  <c r="H82" i="133"/>
  <c r="I82" i="133"/>
  <c r="J82" i="133"/>
  <c r="D83" i="133"/>
  <c r="E83" i="133"/>
  <c r="F83" i="133"/>
  <c r="G83" i="133"/>
  <c r="H83" i="133"/>
  <c r="I83" i="133"/>
  <c r="J83" i="133"/>
  <c r="D84" i="133"/>
  <c r="E84" i="133"/>
  <c r="F84" i="133"/>
  <c r="G84" i="133"/>
  <c r="H84" i="133"/>
  <c r="I84" i="133"/>
  <c r="J84" i="133"/>
  <c r="D85" i="133"/>
  <c r="E85" i="133"/>
  <c r="F85" i="133"/>
  <c r="G85" i="133"/>
  <c r="H85" i="133"/>
  <c r="I85" i="133"/>
  <c r="J85" i="133"/>
  <c r="D86" i="133"/>
  <c r="E86" i="133"/>
  <c r="F86" i="133"/>
  <c r="G86" i="133"/>
  <c r="H86" i="133"/>
  <c r="I86" i="133"/>
  <c r="J86" i="133"/>
  <c r="D87" i="133"/>
  <c r="E87" i="133"/>
  <c r="F87" i="133"/>
  <c r="G87" i="133"/>
  <c r="H87" i="133"/>
  <c r="I87" i="133"/>
  <c r="J87" i="133"/>
  <c r="D88" i="133"/>
  <c r="E88" i="133"/>
  <c r="F88" i="133"/>
  <c r="G88" i="133"/>
  <c r="H88" i="133"/>
  <c r="I88" i="133"/>
  <c r="J88" i="133"/>
  <c r="D89" i="133"/>
  <c r="E89" i="133"/>
  <c r="F89" i="133"/>
  <c r="G89" i="133"/>
  <c r="H89" i="133"/>
  <c r="I89" i="133"/>
  <c r="J89" i="133"/>
  <c r="D6" i="132"/>
  <c r="E6" i="132"/>
  <c r="F6" i="132"/>
  <c r="G6" i="132"/>
  <c r="H6" i="132"/>
  <c r="I6" i="132"/>
  <c r="J6" i="132"/>
  <c r="D7" i="132"/>
  <c r="E7" i="132"/>
  <c r="F7" i="132"/>
  <c r="G7" i="132"/>
  <c r="H7" i="132"/>
  <c r="I7" i="132"/>
  <c r="J7" i="132"/>
  <c r="D8" i="132"/>
  <c r="E8" i="132"/>
  <c r="F8" i="132"/>
  <c r="G8" i="132"/>
  <c r="H8" i="132"/>
  <c r="I8" i="132"/>
  <c r="J8" i="132"/>
  <c r="D9" i="132"/>
  <c r="E9" i="132"/>
  <c r="F9" i="132"/>
  <c r="G9" i="132"/>
  <c r="H9" i="132"/>
  <c r="I9" i="132"/>
  <c r="J9" i="132"/>
  <c r="D10" i="132"/>
  <c r="E10" i="132"/>
  <c r="F10" i="132"/>
  <c r="G10" i="132"/>
  <c r="H10" i="132"/>
  <c r="I10" i="132"/>
  <c r="J10" i="132"/>
  <c r="D11" i="132"/>
  <c r="E11" i="132"/>
  <c r="F11" i="132"/>
  <c r="G11" i="132"/>
  <c r="H11" i="132"/>
  <c r="I11" i="132"/>
  <c r="J11" i="132"/>
  <c r="D12" i="132"/>
  <c r="E12" i="132"/>
  <c r="F12" i="132"/>
  <c r="G12" i="132"/>
  <c r="H12" i="132"/>
  <c r="I12" i="132"/>
  <c r="J12" i="132"/>
  <c r="D13" i="132"/>
  <c r="E13" i="132"/>
  <c r="F13" i="132"/>
  <c r="G13" i="132"/>
  <c r="H13" i="132"/>
  <c r="I13" i="132"/>
  <c r="J13" i="132"/>
  <c r="D14" i="132"/>
  <c r="E14" i="132"/>
  <c r="F14" i="132"/>
  <c r="G14" i="132"/>
  <c r="H14" i="132"/>
  <c r="I14" i="132"/>
  <c r="J14" i="132"/>
  <c r="D15" i="132"/>
  <c r="E15" i="132"/>
  <c r="F15" i="132"/>
  <c r="G15" i="132"/>
  <c r="H15" i="132"/>
  <c r="I15" i="132"/>
  <c r="J15" i="132"/>
  <c r="D16" i="132"/>
  <c r="E16" i="132"/>
  <c r="F16" i="132"/>
  <c r="G16" i="132"/>
  <c r="H16" i="132"/>
  <c r="I16" i="132"/>
  <c r="J16" i="132"/>
  <c r="D17" i="132"/>
  <c r="E17" i="132"/>
  <c r="F17" i="132"/>
  <c r="G17" i="132"/>
  <c r="H17" i="132"/>
  <c r="I17" i="132"/>
  <c r="J17" i="132"/>
  <c r="D18" i="132"/>
  <c r="E18" i="132"/>
  <c r="F18" i="132"/>
  <c r="G18" i="132"/>
  <c r="H18" i="132"/>
  <c r="I18" i="132"/>
  <c r="J18" i="132"/>
  <c r="D19" i="132"/>
  <c r="E19" i="132"/>
  <c r="F19" i="132"/>
  <c r="G19" i="132"/>
  <c r="H19" i="132"/>
  <c r="I19" i="132"/>
  <c r="J19" i="132"/>
  <c r="D20" i="132"/>
  <c r="E20" i="132"/>
  <c r="F20" i="132"/>
  <c r="G20" i="132"/>
  <c r="H20" i="132"/>
  <c r="I20" i="132"/>
  <c r="J20" i="132"/>
  <c r="D21" i="132"/>
  <c r="E21" i="132"/>
  <c r="F21" i="132"/>
  <c r="G21" i="132"/>
  <c r="H21" i="132"/>
  <c r="I21" i="132"/>
  <c r="J21" i="132"/>
  <c r="D22" i="132"/>
  <c r="E22" i="132"/>
  <c r="F22" i="132"/>
  <c r="G22" i="132"/>
  <c r="H22" i="132"/>
  <c r="I22" i="132"/>
  <c r="J22" i="132"/>
  <c r="D23" i="132"/>
  <c r="E23" i="132"/>
  <c r="F23" i="132"/>
  <c r="G23" i="132"/>
  <c r="H23" i="132"/>
  <c r="I23" i="132"/>
  <c r="J23" i="132"/>
  <c r="D28" i="132"/>
  <c r="E28" i="132"/>
  <c r="F28" i="132"/>
  <c r="G28" i="132"/>
  <c r="H28" i="132"/>
  <c r="I28" i="132"/>
  <c r="J28" i="132"/>
  <c r="D29" i="132"/>
  <c r="E29" i="132"/>
  <c r="F29" i="132"/>
  <c r="G29" i="132"/>
  <c r="H29" i="132"/>
  <c r="I29" i="132"/>
  <c r="J29" i="132"/>
  <c r="D30" i="132"/>
  <c r="E30" i="132"/>
  <c r="F30" i="132"/>
  <c r="G30" i="132"/>
  <c r="H30" i="132"/>
  <c r="I30" i="132"/>
  <c r="J30" i="132"/>
  <c r="D31" i="132"/>
  <c r="E31" i="132"/>
  <c r="F31" i="132"/>
  <c r="G31" i="132"/>
  <c r="H31" i="132"/>
  <c r="I31" i="132"/>
  <c r="J31" i="132"/>
  <c r="D32" i="132"/>
  <c r="E32" i="132"/>
  <c r="F32" i="132"/>
  <c r="G32" i="132"/>
  <c r="H32" i="132"/>
  <c r="I32" i="132"/>
  <c r="J32" i="132"/>
  <c r="D33" i="132"/>
  <c r="E33" i="132"/>
  <c r="F33" i="132"/>
  <c r="G33" i="132"/>
  <c r="H33" i="132"/>
  <c r="I33" i="132"/>
  <c r="J33" i="132"/>
  <c r="D34" i="132"/>
  <c r="E34" i="132"/>
  <c r="F34" i="132"/>
  <c r="G34" i="132"/>
  <c r="H34" i="132"/>
  <c r="I34" i="132"/>
  <c r="J34" i="132"/>
  <c r="D35" i="132"/>
  <c r="E35" i="132"/>
  <c r="F35" i="132"/>
  <c r="G35" i="132"/>
  <c r="H35" i="132"/>
  <c r="I35" i="132"/>
  <c r="J35" i="132"/>
  <c r="D36" i="132"/>
  <c r="E36" i="132"/>
  <c r="F36" i="132"/>
  <c r="G36" i="132"/>
  <c r="H36" i="132"/>
  <c r="I36" i="132"/>
  <c r="J36" i="132"/>
  <c r="D37" i="132"/>
  <c r="E37" i="132"/>
  <c r="F37" i="132"/>
  <c r="G37" i="132"/>
  <c r="H37" i="132"/>
  <c r="I37" i="132"/>
  <c r="J37" i="132"/>
  <c r="D38" i="132"/>
  <c r="E38" i="132"/>
  <c r="F38" i="132"/>
  <c r="G38" i="132"/>
  <c r="H38" i="132"/>
  <c r="I38" i="132"/>
  <c r="J38" i="132"/>
  <c r="D39" i="132"/>
  <c r="E39" i="132"/>
  <c r="F39" i="132"/>
  <c r="G39" i="132"/>
  <c r="H39" i="132"/>
  <c r="I39" i="132"/>
  <c r="J39" i="132"/>
  <c r="D40" i="132"/>
  <c r="E40" i="132"/>
  <c r="F40" i="132"/>
  <c r="G40" i="132"/>
  <c r="H40" i="132"/>
  <c r="I40" i="132"/>
  <c r="J40" i="132"/>
  <c r="D41" i="132"/>
  <c r="E41" i="132"/>
  <c r="F41" i="132"/>
  <c r="G41" i="132"/>
  <c r="H41" i="132"/>
  <c r="I41" i="132"/>
  <c r="J41" i="132"/>
  <c r="D42" i="132"/>
  <c r="E42" i="132"/>
  <c r="F42" i="132"/>
  <c r="G42" i="132"/>
  <c r="H42" i="132"/>
  <c r="I42" i="132"/>
  <c r="J42" i="132"/>
  <c r="D43" i="132"/>
  <c r="E43" i="132"/>
  <c r="F43" i="132"/>
  <c r="G43" i="132"/>
  <c r="H43" i="132"/>
  <c r="I43" i="132"/>
  <c r="J43" i="132"/>
  <c r="D44" i="132"/>
  <c r="E44" i="132"/>
  <c r="F44" i="132"/>
  <c r="G44" i="132"/>
  <c r="H44" i="132"/>
  <c r="I44" i="132"/>
  <c r="J44" i="132"/>
  <c r="D45" i="132"/>
  <c r="E45" i="132"/>
  <c r="F45" i="132"/>
  <c r="G45" i="132"/>
  <c r="H45" i="132"/>
  <c r="I45" i="132"/>
  <c r="J45" i="132"/>
  <c r="D50" i="132"/>
  <c r="E50" i="132"/>
  <c r="F50" i="132"/>
  <c r="G50" i="132"/>
  <c r="H50" i="132"/>
  <c r="I50" i="132"/>
  <c r="J50" i="132"/>
  <c r="D51" i="132"/>
  <c r="E51" i="132"/>
  <c r="F51" i="132"/>
  <c r="G51" i="132"/>
  <c r="H51" i="132"/>
  <c r="I51" i="132"/>
  <c r="J51" i="132"/>
  <c r="D52" i="132"/>
  <c r="E52" i="132"/>
  <c r="F52" i="132"/>
  <c r="G52" i="132"/>
  <c r="H52" i="132"/>
  <c r="I52" i="132"/>
  <c r="J52" i="132"/>
  <c r="D53" i="132"/>
  <c r="E53" i="132"/>
  <c r="F53" i="132"/>
  <c r="G53" i="132"/>
  <c r="H53" i="132"/>
  <c r="I53" i="132"/>
  <c r="J53" i="132"/>
  <c r="D54" i="132"/>
  <c r="E54" i="132"/>
  <c r="F54" i="132"/>
  <c r="G54" i="132"/>
  <c r="H54" i="132"/>
  <c r="I54" i="132"/>
  <c r="J54" i="132"/>
  <c r="D55" i="132"/>
  <c r="E55" i="132"/>
  <c r="F55" i="132"/>
  <c r="G55" i="132"/>
  <c r="H55" i="132"/>
  <c r="I55" i="132"/>
  <c r="J55" i="132"/>
  <c r="D56" i="132"/>
  <c r="E56" i="132"/>
  <c r="F56" i="132"/>
  <c r="G56" i="132"/>
  <c r="H56" i="132"/>
  <c r="I56" i="132"/>
  <c r="J56" i="132"/>
  <c r="D57" i="132"/>
  <c r="E57" i="132"/>
  <c r="F57" i="132"/>
  <c r="G57" i="132"/>
  <c r="H57" i="132"/>
  <c r="I57" i="132"/>
  <c r="J57" i="132"/>
  <c r="D58" i="132"/>
  <c r="E58" i="132"/>
  <c r="F58" i="132"/>
  <c r="G58" i="132"/>
  <c r="H58" i="132"/>
  <c r="I58" i="132"/>
  <c r="J58" i="132"/>
  <c r="D59" i="132"/>
  <c r="E59" i="132"/>
  <c r="F59" i="132"/>
  <c r="G59" i="132"/>
  <c r="H59" i="132"/>
  <c r="I59" i="132"/>
  <c r="J59" i="132"/>
  <c r="D60" i="132"/>
  <c r="E60" i="132"/>
  <c r="F60" i="132"/>
  <c r="G60" i="132"/>
  <c r="H60" i="132"/>
  <c r="I60" i="132"/>
  <c r="J60" i="132"/>
  <c r="D61" i="132"/>
  <c r="E61" i="132"/>
  <c r="F61" i="132"/>
  <c r="G61" i="132"/>
  <c r="H61" i="132"/>
  <c r="I61" i="132"/>
  <c r="J61" i="132"/>
  <c r="D62" i="132"/>
  <c r="E62" i="132"/>
  <c r="F62" i="132"/>
  <c r="G62" i="132"/>
  <c r="H62" i="132"/>
  <c r="I62" i="132"/>
  <c r="J62" i="132"/>
  <c r="D63" i="132"/>
  <c r="E63" i="132"/>
  <c r="F63" i="132"/>
  <c r="G63" i="132"/>
  <c r="H63" i="132"/>
  <c r="I63" i="132"/>
  <c r="J63" i="132"/>
  <c r="D64" i="132"/>
  <c r="E64" i="132"/>
  <c r="F64" i="132"/>
  <c r="G64" i="132"/>
  <c r="H64" i="132"/>
  <c r="I64" i="132"/>
  <c r="J64" i="132"/>
  <c r="D65" i="132"/>
  <c r="E65" i="132"/>
  <c r="F65" i="132"/>
  <c r="G65" i="132"/>
  <c r="H65" i="132"/>
  <c r="I65" i="132"/>
  <c r="J65" i="132"/>
  <c r="D66" i="132"/>
  <c r="E66" i="132"/>
  <c r="F66" i="132"/>
  <c r="G66" i="132"/>
  <c r="H66" i="132"/>
  <c r="I66" i="132"/>
  <c r="J66" i="132"/>
  <c r="D67" i="132"/>
  <c r="E67" i="132"/>
  <c r="F67" i="132"/>
  <c r="G67" i="132"/>
  <c r="H67" i="132"/>
  <c r="I67" i="132"/>
  <c r="J67" i="132"/>
  <c r="D72" i="132"/>
  <c r="E72" i="132"/>
  <c r="F72" i="132"/>
  <c r="G72" i="132"/>
  <c r="H72" i="132"/>
  <c r="I72" i="132"/>
  <c r="J72" i="132"/>
  <c r="D73" i="132"/>
  <c r="E73" i="132"/>
  <c r="F73" i="132"/>
  <c r="G73" i="132"/>
  <c r="H73" i="132"/>
  <c r="I73" i="132"/>
  <c r="J73" i="132"/>
  <c r="D74" i="132"/>
  <c r="E74" i="132"/>
  <c r="F74" i="132"/>
  <c r="G74" i="132"/>
  <c r="H74" i="132"/>
  <c r="I74" i="132"/>
  <c r="J74" i="132"/>
  <c r="D75" i="132"/>
  <c r="E75" i="132"/>
  <c r="F75" i="132"/>
  <c r="G75" i="132"/>
  <c r="H75" i="132"/>
  <c r="I75" i="132"/>
  <c r="J75" i="132"/>
  <c r="D76" i="132"/>
  <c r="E76" i="132"/>
  <c r="F76" i="132"/>
  <c r="G76" i="132"/>
  <c r="H76" i="132"/>
  <c r="I76" i="132"/>
  <c r="J76" i="132"/>
  <c r="D77" i="132"/>
  <c r="E77" i="132"/>
  <c r="F77" i="132"/>
  <c r="G77" i="132"/>
  <c r="H77" i="132"/>
  <c r="I77" i="132"/>
  <c r="J77" i="132"/>
  <c r="D78" i="132"/>
  <c r="E78" i="132"/>
  <c r="F78" i="132"/>
  <c r="G78" i="132"/>
  <c r="H78" i="132"/>
  <c r="I78" i="132"/>
  <c r="J78" i="132"/>
  <c r="D79" i="132"/>
  <c r="E79" i="132"/>
  <c r="F79" i="132"/>
  <c r="G79" i="132"/>
  <c r="H79" i="132"/>
  <c r="I79" i="132"/>
  <c r="J79" i="132"/>
  <c r="D80" i="132"/>
  <c r="E80" i="132"/>
  <c r="F80" i="132"/>
  <c r="G80" i="132"/>
  <c r="H80" i="132"/>
  <c r="I80" i="132"/>
  <c r="J80" i="132"/>
  <c r="D81" i="132"/>
  <c r="E81" i="132"/>
  <c r="F81" i="132"/>
  <c r="G81" i="132"/>
  <c r="H81" i="132"/>
  <c r="I81" i="132"/>
  <c r="J81" i="132"/>
  <c r="D82" i="132"/>
  <c r="E82" i="132"/>
  <c r="F82" i="132"/>
  <c r="G82" i="132"/>
  <c r="H82" i="132"/>
  <c r="I82" i="132"/>
  <c r="J82" i="132"/>
  <c r="D83" i="132"/>
  <c r="E83" i="132"/>
  <c r="F83" i="132"/>
  <c r="G83" i="132"/>
  <c r="H83" i="132"/>
  <c r="I83" i="132"/>
  <c r="J83" i="132"/>
  <c r="D84" i="132"/>
  <c r="E84" i="132"/>
  <c r="F84" i="132"/>
  <c r="G84" i="132"/>
  <c r="H84" i="132"/>
  <c r="I84" i="132"/>
  <c r="J84" i="132"/>
  <c r="D85" i="132"/>
  <c r="E85" i="132"/>
  <c r="F85" i="132"/>
  <c r="G85" i="132"/>
  <c r="H85" i="132"/>
  <c r="I85" i="132"/>
  <c r="J85" i="132"/>
  <c r="D86" i="132"/>
  <c r="E86" i="132"/>
  <c r="F86" i="132"/>
  <c r="G86" i="132"/>
  <c r="H86" i="132"/>
  <c r="I86" i="132"/>
  <c r="J86" i="132"/>
  <c r="D87" i="132"/>
  <c r="E87" i="132"/>
  <c r="F87" i="132"/>
  <c r="G87" i="132"/>
  <c r="H87" i="132"/>
  <c r="I87" i="132"/>
  <c r="J87" i="132"/>
  <c r="D88" i="132"/>
  <c r="E88" i="132"/>
  <c r="F88" i="132"/>
  <c r="G88" i="132"/>
  <c r="H88" i="132"/>
  <c r="I88" i="132"/>
  <c r="J88" i="132"/>
  <c r="D89" i="132"/>
  <c r="E89" i="132"/>
  <c r="F89" i="132"/>
  <c r="G89" i="132"/>
  <c r="H89" i="132"/>
  <c r="I89" i="132"/>
  <c r="J89" i="132"/>
  <c r="AK5" i="127"/>
  <c r="B8" i="125" l="1"/>
  <c r="B25" i="90" l="1"/>
  <c r="G27" i="90"/>
  <c r="E14" i="124"/>
  <c r="BQ26" i="122"/>
  <c r="E11" i="124"/>
  <c r="G11" i="124" s="1"/>
  <c r="O6" i="121"/>
  <c r="AP5" i="127"/>
  <c r="AP8" i="127"/>
  <c r="AP11" i="127"/>
  <c r="AP14" i="127"/>
  <c r="AP17" i="127"/>
  <c r="AP22" i="127"/>
  <c r="M102" i="132"/>
  <c r="M100" i="132"/>
  <c r="M98" i="132"/>
  <c r="M96" i="132"/>
  <c r="M94" i="132"/>
  <c r="N111" i="132"/>
  <c r="AQ20" i="127" l="1"/>
  <c r="M98" i="128"/>
  <c r="M112" i="128"/>
  <c r="P112" i="128" s="1"/>
  <c r="R112" i="128" s="1"/>
  <c r="I112" i="128"/>
  <c r="K112" i="128" s="1"/>
  <c r="G112" i="128"/>
  <c r="M111" i="128"/>
  <c r="P111" i="128" s="1"/>
  <c r="I111" i="128"/>
  <c r="M110" i="128"/>
  <c r="P110" i="128" s="1"/>
  <c r="R110" i="128" s="1"/>
  <c r="I110" i="128"/>
  <c r="K110" i="128" s="1"/>
  <c r="G110" i="128"/>
  <c r="M109" i="128"/>
  <c r="G109" i="128" s="1"/>
  <c r="K109" i="128" s="1"/>
  <c r="I109" i="128"/>
  <c r="R108" i="128"/>
  <c r="P108" i="128"/>
  <c r="M108" i="128"/>
  <c r="I108" i="128"/>
  <c r="K108" i="128" s="1"/>
  <c r="G108" i="128"/>
  <c r="M107" i="128"/>
  <c r="P107" i="128" s="1"/>
  <c r="I107" i="128"/>
  <c r="R103" i="128"/>
  <c r="P103" i="128"/>
  <c r="M103" i="128"/>
  <c r="I103" i="128"/>
  <c r="K103" i="128" s="1"/>
  <c r="G103" i="128"/>
  <c r="M102" i="128"/>
  <c r="P102" i="128" s="1"/>
  <c r="I102" i="128"/>
  <c r="R101" i="128"/>
  <c r="P101" i="128"/>
  <c r="M101" i="128"/>
  <c r="I101" i="128"/>
  <c r="K101" i="128" s="1"/>
  <c r="G101" i="128"/>
  <c r="M99" i="128"/>
  <c r="G99" i="128" s="1"/>
  <c r="K99" i="128" s="1"/>
  <c r="I99" i="128"/>
  <c r="I98" i="128"/>
  <c r="P97" i="128"/>
  <c r="R97" i="128" s="1"/>
  <c r="M97" i="128"/>
  <c r="I97" i="128"/>
  <c r="G97" i="128"/>
  <c r="K97" i="128" s="1"/>
  <c r="M96" i="128"/>
  <c r="I96" i="128"/>
  <c r="P95" i="128"/>
  <c r="R95" i="128" s="1"/>
  <c r="M95" i="128"/>
  <c r="I95" i="128"/>
  <c r="G95" i="128"/>
  <c r="K95" i="128" s="1"/>
  <c r="M94" i="128"/>
  <c r="I94" i="128"/>
  <c r="R87" i="131"/>
  <c r="R86" i="131"/>
  <c r="R85" i="131"/>
  <c r="R80" i="131"/>
  <c r="R84" i="131"/>
  <c r="R79" i="131"/>
  <c r="R78" i="131"/>
  <c r="R71" i="131"/>
  <c r="R72" i="131"/>
  <c r="R73" i="131"/>
  <c r="R74" i="131"/>
  <c r="R76" i="131"/>
  <c r="R77" i="131"/>
  <c r="R70" i="131"/>
  <c r="O87" i="131"/>
  <c r="O86" i="131"/>
  <c r="O85" i="131"/>
  <c r="O84" i="131"/>
  <c r="O79" i="131"/>
  <c r="O78" i="131"/>
  <c r="O71" i="131"/>
  <c r="O72" i="131"/>
  <c r="O73" i="131"/>
  <c r="O74" i="131"/>
  <c r="O76" i="131"/>
  <c r="O77" i="131"/>
  <c r="O70" i="131"/>
  <c r="R89" i="131" l="1"/>
  <c r="P98" i="128"/>
  <c r="R98" i="128" s="1"/>
  <c r="G98" i="128"/>
  <c r="K98" i="128" s="1"/>
  <c r="P99" i="128"/>
  <c r="G102" i="128"/>
  <c r="K102" i="128" s="1"/>
  <c r="P109" i="128"/>
  <c r="G94" i="128"/>
  <c r="K94" i="128" s="1"/>
  <c r="P94" i="128"/>
  <c r="R94" i="128" s="1"/>
  <c r="G96" i="128"/>
  <c r="K96" i="128" s="1"/>
  <c r="P96" i="128"/>
  <c r="R96" i="128" s="1"/>
  <c r="R99" i="128"/>
  <c r="R102" i="128"/>
  <c r="R107" i="128"/>
  <c r="R109" i="128"/>
  <c r="R111" i="128"/>
  <c r="G107" i="128"/>
  <c r="K107" i="128" s="1"/>
  <c r="G111" i="128"/>
  <c r="K111" i="128" s="1"/>
  <c r="E10" i="124"/>
  <c r="B146" i="125"/>
  <c r="B145" i="125"/>
  <c r="B144" i="125"/>
  <c r="B143" i="125"/>
  <c r="B142" i="125"/>
  <c r="B141" i="125"/>
  <c r="B140" i="125"/>
  <c r="B138" i="125"/>
  <c r="B137" i="125"/>
  <c r="B136" i="125"/>
  <c r="B135" i="125"/>
  <c r="B134" i="125"/>
  <c r="B133" i="125"/>
  <c r="B132" i="125"/>
  <c r="B130" i="125"/>
  <c r="B129" i="125"/>
  <c r="B128" i="125"/>
  <c r="B127" i="125"/>
  <c r="B126" i="125"/>
  <c r="B125" i="125"/>
  <c r="B124" i="125"/>
  <c r="B122" i="125"/>
  <c r="B121" i="125"/>
  <c r="B120" i="125"/>
  <c r="B119" i="125"/>
  <c r="B118" i="125"/>
  <c r="B117" i="125"/>
  <c r="B116" i="125"/>
  <c r="B114" i="125"/>
  <c r="B113" i="125"/>
  <c r="B112" i="125"/>
  <c r="B111" i="125"/>
  <c r="B110" i="125"/>
  <c r="B109" i="125"/>
  <c r="B108" i="125"/>
  <c r="B106" i="125"/>
  <c r="B105" i="125"/>
  <c r="B104" i="125"/>
  <c r="B103" i="125"/>
  <c r="B102" i="125"/>
  <c r="B101" i="125"/>
  <c r="B100" i="125"/>
  <c r="B98" i="125"/>
  <c r="B97" i="125"/>
  <c r="B96" i="125"/>
  <c r="B95" i="125"/>
  <c r="B94" i="125"/>
  <c r="B93" i="125"/>
  <c r="B92" i="125"/>
  <c r="B90" i="125"/>
  <c r="B89" i="125"/>
  <c r="B88" i="125"/>
  <c r="B87" i="125"/>
  <c r="B86" i="125"/>
  <c r="B85" i="125"/>
  <c r="B84" i="125"/>
  <c r="B82" i="125"/>
  <c r="B81" i="125"/>
  <c r="B80" i="125"/>
  <c r="B79" i="125"/>
  <c r="B78" i="125"/>
  <c r="B77" i="125"/>
  <c r="B76" i="125"/>
  <c r="B74" i="125"/>
  <c r="B73" i="125"/>
  <c r="B72" i="125"/>
  <c r="B71" i="125"/>
  <c r="B70" i="125"/>
  <c r="B69" i="125"/>
  <c r="B68" i="125"/>
  <c r="B66" i="125"/>
  <c r="B65" i="125"/>
  <c r="B64" i="125"/>
  <c r="B63" i="125"/>
  <c r="B62" i="125"/>
  <c r="B61" i="125"/>
  <c r="B60" i="125"/>
  <c r="B58" i="125"/>
  <c r="B57" i="125"/>
  <c r="B56" i="125"/>
  <c r="B55" i="125"/>
  <c r="B54" i="125"/>
  <c r="B53" i="125"/>
  <c r="B52" i="125"/>
  <c r="B50" i="125"/>
  <c r="B49" i="125"/>
  <c r="B48" i="125"/>
  <c r="B47" i="125"/>
  <c r="B46" i="125"/>
  <c r="B45" i="125"/>
  <c r="B44" i="125"/>
  <c r="B42" i="125"/>
  <c r="B41" i="125"/>
  <c r="B40" i="125"/>
  <c r="B39" i="125"/>
  <c r="B38" i="125"/>
  <c r="B37" i="125"/>
  <c r="B36" i="125"/>
  <c r="B34" i="125"/>
  <c r="B33" i="125"/>
  <c r="B32" i="125"/>
  <c r="B31" i="125"/>
  <c r="B30" i="125"/>
  <c r="B29" i="125"/>
  <c r="B28" i="125"/>
  <c r="B26" i="125"/>
  <c r="B25" i="125"/>
  <c r="B24" i="125"/>
  <c r="B23" i="125"/>
  <c r="B22" i="125"/>
  <c r="B21" i="125"/>
  <c r="B20" i="125"/>
  <c r="B17" i="125"/>
  <c r="B18" i="125"/>
  <c r="B16" i="125"/>
  <c r="B15" i="125"/>
  <c r="B14" i="125"/>
  <c r="B13" i="125"/>
  <c r="B12" i="125"/>
  <c r="B4" i="125"/>
  <c r="D6" i="119"/>
  <c r="B6" i="125"/>
  <c r="B7" i="125"/>
  <c r="B9" i="125"/>
  <c r="B10" i="125"/>
  <c r="B5" i="125"/>
  <c r="D11" i="119"/>
  <c r="G11" i="119" s="1"/>
  <c r="D10" i="119"/>
  <c r="G10" i="119" s="1"/>
  <c r="D9" i="119"/>
  <c r="D8" i="119"/>
  <c r="D7" i="119"/>
  <c r="BP18" i="122"/>
  <c r="AN17" i="127" l="1"/>
  <c r="AN14" i="127"/>
  <c r="AN11" i="127"/>
  <c r="AN22" i="127"/>
  <c r="AN8" i="127"/>
  <c r="M6" i="119"/>
  <c r="AG22" i="127" l="1"/>
  <c r="AI22" i="127"/>
  <c r="AI17" i="127"/>
  <c r="AI14" i="127"/>
  <c r="AI11" i="127"/>
  <c r="AI8" i="127"/>
  <c r="AI5" i="127"/>
  <c r="AG17" i="127"/>
  <c r="AG14" i="127"/>
  <c r="AG11" i="127"/>
  <c r="AG8" i="127"/>
  <c r="AG5" i="127"/>
  <c r="E69" i="128"/>
  <c r="AC17" i="127"/>
  <c r="AC14" i="127"/>
  <c r="AC11" i="127"/>
  <c r="AC8" i="127"/>
  <c r="AC5" i="127"/>
  <c r="W17" i="127"/>
  <c r="W14" i="127"/>
  <c r="W11" i="127"/>
  <c r="W8" i="127"/>
  <c r="W5" i="127"/>
  <c r="E22" i="127" l="1"/>
  <c r="E17" i="127"/>
  <c r="E14" i="127"/>
  <c r="E11" i="127"/>
  <c r="E8" i="127"/>
  <c r="E5" i="127"/>
  <c r="F42" i="120" l="1"/>
  <c r="E48" i="120"/>
  <c r="D48" i="120"/>
  <c r="H111" i="133"/>
  <c r="G111" i="133"/>
  <c r="E111" i="133"/>
  <c r="D111" i="133"/>
  <c r="M89" i="133"/>
  <c r="M88" i="133"/>
  <c r="M87" i="133"/>
  <c r="M86" i="133"/>
  <c r="M85" i="133"/>
  <c r="M84" i="133"/>
  <c r="M83" i="133"/>
  <c r="M82" i="133"/>
  <c r="M81" i="133"/>
  <c r="M80" i="133"/>
  <c r="M79" i="133"/>
  <c r="M78" i="133"/>
  <c r="M77" i="133"/>
  <c r="M76" i="133"/>
  <c r="M75" i="133"/>
  <c r="M74" i="133"/>
  <c r="M73" i="133"/>
  <c r="M72" i="133"/>
  <c r="M67" i="133"/>
  <c r="M66" i="133"/>
  <c r="M65" i="133"/>
  <c r="M64" i="133"/>
  <c r="M63" i="133"/>
  <c r="M62" i="133"/>
  <c r="M61" i="133"/>
  <c r="M60" i="133"/>
  <c r="M59" i="133"/>
  <c r="M58" i="133"/>
  <c r="M57" i="133"/>
  <c r="M56" i="133"/>
  <c r="M55" i="133"/>
  <c r="M54" i="133"/>
  <c r="M53" i="133"/>
  <c r="M52" i="133"/>
  <c r="M51" i="133"/>
  <c r="M50" i="133"/>
  <c r="M45" i="133"/>
  <c r="M44" i="133"/>
  <c r="M43" i="133"/>
  <c r="M42" i="133"/>
  <c r="M41" i="133"/>
  <c r="M40" i="133"/>
  <c r="M39" i="133"/>
  <c r="M38" i="133"/>
  <c r="M37" i="133"/>
  <c r="M36" i="133"/>
  <c r="M35" i="133"/>
  <c r="M34" i="133"/>
  <c r="M33" i="133"/>
  <c r="M32" i="133"/>
  <c r="M31" i="133"/>
  <c r="M30" i="133"/>
  <c r="M29" i="133"/>
  <c r="M28" i="133"/>
  <c r="M23" i="133"/>
  <c r="M22" i="133"/>
  <c r="M21" i="133"/>
  <c r="M20" i="133"/>
  <c r="M19" i="133"/>
  <c r="M18" i="133"/>
  <c r="M17" i="133"/>
  <c r="M16" i="133"/>
  <c r="M15" i="133"/>
  <c r="M14" i="133"/>
  <c r="M13" i="133"/>
  <c r="M12" i="133"/>
  <c r="M11" i="133"/>
  <c r="M10" i="133"/>
  <c r="M9" i="133"/>
  <c r="M8" i="133"/>
  <c r="M7" i="133"/>
  <c r="M6" i="133"/>
  <c r="P71" i="131" l="1"/>
  <c r="P72" i="131"/>
  <c r="P73" i="131"/>
  <c r="P74" i="131"/>
  <c r="P75" i="131"/>
  <c r="P76" i="131"/>
  <c r="P77" i="131"/>
  <c r="P78" i="131"/>
  <c r="P79" i="131"/>
  <c r="P80" i="131"/>
  <c r="P81" i="131"/>
  <c r="P82" i="131"/>
  <c r="P83" i="131"/>
  <c r="P84" i="131"/>
  <c r="P85" i="131"/>
  <c r="P86" i="131"/>
  <c r="P87" i="131"/>
  <c r="P70" i="131"/>
  <c r="R8" i="127"/>
  <c r="R11" i="127"/>
  <c r="R14" i="127"/>
  <c r="R17" i="127"/>
  <c r="R22" i="127"/>
  <c r="R5" i="127"/>
  <c r="Q8" i="127"/>
  <c r="Q11" i="127"/>
  <c r="Q14" i="127"/>
  <c r="Q17" i="127"/>
  <c r="Q22" i="127"/>
  <c r="Q5" i="127"/>
  <c r="P8" i="127"/>
  <c r="P11" i="127"/>
  <c r="P14" i="127"/>
  <c r="P17" i="127"/>
  <c r="P20" i="127"/>
  <c r="P22" i="127"/>
  <c r="P24" i="127"/>
  <c r="P5" i="127"/>
  <c r="AA17" i="127" l="1"/>
  <c r="AA14" i="127"/>
  <c r="AA11" i="127"/>
  <c r="AA8" i="127"/>
  <c r="AA5" i="127"/>
  <c r="U11" i="127"/>
  <c r="U17" i="127"/>
  <c r="U14" i="127"/>
  <c r="U8" i="127"/>
  <c r="U5" i="127"/>
  <c r="E19" i="128"/>
  <c r="M50" i="131" l="1"/>
  <c r="L140" i="125" l="1"/>
  <c r="L132" i="125"/>
  <c r="L116" i="125"/>
  <c r="L108" i="125"/>
  <c r="L100" i="125"/>
  <c r="L92" i="125"/>
  <c r="L4" i="125"/>
  <c r="L12" i="125"/>
  <c r="L20" i="125"/>
  <c r="L28" i="125"/>
  <c r="L36" i="125"/>
  <c r="L44" i="125"/>
  <c r="L52" i="125"/>
  <c r="L60" i="125"/>
  <c r="L68" i="125"/>
  <c r="L76" i="125"/>
  <c r="N20" i="127"/>
  <c r="L84" i="125"/>
  <c r="N88" i="131" l="1"/>
  <c r="H104" i="132"/>
  <c r="E20" i="128"/>
  <c r="G67" i="128"/>
  <c r="M83" i="128"/>
  <c r="I83" i="128"/>
  <c r="P82" i="128"/>
  <c r="R82" i="128" s="1"/>
  <c r="M82" i="128"/>
  <c r="I82" i="128"/>
  <c r="G82" i="128"/>
  <c r="K82" i="128" s="1"/>
  <c r="M81" i="128"/>
  <c r="I81" i="128"/>
  <c r="P80" i="128"/>
  <c r="R80" i="128" s="1"/>
  <c r="M80" i="128"/>
  <c r="I80" i="128"/>
  <c r="G80" i="128"/>
  <c r="K80" i="128" s="1"/>
  <c r="M79" i="128"/>
  <c r="I79" i="128"/>
  <c r="P78" i="128"/>
  <c r="R78" i="128" s="1"/>
  <c r="M78" i="128"/>
  <c r="I78" i="128"/>
  <c r="G78" i="128"/>
  <c r="K78" i="128" s="1"/>
  <c r="M74" i="128"/>
  <c r="I74" i="128"/>
  <c r="P73" i="128"/>
  <c r="R73" i="128" s="1"/>
  <c r="M73" i="128"/>
  <c r="I73" i="128"/>
  <c r="G73" i="128"/>
  <c r="K73" i="128" s="1"/>
  <c r="M72" i="128"/>
  <c r="I72" i="128"/>
  <c r="P70" i="128"/>
  <c r="R70" i="128" s="1"/>
  <c r="M70" i="128"/>
  <c r="I70" i="128"/>
  <c r="G70" i="128"/>
  <c r="K70" i="128" s="1"/>
  <c r="M68" i="128"/>
  <c r="P68" i="128" s="1"/>
  <c r="R68" i="128" s="1"/>
  <c r="I68" i="128"/>
  <c r="M67" i="128"/>
  <c r="I67" i="128"/>
  <c r="M66" i="128"/>
  <c r="P66" i="128" s="1"/>
  <c r="R66" i="128" s="1"/>
  <c r="I66" i="128"/>
  <c r="M65" i="128"/>
  <c r="I65" i="128"/>
  <c r="M89" i="132"/>
  <c r="M88" i="132"/>
  <c r="M87" i="132"/>
  <c r="M86" i="132"/>
  <c r="M85" i="132"/>
  <c r="M84" i="132"/>
  <c r="M83" i="132"/>
  <c r="M82" i="132"/>
  <c r="M81" i="132"/>
  <c r="M80" i="132"/>
  <c r="M79" i="132"/>
  <c r="M78" i="132"/>
  <c r="M77" i="132"/>
  <c r="M76" i="132"/>
  <c r="M75" i="132"/>
  <c r="M74" i="132"/>
  <c r="M73" i="132"/>
  <c r="M72" i="132"/>
  <c r="L72" i="132"/>
  <c r="P67" i="132"/>
  <c r="M67" i="132"/>
  <c r="M66" i="132"/>
  <c r="P65" i="132"/>
  <c r="M65" i="132"/>
  <c r="M64" i="132"/>
  <c r="M63" i="132"/>
  <c r="M62" i="132"/>
  <c r="P61" i="132"/>
  <c r="M61" i="132"/>
  <c r="M60" i="132"/>
  <c r="M59" i="132"/>
  <c r="M58" i="132"/>
  <c r="P57" i="132"/>
  <c r="M57" i="132"/>
  <c r="M56" i="132"/>
  <c r="M55" i="132"/>
  <c r="M54" i="132"/>
  <c r="P53" i="132"/>
  <c r="M53" i="132"/>
  <c r="M52" i="132"/>
  <c r="M51" i="132"/>
  <c r="M50" i="132"/>
  <c r="M45" i="132"/>
  <c r="M44" i="132"/>
  <c r="M43" i="132"/>
  <c r="M42" i="132"/>
  <c r="M41" i="132"/>
  <c r="M40" i="132"/>
  <c r="M39" i="132"/>
  <c r="M38" i="132"/>
  <c r="M37" i="132"/>
  <c r="M36" i="132"/>
  <c r="M35" i="132"/>
  <c r="M34" i="132"/>
  <c r="M33" i="132"/>
  <c r="M32" i="132"/>
  <c r="M31" i="132"/>
  <c r="M30" i="132"/>
  <c r="P29" i="132"/>
  <c r="M29" i="132"/>
  <c r="M28" i="132"/>
  <c r="M23" i="132"/>
  <c r="M22" i="132"/>
  <c r="P21" i="132"/>
  <c r="M21" i="132"/>
  <c r="M20" i="132"/>
  <c r="M19" i="132"/>
  <c r="M18" i="132"/>
  <c r="P17" i="132"/>
  <c r="M17" i="132"/>
  <c r="M16" i="132"/>
  <c r="M15" i="132"/>
  <c r="M14" i="132"/>
  <c r="P13" i="132"/>
  <c r="M13" i="132"/>
  <c r="M12" i="132"/>
  <c r="M11" i="132"/>
  <c r="M10" i="132"/>
  <c r="P9" i="132"/>
  <c r="M9" i="132"/>
  <c r="M8" i="132"/>
  <c r="M7" i="132"/>
  <c r="M6" i="132"/>
  <c r="A95" i="131"/>
  <c r="R29" i="120" s="1"/>
  <c r="B134" i="132" l="1"/>
  <c r="B136" i="132" s="1"/>
  <c r="F109" i="132"/>
  <c r="H109" i="132"/>
  <c r="P85" i="132"/>
  <c r="L6" i="132"/>
  <c r="D112" i="132" s="1"/>
  <c r="L10" i="132"/>
  <c r="D116" i="132" s="1"/>
  <c r="L7" i="132"/>
  <c r="D113" i="132" s="1"/>
  <c r="P37" i="132"/>
  <c r="P50" i="132"/>
  <c r="P52" i="132"/>
  <c r="P54" i="132"/>
  <c r="P56" i="132"/>
  <c r="P58" i="132"/>
  <c r="P60" i="132"/>
  <c r="P62" i="132"/>
  <c r="P64" i="132"/>
  <c r="P66" i="132"/>
  <c r="P77" i="132"/>
  <c r="P79" i="132"/>
  <c r="P33" i="132"/>
  <c r="P41" i="132"/>
  <c r="P84" i="132"/>
  <c r="P86" i="132"/>
  <c r="P76" i="132"/>
  <c r="P78" i="132"/>
  <c r="P87" i="132"/>
  <c r="P7" i="132"/>
  <c r="P11" i="132"/>
  <c r="P15" i="132"/>
  <c r="P19" i="132"/>
  <c r="P23" i="132"/>
  <c r="P31" i="132"/>
  <c r="P35" i="132"/>
  <c r="P39" i="132"/>
  <c r="P43" i="132"/>
  <c r="P45" i="132"/>
  <c r="P51" i="132"/>
  <c r="P55" i="132"/>
  <c r="P59" i="132"/>
  <c r="P63" i="132"/>
  <c r="P73" i="132"/>
  <c r="P75" i="132"/>
  <c r="P81" i="132"/>
  <c r="P83" i="132"/>
  <c r="P89" i="132"/>
  <c r="P6" i="132"/>
  <c r="P8" i="132"/>
  <c r="P10" i="132"/>
  <c r="P12" i="132"/>
  <c r="P14" i="132"/>
  <c r="P16" i="132"/>
  <c r="P18" i="132"/>
  <c r="P20" i="132"/>
  <c r="P22" i="132"/>
  <c r="P28" i="132"/>
  <c r="P30" i="132"/>
  <c r="P32" i="132"/>
  <c r="P34" i="132"/>
  <c r="P36" i="132"/>
  <c r="P38" i="132"/>
  <c r="P40" i="132"/>
  <c r="P42" i="132"/>
  <c r="P44" i="132"/>
  <c r="P72" i="132"/>
  <c r="P74" i="132"/>
  <c r="P80" i="132"/>
  <c r="P82" i="132"/>
  <c r="P88" i="132"/>
  <c r="L11" i="132"/>
  <c r="D117" i="132" s="1"/>
  <c r="L14" i="132"/>
  <c r="L15" i="132"/>
  <c r="L19" i="132"/>
  <c r="D125" i="132" s="1"/>
  <c r="L23" i="132"/>
  <c r="L31" i="132"/>
  <c r="L35" i="132"/>
  <c r="L39" i="132"/>
  <c r="L43" i="132"/>
  <c r="L50" i="132"/>
  <c r="F112" i="132" s="1"/>
  <c r="L54" i="132"/>
  <c r="N54" i="132" s="1"/>
  <c r="L55" i="132"/>
  <c r="L58" i="132"/>
  <c r="L59" i="132"/>
  <c r="L62" i="132"/>
  <c r="L63" i="132"/>
  <c r="L66" i="132"/>
  <c r="F128" i="132" s="1"/>
  <c r="G112" i="132"/>
  <c r="L73" i="132"/>
  <c r="L75" i="132"/>
  <c r="G115" i="132" s="1"/>
  <c r="L78" i="132"/>
  <c r="G118" i="132" s="1"/>
  <c r="L81" i="132"/>
  <c r="L86" i="132"/>
  <c r="L89" i="132"/>
  <c r="L8" i="132"/>
  <c r="D114" i="132" s="1"/>
  <c r="L52" i="132"/>
  <c r="F114" i="132" s="1"/>
  <c r="L53" i="132"/>
  <c r="F115" i="132" s="1"/>
  <c r="L56" i="132"/>
  <c r="F118" i="132" s="1"/>
  <c r="L57" i="132"/>
  <c r="F119" i="132" s="1"/>
  <c r="L13" i="132"/>
  <c r="N13" i="132" s="1"/>
  <c r="L17" i="132"/>
  <c r="L21" i="132"/>
  <c r="L29" i="132"/>
  <c r="N29" i="132" s="1"/>
  <c r="L33" i="132"/>
  <c r="N33" i="132" s="1"/>
  <c r="L37" i="132"/>
  <c r="N37" i="132" s="1"/>
  <c r="L76" i="132"/>
  <c r="N76" i="132" s="1"/>
  <c r="L83" i="132"/>
  <c r="N83" i="132" s="1"/>
  <c r="L84" i="132"/>
  <c r="N84" i="132" s="1"/>
  <c r="L65" i="132"/>
  <c r="F127" i="132" s="1"/>
  <c r="L79" i="132"/>
  <c r="L82" i="132"/>
  <c r="L85" i="132"/>
  <c r="G125" i="132" s="1"/>
  <c r="L60" i="132"/>
  <c r="F122" i="132" s="1"/>
  <c r="L61" i="132"/>
  <c r="L64" i="132"/>
  <c r="F126" i="132" s="1"/>
  <c r="L67" i="132"/>
  <c r="L74" i="132"/>
  <c r="L77" i="132"/>
  <c r="G117" i="132" s="1"/>
  <c r="L12" i="132"/>
  <c r="D118" i="132" s="1"/>
  <c r="L16" i="132"/>
  <c r="D122" i="132" s="1"/>
  <c r="L18" i="132"/>
  <c r="N18" i="132" s="1"/>
  <c r="L20" i="132"/>
  <c r="D126" i="132" s="1"/>
  <c r="L22" i="132"/>
  <c r="L28" i="132"/>
  <c r="L30" i="132"/>
  <c r="N30" i="132" s="1"/>
  <c r="L32" i="132"/>
  <c r="L34" i="132"/>
  <c r="L36" i="132"/>
  <c r="L38" i="132"/>
  <c r="N38" i="132" s="1"/>
  <c r="L40" i="132"/>
  <c r="L42" i="132"/>
  <c r="L44" i="132"/>
  <c r="L80" i="132"/>
  <c r="G120" i="132" s="1"/>
  <c r="L87" i="132"/>
  <c r="N87" i="132" s="1"/>
  <c r="L88" i="132"/>
  <c r="G128" i="132" s="1"/>
  <c r="R65" i="128"/>
  <c r="G65" i="128"/>
  <c r="K65" i="128" s="1"/>
  <c r="P65" i="128"/>
  <c r="K67" i="128"/>
  <c r="P67" i="128"/>
  <c r="R67" i="128" s="1"/>
  <c r="G72" i="128"/>
  <c r="K72" i="128" s="1"/>
  <c r="P72" i="128"/>
  <c r="R72" i="128" s="1"/>
  <c r="G74" i="128"/>
  <c r="K74" i="128" s="1"/>
  <c r="P74" i="128"/>
  <c r="R74" i="128" s="1"/>
  <c r="G79" i="128"/>
  <c r="K79" i="128" s="1"/>
  <c r="P79" i="128"/>
  <c r="R79" i="128" s="1"/>
  <c r="G81" i="128"/>
  <c r="K81" i="128" s="1"/>
  <c r="P81" i="128"/>
  <c r="R81" i="128" s="1"/>
  <c r="G83" i="128"/>
  <c r="K83" i="128" s="1"/>
  <c r="P83" i="128"/>
  <c r="R83" i="128" s="1"/>
  <c r="G66" i="128"/>
  <c r="K66" i="128" s="1"/>
  <c r="G68" i="128"/>
  <c r="K68" i="128" s="1"/>
  <c r="N17" i="132"/>
  <c r="L9" i="132"/>
  <c r="L51" i="132"/>
  <c r="L41" i="132"/>
  <c r="L45" i="132"/>
  <c r="D64" i="131"/>
  <c r="C28" i="131"/>
  <c r="K109" i="132" l="1"/>
  <c r="J8" i="124"/>
  <c r="M109" i="132"/>
  <c r="I109" i="132"/>
  <c r="J109" i="132"/>
  <c r="L109" i="132"/>
  <c r="N6" i="132"/>
  <c r="N7" i="132"/>
  <c r="N10" i="132"/>
  <c r="N28" i="132"/>
  <c r="E112" i="132"/>
  <c r="H112" i="132" s="1"/>
  <c r="N20" i="132"/>
  <c r="N77" i="132"/>
  <c r="F124" i="132"/>
  <c r="N73" i="132"/>
  <c r="D121" i="132"/>
  <c r="N53" i="132"/>
  <c r="N62" i="132"/>
  <c r="N35" i="132"/>
  <c r="G113" i="132"/>
  <c r="N15" i="132"/>
  <c r="F121" i="132"/>
  <c r="N86" i="132"/>
  <c r="E119" i="132"/>
  <c r="E115" i="132"/>
  <c r="N61" i="132"/>
  <c r="N59" i="132"/>
  <c r="N80" i="132"/>
  <c r="N57" i="132"/>
  <c r="N66" i="132"/>
  <c r="N8" i="132"/>
  <c r="N11" i="132"/>
  <c r="N23" i="132"/>
  <c r="D129" i="132"/>
  <c r="N78" i="132"/>
  <c r="N43" i="132"/>
  <c r="F120" i="132"/>
  <c r="N58" i="132"/>
  <c r="E127" i="132"/>
  <c r="N74" i="132"/>
  <c r="N72" i="132"/>
  <c r="N31" i="132"/>
  <c r="D120" i="132"/>
  <c r="G121" i="132"/>
  <c r="G126" i="132"/>
  <c r="N81" i="132"/>
  <c r="N52" i="132"/>
  <c r="N14" i="132"/>
  <c r="N50" i="132"/>
  <c r="F116" i="132"/>
  <c r="N65" i="132"/>
  <c r="F117" i="132"/>
  <c r="G129" i="132"/>
  <c r="N60" i="132"/>
  <c r="F125" i="132"/>
  <c r="E128" i="132"/>
  <c r="N44" i="132"/>
  <c r="N89" i="132"/>
  <c r="N75" i="132"/>
  <c r="N63" i="132"/>
  <c r="N55" i="132"/>
  <c r="N39" i="132"/>
  <c r="N19" i="132"/>
  <c r="N40" i="132"/>
  <c r="E123" i="132"/>
  <c r="N32" i="132"/>
  <c r="E116" i="132"/>
  <c r="F123" i="132"/>
  <c r="N79" i="132"/>
  <c r="N64" i="132"/>
  <c r="N56" i="132"/>
  <c r="N88" i="132"/>
  <c r="G119" i="132"/>
  <c r="G114" i="132"/>
  <c r="N85" i="132"/>
  <c r="N67" i="132"/>
  <c r="N16" i="132"/>
  <c r="F129" i="132"/>
  <c r="N36" i="132"/>
  <c r="E120" i="132"/>
  <c r="E118" i="132"/>
  <c r="H118" i="132" s="1"/>
  <c r="E121" i="132"/>
  <c r="D123" i="132"/>
  <c r="D128" i="132"/>
  <c r="G116" i="132"/>
  <c r="E122" i="132"/>
  <c r="E114" i="132"/>
  <c r="D124" i="132"/>
  <c r="G124" i="132"/>
  <c r="E117" i="132"/>
  <c r="D119" i="132"/>
  <c r="E126" i="132"/>
  <c r="D127" i="132"/>
  <c r="N21" i="132"/>
  <c r="G122" i="132"/>
  <c r="N82" i="132"/>
  <c r="N42" i="132"/>
  <c r="N34" i="132"/>
  <c r="N22" i="132"/>
  <c r="N12" i="132"/>
  <c r="E124" i="132"/>
  <c r="G127" i="132"/>
  <c r="G123" i="132"/>
  <c r="E113" i="132"/>
  <c r="D115" i="132"/>
  <c r="E129" i="132"/>
  <c r="E125" i="132"/>
  <c r="F113" i="132"/>
  <c r="N45" i="132"/>
  <c r="N9" i="132"/>
  <c r="N41" i="132"/>
  <c r="N51" i="132"/>
  <c r="J56" i="131"/>
  <c r="D56" i="131"/>
  <c r="D70" i="131" l="1"/>
  <c r="K70" i="131" s="1"/>
  <c r="U70" i="131"/>
  <c r="D76" i="131"/>
  <c r="K76" i="131" s="1"/>
  <c r="U76" i="131"/>
  <c r="H125" i="132"/>
  <c r="H120" i="132"/>
  <c r="H121" i="132"/>
  <c r="H116" i="132"/>
  <c r="H126" i="132"/>
  <c r="H129" i="132"/>
  <c r="H117" i="132"/>
  <c r="H128" i="132"/>
  <c r="H114" i="132"/>
  <c r="H119" i="132"/>
  <c r="H127" i="132"/>
  <c r="H122" i="132"/>
  <c r="H123" i="132"/>
  <c r="F130" i="132"/>
  <c r="G130" i="132"/>
  <c r="E130" i="132"/>
  <c r="H124" i="132"/>
  <c r="H115" i="132"/>
  <c r="D130" i="132"/>
  <c r="H113" i="132"/>
  <c r="J5" i="131"/>
  <c r="J6" i="131"/>
  <c r="C71" i="131" s="1"/>
  <c r="J7" i="131"/>
  <c r="C72" i="131" s="1"/>
  <c r="J8" i="131"/>
  <c r="C73" i="131" s="1"/>
  <c r="J9" i="131"/>
  <c r="C74" i="131" s="1"/>
  <c r="J10" i="131"/>
  <c r="C75" i="131" s="1"/>
  <c r="J11" i="131"/>
  <c r="C76" i="131" s="1"/>
  <c r="J12" i="131"/>
  <c r="C77" i="131" s="1"/>
  <c r="J13" i="131"/>
  <c r="J14" i="131"/>
  <c r="C79" i="131" s="1"/>
  <c r="J15" i="131"/>
  <c r="C80" i="131" s="1"/>
  <c r="J16" i="131"/>
  <c r="C81" i="131" s="1"/>
  <c r="J17" i="131"/>
  <c r="C82" i="131" s="1"/>
  <c r="J18" i="131"/>
  <c r="C83" i="131" s="1"/>
  <c r="J19" i="131"/>
  <c r="C84" i="131" s="1"/>
  <c r="J20" i="131"/>
  <c r="C85" i="131" s="1"/>
  <c r="J21" i="131"/>
  <c r="C86" i="131" s="1"/>
  <c r="J22" i="131"/>
  <c r="C87" i="131" s="1"/>
  <c r="J23" i="131"/>
  <c r="J24" i="131"/>
  <c r="J25" i="131"/>
  <c r="J26" i="131"/>
  <c r="D82" i="131" l="1"/>
  <c r="L82" i="131" s="1"/>
  <c r="U82" i="131"/>
  <c r="D81" i="131"/>
  <c r="L81" i="131" s="1"/>
  <c r="U81" i="131"/>
  <c r="D72" i="131"/>
  <c r="L72" i="131" s="1"/>
  <c r="U72" i="131"/>
  <c r="D84" i="131"/>
  <c r="L84" i="131" s="1"/>
  <c r="U84" i="131"/>
  <c r="D83" i="131"/>
  <c r="U83" i="131"/>
  <c r="D80" i="131"/>
  <c r="L80" i="131" s="1"/>
  <c r="U80" i="131"/>
  <c r="D86" i="131"/>
  <c r="K86" i="131" s="1"/>
  <c r="U86" i="131"/>
  <c r="D74" i="131"/>
  <c r="U74" i="131"/>
  <c r="D73" i="131"/>
  <c r="K73" i="131" s="1"/>
  <c r="U73" i="131"/>
  <c r="D77" i="131"/>
  <c r="L77" i="131" s="1"/>
  <c r="U77" i="131"/>
  <c r="D87" i="131"/>
  <c r="K87" i="131" s="1"/>
  <c r="U87" i="131"/>
  <c r="D78" i="131"/>
  <c r="K78" i="131" s="1"/>
  <c r="U78" i="131"/>
  <c r="D71" i="131"/>
  <c r="L71" i="131" s="1"/>
  <c r="U71" i="131"/>
  <c r="D85" i="131"/>
  <c r="L85" i="131" s="1"/>
  <c r="U85" i="131"/>
  <c r="D75" i="131"/>
  <c r="L75" i="131" s="1"/>
  <c r="U75" i="131"/>
  <c r="D79" i="131"/>
  <c r="L79" i="131" s="1"/>
  <c r="U79" i="131"/>
  <c r="Q85" i="131"/>
  <c r="Q73" i="131"/>
  <c r="Q84" i="131"/>
  <c r="Q80" i="131"/>
  <c r="Q76" i="131"/>
  <c r="Q72" i="131"/>
  <c r="L76" i="131"/>
  <c r="Q77" i="131"/>
  <c r="Q87" i="131"/>
  <c r="Q79" i="131"/>
  <c r="Q71" i="131"/>
  <c r="Q81" i="131"/>
  <c r="Q83" i="131"/>
  <c r="Q75" i="131"/>
  <c r="Q86" i="131"/>
  <c r="Q82" i="131"/>
  <c r="Q74" i="131"/>
  <c r="C70" i="131"/>
  <c r="M22" i="131"/>
  <c r="K82" i="131"/>
  <c r="K72" i="131"/>
  <c r="L83" i="131"/>
  <c r="K83" i="131"/>
  <c r="J28" i="131"/>
  <c r="C78" i="131"/>
  <c r="H130" i="132"/>
  <c r="D28" i="131"/>
  <c r="L73" i="131" l="1"/>
  <c r="L87" i="131"/>
  <c r="L86" i="131"/>
  <c r="K75" i="131"/>
  <c r="K71" i="131"/>
  <c r="K81" i="131"/>
  <c r="K84" i="131"/>
  <c r="D88" i="131"/>
  <c r="K74" i="131"/>
  <c r="K80" i="131"/>
  <c r="L74" i="131"/>
  <c r="K77" i="131"/>
  <c r="K79" i="131"/>
  <c r="K85" i="131"/>
  <c r="V82" i="131"/>
  <c r="W82" i="131"/>
  <c r="Q70" i="131"/>
  <c r="C88" i="131"/>
  <c r="L70" i="131"/>
  <c r="Q78" i="131"/>
  <c r="L78" i="131"/>
  <c r="A97" i="131" l="1"/>
  <c r="Q64" i="130" l="1"/>
  <c r="S64" i="130" s="1"/>
  <c r="M64" i="130"/>
  <c r="I64" i="130"/>
  <c r="G64" i="130"/>
  <c r="K64" i="130" s="1"/>
  <c r="M63" i="130"/>
  <c r="G63" i="130" s="1"/>
  <c r="K63" i="130" s="1"/>
  <c r="I63" i="130"/>
  <c r="Q62" i="130"/>
  <c r="M62" i="130"/>
  <c r="S62" i="130" s="1"/>
  <c r="I62" i="130"/>
  <c r="G62" i="130"/>
  <c r="K62" i="130" s="1"/>
  <c r="M61" i="130"/>
  <c r="I61" i="130"/>
  <c r="Q60" i="130"/>
  <c r="S60" i="130" s="1"/>
  <c r="M60" i="130"/>
  <c r="I60" i="130"/>
  <c r="G60" i="130"/>
  <c r="K60" i="130" s="1"/>
  <c r="M59" i="130"/>
  <c r="G59" i="130" s="1"/>
  <c r="K59" i="130" s="1"/>
  <c r="I59" i="130"/>
  <c r="Q58" i="130"/>
  <c r="M58" i="130"/>
  <c r="S58" i="130" s="1"/>
  <c r="I58" i="130"/>
  <c r="G58" i="130"/>
  <c r="K58" i="130" s="1"/>
  <c r="M57" i="130"/>
  <c r="I57" i="130"/>
  <c r="Q56" i="130"/>
  <c r="S56" i="130" s="1"/>
  <c r="M56" i="130"/>
  <c r="I56" i="130"/>
  <c r="G56" i="130"/>
  <c r="K56" i="130" s="1"/>
  <c r="M55" i="130"/>
  <c r="G55" i="130" s="1"/>
  <c r="K55" i="130" s="1"/>
  <c r="I55" i="130"/>
  <c r="Q54" i="130"/>
  <c r="M54" i="130"/>
  <c r="S54" i="130" s="1"/>
  <c r="I54" i="130"/>
  <c r="G54" i="130"/>
  <c r="K54" i="130" s="1"/>
  <c r="M53" i="130"/>
  <c r="I53" i="130"/>
  <c r="Q52" i="130"/>
  <c r="S52" i="130" s="1"/>
  <c r="M52" i="130"/>
  <c r="I52" i="130"/>
  <c r="G52" i="130"/>
  <c r="K52" i="130" s="1"/>
  <c r="M51" i="130"/>
  <c r="G51" i="130" s="1"/>
  <c r="K51" i="130" s="1"/>
  <c r="I51" i="130"/>
  <c r="Q50" i="130"/>
  <c r="M50" i="130"/>
  <c r="S50" i="130" s="1"/>
  <c r="I50" i="130"/>
  <c r="G50" i="130"/>
  <c r="K50" i="130" s="1"/>
  <c r="M49" i="130"/>
  <c r="I49" i="130"/>
  <c r="Q48" i="130"/>
  <c r="S48" i="130" s="1"/>
  <c r="M48" i="130"/>
  <c r="I48" i="130"/>
  <c r="G48" i="130"/>
  <c r="K48" i="130" s="1"/>
  <c r="M47" i="130"/>
  <c r="G47" i="130" s="1"/>
  <c r="K47" i="130" s="1"/>
  <c r="I47" i="130"/>
  <c r="Q46" i="130"/>
  <c r="M46" i="130"/>
  <c r="S46" i="130" s="1"/>
  <c r="I46" i="130"/>
  <c r="G46" i="130"/>
  <c r="K46" i="130" s="1"/>
  <c r="M45" i="130"/>
  <c r="I45" i="130"/>
  <c r="Q44" i="130"/>
  <c r="S44" i="130" s="1"/>
  <c r="M44" i="130"/>
  <c r="I44" i="130"/>
  <c r="G44" i="130"/>
  <c r="K44" i="130" s="1"/>
  <c r="M43" i="130"/>
  <c r="G43" i="130" s="1"/>
  <c r="K43" i="130" s="1"/>
  <c r="I43" i="130"/>
  <c r="Q42" i="130"/>
  <c r="S42" i="130" s="1"/>
  <c r="M42" i="130"/>
  <c r="I42" i="130"/>
  <c r="G42" i="130"/>
  <c r="K42" i="130" s="1"/>
  <c r="M41" i="130"/>
  <c r="I41" i="130"/>
  <c r="Q40" i="130"/>
  <c r="S40" i="130" s="1"/>
  <c r="M40" i="130"/>
  <c r="I40" i="130"/>
  <c r="G40" i="130"/>
  <c r="K40" i="130" s="1"/>
  <c r="M39" i="130"/>
  <c r="G39" i="130" s="1"/>
  <c r="K39" i="130" s="1"/>
  <c r="I39" i="130"/>
  <c r="Q38" i="130"/>
  <c r="M38" i="130"/>
  <c r="S38" i="130" s="1"/>
  <c r="I38" i="130"/>
  <c r="G38" i="130"/>
  <c r="K38" i="130" s="1"/>
  <c r="M37" i="130"/>
  <c r="I37" i="130"/>
  <c r="Q36" i="130"/>
  <c r="M36" i="130"/>
  <c r="S36" i="130" s="1"/>
  <c r="I36" i="130"/>
  <c r="G36" i="130"/>
  <c r="K36" i="130" s="1"/>
  <c r="M35" i="130"/>
  <c r="G35" i="130" s="1"/>
  <c r="K35" i="130" s="1"/>
  <c r="I35" i="130"/>
  <c r="Q34" i="130"/>
  <c r="M34" i="130"/>
  <c r="S34" i="130" s="1"/>
  <c r="I34" i="130"/>
  <c r="G34" i="130"/>
  <c r="K34" i="130" s="1"/>
  <c r="M33" i="130"/>
  <c r="I33" i="130"/>
  <c r="Q32" i="130"/>
  <c r="M32" i="130"/>
  <c r="S32" i="130" s="1"/>
  <c r="I32" i="130"/>
  <c r="G32" i="130"/>
  <c r="K32" i="130" s="1"/>
  <c r="M31" i="130"/>
  <c r="G31" i="130" s="1"/>
  <c r="K31" i="130" s="1"/>
  <c r="I31" i="130"/>
  <c r="Q30" i="130"/>
  <c r="M30" i="130"/>
  <c r="S30" i="130" s="1"/>
  <c r="I30" i="130"/>
  <c r="G30" i="130"/>
  <c r="K30" i="130" s="1"/>
  <c r="M29" i="130"/>
  <c r="Q29" i="130" s="1"/>
  <c r="S29" i="130" s="1"/>
  <c r="I29" i="130"/>
  <c r="Q28" i="130"/>
  <c r="M28" i="130"/>
  <c r="S28" i="130" s="1"/>
  <c r="I28" i="130"/>
  <c r="G28" i="130"/>
  <c r="K28" i="130" s="1"/>
  <c r="M27" i="130"/>
  <c r="G27" i="130" s="1"/>
  <c r="K27" i="130" s="1"/>
  <c r="I27" i="130"/>
  <c r="Q26" i="130"/>
  <c r="M26" i="130"/>
  <c r="S26" i="130" s="1"/>
  <c r="I26" i="130"/>
  <c r="G26" i="130"/>
  <c r="K26" i="130" s="1"/>
  <c r="M25" i="130"/>
  <c r="Q25" i="130" s="1"/>
  <c r="S25" i="130" s="1"/>
  <c r="I25" i="130"/>
  <c r="Q24" i="130"/>
  <c r="M24" i="130"/>
  <c r="S24" i="130" s="1"/>
  <c r="I24" i="130"/>
  <c r="G24" i="130"/>
  <c r="K24" i="130" s="1"/>
  <c r="M23" i="130"/>
  <c r="G23" i="130" s="1"/>
  <c r="K23" i="130" s="1"/>
  <c r="I23" i="130"/>
  <c r="Q22" i="130"/>
  <c r="M22" i="130"/>
  <c r="S22" i="130" s="1"/>
  <c r="I22" i="130"/>
  <c r="G22" i="130"/>
  <c r="K22" i="130" s="1"/>
  <c r="M21" i="130"/>
  <c r="Q21" i="130" s="1"/>
  <c r="S21" i="130" s="1"/>
  <c r="I21" i="130"/>
  <c r="Q20" i="130"/>
  <c r="M20" i="130"/>
  <c r="S20" i="130" s="1"/>
  <c r="I20" i="130"/>
  <c r="G20" i="130"/>
  <c r="K20" i="130" s="1"/>
  <c r="M19" i="130"/>
  <c r="G19" i="130" s="1"/>
  <c r="K19" i="130" s="1"/>
  <c r="I19" i="130"/>
  <c r="Q18" i="130"/>
  <c r="M18" i="130"/>
  <c r="S18" i="130" s="1"/>
  <c r="I18" i="130"/>
  <c r="G18" i="130"/>
  <c r="K18" i="130" s="1"/>
  <c r="S11" i="130"/>
  <c r="O11" i="130"/>
  <c r="K11" i="130"/>
  <c r="I11" i="130"/>
  <c r="G11" i="130"/>
  <c r="E11" i="130"/>
  <c r="B11" i="130"/>
  <c r="S10" i="130"/>
  <c r="K10" i="130"/>
  <c r="I10" i="130"/>
  <c r="G10" i="130"/>
  <c r="E10" i="130"/>
  <c r="C10" i="130"/>
  <c r="B10" i="130"/>
  <c r="S9" i="130"/>
  <c r="G9" i="130"/>
  <c r="E9" i="130"/>
  <c r="C9" i="130"/>
  <c r="B9" i="130"/>
  <c r="C8" i="130"/>
  <c r="Q19" i="130" l="1"/>
  <c r="S19" i="130" s="1"/>
  <c r="G21" i="130"/>
  <c r="K21" i="130" s="1"/>
  <c r="Q23" i="130"/>
  <c r="S23" i="130" s="1"/>
  <c r="G25" i="130"/>
  <c r="K25" i="130" s="1"/>
  <c r="Q27" i="130"/>
  <c r="S27" i="130" s="1"/>
  <c r="G29" i="130"/>
  <c r="K29" i="130" s="1"/>
  <c r="Q31" i="130"/>
  <c r="S31" i="130" s="1"/>
  <c r="G33" i="130"/>
  <c r="K33" i="130" s="1"/>
  <c r="Q35" i="130"/>
  <c r="S35" i="130" s="1"/>
  <c r="G37" i="130"/>
  <c r="K37" i="130" s="1"/>
  <c r="Q39" i="130"/>
  <c r="S39" i="130" s="1"/>
  <c r="G41" i="130"/>
  <c r="K41" i="130" s="1"/>
  <c r="Q43" i="130"/>
  <c r="G45" i="130"/>
  <c r="K45" i="130" s="1"/>
  <c r="Q47" i="130"/>
  <c r="G49" i="130"/>
  <c r="K49" i="130" s="1"/>
  <c r="Q51" i="130"/>
  <c r="S51" i="130" s="1"/>
  <c r="G53" i="130"/>
  <c r="K53" i="130" s="1"/>
  <c r="Q55" i="130"/>
  <c r="G57" i="130"/>
  <c r="K57" i="130" s="1"/>
  <c r="Q59" i="130"/>
  <c r="S59" i="130" s="1"/>
  <c r="G61" i="130"/>
  <c r="K61" i="130" s="1"/>
  <c r="Q63" i="130"/>
  <c r="S43" i="130"/>
  <c r="S47" i="130"/>
  <c r="S55" i="130"/>
  <c r="S63" i="130"/>
  <c r="Q33" i="130"/>
  <c r="S33" i="130" s="1"/>
  <c r="Q37" i="130"/>
  <c r="S37" i="130" s="1"/>
  <c r="Q41" i="130"/>
  <c r="S41" i="130" s="1"/>
  <c r="Q45" i="130"/>
  <c r="S45" i="130" s="1"/>
  <c r="Q49" i="130"/>
  <c r="S49" i="130" s="1"/>
  <c r="Q53" i="130"/>
  <c r="S53" i="130" s="1"/>
  <c r="Q57" i="130"/>
  <c r="S57" i="130" s="1"/>
  <c r="Q61" i="130"/>
  <c r="S61" i="130" s="1"/>
  <c r="F39" i="129" l="1"/>
  <c r="F38" i="129"/>
  <c r="N38" i="129" s="1"/>
  <c r="F37" i="129"/>
  <c r="H37" i="129" s="1"/>
  <c r="F36" i="129"/>
  <c r="J36" i="129" s="1"/>
  <c r="F35" i="129"/>
  <c r="N35" i="129" s="1"/>
  <c r="F34" i="129"/>
  <c r="N34" i="129" s="1"/>
  <c r="F33" i="129"/>
  <c r="N33" i="129" s="1"/>
  <c r="F32" i="129"/>
  <c r="N32" i="129" s="1"/>
  <c r="F31" i="129"/>
  <c r="F30" i="129"/>
  <c r="F29" i="129"/>
  <c r="H29" i="129" s="1"/>
  <c r="F28" i="129"/>
  <c r="N28" i="129" s="1"/>
  <c r="R28" i="129" s="1"/>
  <c r="T28" i="129" s="1"/>
  <c r="F27" i="129"/>
  <c r="N27" i="129" s="1"/>
  <c r="F26" i="129"/>
  <c r="N26" i="129" s="1"/>
  <c r="F25" i="129"/>
  <c r="N25" i="129" s="1"/>
  <c r="F24" i="129"/>
  <c r="F23" i="129"/>
  <c r="F22" i="129"/>
  <c r="J22" i="129" s="1"/>
  <c r="F21" i="129"/>
  <c r="H21" i="129" s="1"/>
  <c r="F20" i="129"/>
  <c r="N20" i="129" s="1"/>
  <c r="R20" i="129" s="1"/>
  <c r="T20" i="129" s="1"/>
  <c r="H11" i="129"/>
  <c r="C11" i="129"/>
  <c r="D10" i="129"/>
  <c r="C10" i="129"/>
  <c r="F41" i="129" l="1"/>
  <c r="F40" i="129"/>
  <c r="N39" i="129"/>
  <c r="H39" i="129"/>
  <c r="J25" i="129"/>
  <c r="J32" i="129"/>
  <c r="N24" i="129"/>
  <c r="R24" i="129" s="1"/>
  <c r="T24" i="129" s="1"/>
  <c r="F43" i="129"/>
  <c r="N36" i="129"/>
  <c r="R36" i="129" s="1"/>
  <c r="T36" i="129" s="1"/>
  <c r="J37" i="129"/>
  <c r="L37" i="129" s="1"/>
  <c r="N21" i="129"/>
  <c r="R21" i="129" s="1"/>
  <c r="T21" i="129" s="1"/>
  <c r="J29" i="129"/>
  <c r="L29" i="129" s="1"/>
  <c r="J33" i="129"/>
  <c r="N37" i="129"/>
  <c r="R37" i="129" s="1"/>
  <c r="T37" i="129" s="1"/>
  <c r="J20" i="129"/>
  <c r="H28" i="129"/>
  <c r="J21" i="129"/>
  <c r="L21" i="129" s="1"/>
  <c r="H20" i="129"/>
  <c r="H24" i="129"/>
  <c r="J28" i="129"/>
  <c r="H36" i="129"/>
  <c r="L36" i="129" s="1"/>
  <c r="N29" i="129"/>
  <c r="R29" i="129" s="1"/>
  <c r="T29" i="129" s="1"/>
  <c r="J24" i="129"/>
  <c r="H32" i="129"/>
  <c r="R25" i="129"/>
  <c r="T25" i="129" s="1"/>
  <c r="R33" i="129"/>
  <c r="T33" i="129" s="1"/>
  <c r="R26" i="129"/>
  <c r="T26" i="129" s="1"/>
  <c r="R34" i="129"/>
  <c r="T34" i="129" s="1"/>
  <c r="R27" i="129"/>
  <c r="T27" i="129" s="1"/>
  <c r="R35" i="129"/>
  <c r="T35" i="129" s="1"/>
  <c r="R38" i="129"/>
  <c r="T38" i="129" s="1"/>
  <c r="R39" i="129"/>
  <c r="T39" i="129" s="1"/>
  <c r="R32" i="129"/>
  <c r="T32" i="129" s="1"/>
  <c r="N23" i="129"/>
  <c r="N31" i="129"/>
  <c r="N22" i="129"/>
  <c r="H27" i="129"/>
  <c r="N30" i="129"/>
  <c r="H35" i="129"/>
  <c r="H26" i="129"/>
  <c r="J27" i="129"/>
  <c r="H34" i="129"/>
  <c r="J35" i="129"/>
  <c r="H25" i="129"/>
  <c r="L25" i="129" s="1"/>
  <c r="J26" i="129"/>
  <c r="H33" i="129"/>
  <c r="J34" i="129"/>
  <c r="H31" i="129"/>
  <c r="H23" i="129"/>
  <c r="H22" i="129"/>
  <c r="L22" i="129" s="1"/>
  <c r="J23" i="129"/>
  <c r="H30" i="129"/>
  <c r="J31" i="129"/>
  <c r="H38" i="129"/>
  <c r="J39" i="129"/>
  <c r="L39" i="129" s="1"/>
  <c r="J30" i="129"/>
  <c r="J38" i="129"/>
  <c r="H41" i="129" l="1"/>
  <c r="J41" i="129"/>
  <c r="L41" i="129"/>
  <c r="L32" i="129"/>
  <c r="L33" i="129"/>
  <c r="J43" i="129"/>
  <c r="H43" i="129"/>
  <c r="L43" i="129" s="1"/>
  <c r="AH25" i="127" s="1"/>
  <c r="H40" i="129"/>
  <c r="J40" i="129"/>
  <c r="L27" i="129"/>
  <c r="L34" i="129"/>
  <c r="L26" i="129"/>
  <c r="L35" i="129"/>
  <c r="L24" i="129"/>
  <c r="L20" i="129"/>
  <c r="L30" i="129"/>
  <c r="L28" i="129"/>
  <c r="L23" i="129"/>
  <c r="L38" i="129"/>
  <c r="L31" i="129"/>
  <c r="R22" i="129"/>
  <c r="T22" i="129" s="1"/>
  <c r="R31" i="129"/>
  <c r="T31" i="129" s="1"/>
  <c r="R23" i="129"/>
  <c r="T23" i="129" s="1"/>
  <c r="R30" i="129"/>
  <c r="T30" i="129" s="1"/>
  <c r="AY14" i="127" l="1"/>
  <c r="AY22" i="127"/>
  <c r="AY17" i="127"/>
  <c r="AY11" i="127"/>
  <c r="AY8" i="127"/>
  <c r="AY5" i="127"/>
  <c r="L40" i="129"/>
  <c r="AO26" i="127" s="1"/>
  <c r="AK25" i="127"/>
  <c r="AB11" i="127"/>
  <c r="AD11" i="127" s="1"/>
  <c r="AE11" i="127" s="1"/>
  <c r="AB8" i="127"/>
  <c r="AD8" i="127" s="1"/>
  <c r="AE8" i="127" s="1"/>
  <c r="AB17" i="127"/>
  <c r="AD17" i="127" s="1"/>
  <c r="AE17" i="127" s="1"/>
  <c r="AB5" i="127"/>
  <c r="AD5" i="127" s="1"/>
  <c r="AE5" i="127" s="1"/>
  <c r="AB14" i="127"/>
  <c r="AD14" i="127" s="1"/>
  <c r="AE14" i="127" s="1"/>
  <c r="D22" i="127"/>
  <c r="V8" i="127"/>
  <c r="X8" i="127" s="1"/>
  <c r="Y8" i="127" s="1"/>
  <c r="D11" i="127"/>
  <c r="D14" i="127"/>
  <c r="V17" i="127"/>
  <c r="X17" i="127" s="1"/>
  <c r="Y17" i="127" s="1"/>
  <c r="V5" i="127"/>
  <c r="X5" i="127" s="1"/>
  <c r="Y5" i="127" s="1"/>
  <c r="D8" i="127"/>
  <c r="V14" i="127"/>
  <c r="X14" i="127" s="1"/>
  <c r="Y14" i="127" s="1"/>
  <c r="D5" i="127"/>
  <c r="N5" i="127" s="1"/>
  <c r="D24" i="127"/>
  <c r="D17" i="127"/>
  <c r="V11" i="127"/>
  <c r="X11" i="127" s="1"/>
  <c r="Y11" i="127" s="1"/>
  <c r="P34" i="128"/>
  <c r="M34" i="128"/>
  <c r="R34" i="128" s="1"/>
  <c r="I34" i="128"/>
  <c r="G34" i="128"/>
  <c r="K34" i="128" s="1"/>
  <c r="P33" i="128"/>
  <c r="R33" i="128" s="1"/>
  <c r="M33" i="128"/>
  <c r="K33" i="128"/>
  <c r="I33" i="128"/>
  <c r="G33" i="128"/>
  <c r="P32" i="128"/>
  <c r="M32" i="128"/>
  <c r="R32" i="128" s="1"/>
  <c r="I32" i="128"/>
  <c r="G32" i="128"/>
  <c r="K32" i="128" s="1"/>
  <c r="R31" i="128"/>
  <c r="P31" i="128"/>
  <c r="M31" i="128"/>
  <c r="K31" i="128"/>
  <c r="I31" i="128"/>
  <c r="G31" i="128"/>
  <c r="P30" i="128"/>
  <c r="M30" i="128"/>
  <c r="R30" i="128" s="1"/>
  <c r="I30" i="128"/>
  <c r="G30" i="128"/>
  <c r="K30" i="128" s="1"/>
  <c r="P29" i="128"/>
  <c r="R29" i="128" s="1"/>
  <c r="M29" i="128"/>
  <c r="K29" i="128"/>
  <c r="I29" i="128"/>
  <c r="G29" i="128"/>
  <c r="P25" i="128"/>
  <c r="M25" i="128"/>
  <c r="R25" i="128" s="1"/>
  <c r="I25" i="128"/>
  <c r="G25" i="128"/>
  <c r="K25" i="128" s="1"/>
  <c r="R24" i="128"/>
  <c r="P24" i="128"/>
  <c r="M24" i="128"/>
  <c r="K24" i="128"/>
  <c r="I24" i="128"/>
  <c r="G24" i="128"/>
  <c r="P23" i="128"/>
  <c r="M23" i="128"/>
  <c r="R23" i="128" s="1"/>
  <c r="I23" i="128"/>
  <c r="G23" i="128"/>
  <c r="K23" i="128" s="1"/>
  <c r="P21" i="128"/>
  <c r="R21" i="128" s="1"/>
  <c r="M21" i="128"/>
  <c r="K21" i="128"/>
  <c r="I21" i="128"/>
  <c r="G21" i="128"/>
  <c r="P20" i="128"/>
  <c r="M20" i="128"/>
  <c r="G20" i="128" s="1"/>
  <c r="K20" i="128" s="1"/>
  <c r="I20" i="128"/>
  <c r="M19" i="128"/>
  <c r="G19" i="128" s="1"/>
  <c r="K19" i="128" s="1"/>
  <c r="I19" i="128"/>
  <c r="P18" i="128"/>
  <c r="M18" i="128"/>
  <c r="R18" i="128" s="1"/>
  <c r="I18" i="128"/>
  <c r="G18" i="128"/>
  <c r="K18" i="128" s="1"/>
  <c r="P17" i="128"/>
  <c r="R17" i="128" s="1"/>
  <c r="M17" i="128"/>
  <c r="K17" i="128"/>
  <c r="I17" i="128"/>
  <c r="G17" i="128"/>
  <c r="P16" i="128"/>
  <c r="M16" i="128"/>
  <c r="R16" i="128" s="1"/>
  <c r="I16" i="128"/>
  <c r="G16" i="128"/>
  <c r="K16" i="128" s="1"/>
  <c r="K94" i="133" l="1"/>
  <c r="BA8" i="127"/>
  <c r="BB8" i="127" s="1"/>
  <c r="K98" i="133"/>
  <c r="BA5" i="127"/>
  <c r="BB5" i="127" s="1"/>
  <c r="K92" i="133"/>
  <c r="BA11" i="127"/>
  <c r="BB11" i="127" s="1"/>
  <c r="J108" i="133"/>
  <c r="BE26" i="127"/>
  <c r="K96" i="133"/>
  <c r="BA17" i="127"/>
  <c r="BB17" i="127" s="1"/>
  <c r="K102" i="133"/>
  <c r="BA22" i="127"/>
  <c r="K100" i="133"/>
  <c r="BA14" i="127"/>
  <c r="BB14" i="127" s="1"/>
  <c r="AO24" i="127"/>
  <c r="BE24" i="127" s="1"/>
  <c r="G104" i="121" s="1"/>
  <c r="AO11" i="127"/>
  <c r="BE11" i="127" s="1"/>
  <c r="G92" i="121" s="1"/>
  <c r="AO5" i="127"/>
  <c r="BE5" i="127" s="1"/>
  <c r="G98" i="121" s="1"/>
  <c r="AO22" i="127"/>
  <c r="BE22" i="127" s="1"/>
  <c r="G102" i="121" s="1"/>
  <c r="AO8" i="127"/>
  <c r="BE8" i="127" s="1"/>
  <c r="G94" i="121" s="1"/>
  <c r="AO17" i="127"/>
  <c r="BE17" i="127" s="1"/>
  <c r="AO14" i="127"/>
  <c r="BE14" i="127" s="1"/>
  <c r="G100" i="121" s="1"/>
  <c r="AK24" i="127"/>
  <c r="AD21" i="127"/>
  <c r="C143" i="133"/>
  <c r="N8" i="127"/>
  <c r="C142" i="133"/>
  <c r="N11" i="127"/>
  <c r="AJ5" i="127"/>
  <c r="C148" i="133"/>
  <c r="N24" i="127"/>
  <c r="AJ22" i="127"/>
  <c r="AJ11" i="127"/>
  <c r="AL25" i="127"/>
  <c r="C146" i="133"/>
  <c r="N14" i="127"/>
  <c r="C144" i="133"/>
  <c r="N17" i="127"/>
  <c r="AU8" i="127"/>
  <c r="AJ8" i="127"/>
  <c r="C145" i="133"/>
  <c r="C147" i="133"/>
  <c r="N22" i="127"/>
  <c r="AU14" i="127"/>
  <c r="AJ14" i="127"/>
  <c r="AK14" i="127" s="1"/>
  <c r="P19" i="128"/>
  <c r="R19" i="128" s="1"/>
  <c r="C22" i="127"/>
  <c r="C14" i="127"/>
  <c r="C8" i="127"/>
  <c r="C5" i="127"/>
  <c r="C104" i="131" s="1"/>
  <c r="H98" i="132" s="1"/>
  <c r="C17" i="127"/>
  <c r="C103" i="131" s="1"/>
  <c r="H96" i="132" s="1"/>
  <c r="C11" i="127"/>
  <c r="R20" i="128"/>
  <c r="E42" i="127"/>
  <c r="D42" i="127"/>
  <c r="C42" i="127"/>
  <c r="E40" i="127"/>
  <c r="D40" i="127"/>
  <c r="C40" i="127"/>
  <c r="E38" i="127"/>
  <c r="D38" i="127"/>
  <c r="C38" i="127"/>
  <c r="D36" i="127"/>
  <c r="F36" i="127" s="1"/>
  <c r="E34" i="127"/>
  <c r="D34" i="127"/>
  <c r="C34" i="127"/>
  <c r="E32" i="127"/>
  <c r="D32" i="127"/>
  <c r="C32" i="127"/>
  <c r="E29" i="127"/>
  <c r="D29" i="127"/>
  <c r="C29" i="127"/>
  <c r="F24" i="127"/>
  <c r="F17" i="127"/>
  <c r="BG20" i="127" l="1"/>
  <c r="G96" i="121"/>
  <c r="AV22" i="127"/>
  <c r="J102" i="133"/>
  <c r="G102" i="133" s="1"/>
  <c r="AV14" i="127"/>
  <c r="J100" i="133"/>
  <c r="G100" i="133" s="1"/>
  <c r="M100" i="133" s="1"/>
  <c r="AV5" i="127"/>
  <c r="AQ5" i="127"/>
  <c r="AR5" i="127" s="1"/>
  <c r="AU5" i="127"/>
  <c r="J98" i="133"/>
  <c r="G98" i="133" s="1"/>
  <c r="AU17" i="127"/>
  <c r="AV17" i="127"/>
  <c r="J96" i="133"/>
  <c r="G96" i="133" s="1"/>
  <c r="AU11" i="127"/>
  <c r="F88" i="125" s="1"/>
  <c r="G9" i="119" s="1"/>
  <c r="AV11" i="127"/>
  <c r="J92" i="133"/>
  <c r="G92" i="133" s="1"/>
  <c r="AV8" i="127"/>
  <c r="J94" i="133"/>
  <c r="G94" i="133" s="1"/>
  <c r="AU24" i="127"/>
  <c r="AV24" i="127"/>
  <c r="J104" i="133"/>
  <c r="G104" i="133" s="1"/>
  <c r="AL24" i="127"/>
  <c r="AJ17" i="127"/>
  <c r="AK17" i="127" s="1"/>
  <c r="AQ24" i="127"/>
  <c r="AQ22" i="127"/>
  <c r="H144" i="125"/>
  <c r="H128" i="125"/>
  <c r="H112" i="125"/>
  <c r="H96" i="125"/>
  <c r="H80" i="125"/>
  <c r="H64" i="125"/>
  <c r="H48" i="125"/>
  <c r="H32" i="125"/>
  <c r="H16" i="125"/>
  <c r="H24" i="125"/>
  <c r="H8" i="125"/>
  <c r="H136" i="125"/>
  <c r="H120" i="125"/>
  <c r="H104" i="125"/>
  <c r="H88" i="125"/>
  <c r="I9" i="119" s="1"/>
  <c r="H72" i="125"/>
  <c r="H56" i="125"/>
  <c r="H40" i="125"/>
  <c r="J136" i="125"/>
  <c r="J120" i="125"/>
  <c r="J104" i="125"/>
  <c r="J88" i="125"/>
  <c r="K9" i="119" s="1"/>
  <c r="J72" i="125"/>
  <c r="J56" i="125"/>
  <c r="J40" i="125"/>
  <c r="J24" i="125"/>
  <c r="J8" i="125"/>
  <c r="J16" i="125"/>
  <c r="J144" i="125"/>
  <c r="J128" i="125"/>
  <c r="J112" i="125"/>
  <c r="J96" i="125"/>
  <c r="J80" i="125"/>
  <c r="J64" i="125"/>
  <c r="J48" i="125"/>
  <c r="J32" i="125"/>
  <c r="F104" i="125"/>
  <c r="F40" i="125"/>
  <c r="F128" i="125"/>
  <c r="F64" i="125"/>
  <c r="G144" i="125"/>
  <c r="G128" i="125"/>
  <c r="G112" i="125"/>
  <c r="G96" i="125"/>
  <c r="G80" i="125"/>
  <c r="G64" i="125"/>
  <c r="G48" i="125"/>
  <c r="G32" i="125"/>
  <c r="G16" i="125"/>
  <c r="G8" i="125"/>
  <c r="G136" i="125"/>
  <c r="G120" i="125"/>
  <c r="G104" i="125"/>
  <c r="G88" i="125"/>
  <c r="H9" i="119" s="1"/>
  <c r="G72" i="125"/>
  <c r="G56" i="125"/>
  <c r="G40" i="125"/>
  <c r="G24" i="125"/>
  <c r="AT8" i="127"/>
  <c r="AQ8" i="127"/>
  <c r="AK22" i="127"/>
  <c r="AK8" i="127"/>
  <c r="AT11" i="127"/>
  <c r="AQ11" i="127"/>
  <c r="AT14" i="127"/>
  <c r="AQ14" i="127"/>
  <c r="AT17" i="127"/>
  <c r="AQ17" i="127"/>
  <c r="AK11" i="127"/>
  <c r="AT5" i="127"/>
  <c r="AL17" i="127"/>
  <c r="F8" i="127"/>
  <c r="C102" i="131"/>
  <c r="H94" i="132" s="1"/>
  <c r="F11" i="127"/>
  <c r="C101" i="131"/>
  <c r="H92" i="132" s="1"/>
  <c r="F14" i="127"/>
  <c r="C105" i="131"/>
  <c r="H100" i="132" s="1"/>
  <c r="F5" i="127"/>
  <c r="F22" i="127"/>
  <c r="C106" i="131"/>
  <c r="H102" i="132" s="1"/>
  <c r="F40" i="127"/>
  <c r="F29" i="127"/>
  <c r="F34" i="127"/>
  <c r="F42" i="127"/>
  <c r="F38" i="127"/>
  <c r="F32" i="127"/>
  <c r="J73" i="121"/>
  <c r="J74" i="121"/>
  <c r="J75" i="121"/>
  <c r="J76" i="121"/>
  <c r="J77" i="121"/>
  <c r="J78" i="121"/>
  <c r="J79" i="121"/>
  <c r="J80" i="121"/>
  <c r="J81" i="121"/>
  <c r="J82" i="121"/>
  <c r="J83" i="121"/>
  <c r="J84" i="121"/>
  <c r="J85" i="121"/>
  <c r="J86" i="121"/>
  <c r="J87" i="121"/>
  <c r="J88" i="121"/>
  <c r="J89" i="121"/>
  <c r="J72" i="121"/>
  <c r="I73" i="121"/>
  <c r="I74" i="121"/>
  <c r="I75" i="121"/>
  <c r="I76" i="121"/>
  <c r="I77" i="121"/>
  <c r="I78" i="121"/>
  <c r="I79" i="121"/>
  <c r="I80" i="121"/>
  <c r="I81" i="121"/>
  <c r="I82" i="121"/>
  <c r="I83" i="121"/>
  <c r="I84" i="121"/>
  <c r="I85" i="121"/>
  <c r="I86" i="121"/>
  <c r="I87" i="121"/>
  <c r="I88" i="121"/>
  <c r="I89" i="121"/>
  <c r="I72" i="121"/>
  <c r="H73" i="121"/>
  <c r="H74" i="121"/>
  <c r="H75" i="121"/>
  <c r="H76" i="121"/>
  <c r="H77" i="121"/>
  <c r="H78" i="121"/>
  <c r="H79" i="121"/>
  <c r="H80" i="121"/>
  <c r="H81" i="121"/>
  <c r="H82" i="121"/>
  <c r="H83" i="121"/>
  <c r="H84" i="121"/>
  <c r="H85" i="121"/>
  <c r="H86" i="121"/>
  <c r="H87" i="121"/>
  <c r="H88" i="121"/>
  <c r="H89" i="121"/>
  <c r="H72" i="121"/>
  <c r="G73" i="121"/>
  <c r="G74" i="121"/>
  <c r="G75" i="121"/>
  <c r="G76" i="121"/>
  <c r="G77" i="121"/>
  <c r="G78" i="121"/>
  <c r="G79" i="121"/>
  <c r="G80" i="121"/>
  <c r="G81" i="121"/>
  <c r="G82" i="121"/>
  <c r="G83" i="121"/>
  <c r="G84" i="121"/>
  <c r="G85" i="121"/>
  <c r="G86" i="121"/>
  <c r="G87" i="121"/>
  <c r="G88" i="121"/>
  <c r="G89" i="121"/>
  <c r="G72" i="121"/>
  <c r="F73" i="121"/>
  <c r="F74" i="121"/>
  <c r="F75" i="121"/>
  <c r="F76" i="121"/>
  <c r="F77" i="121"/>
  <c r="F78" i="121"/>
  <c r="F79" i="121"/>
  <c r="F80" i="121"/>
  <c r="F81" i="121"/>
  <c r="F82" i="121"/>
  <c r="F83" i="121"/>
  <c r="F84" i="121"/>
  <c r="F85" i="121"/>
  <c r="F86" i="121"/>
  <c r="F87" i="121"/>
  <c r="F88" i="121"/>
  <c r="F89" i="121"/>
  <c r="F72" i="121"/>
  <c r="E73" i="121"/>
  <c r="E74" i="121"/>
  <c r="E75" i="121"/>
  <c r="E76" i="121"/>
  <c r="E77" i="121"/>
  <c r="E78" i="121"/>
  <c r="E79" i="121"/>
  <c r="E80" i="121"/>
  <c r="E81" i="121"/>
  <c r="E82" i="121"/>
  <c r="E83" i="121"/>
  <c r="E84" i="121"/>
  <c r="E85" i="121"/>
  <c r="E86" i="121"/>
  <c r="E87" i="121"/>
  <c r="E88" i="121"/>
  <c r="E89" i="121"/>
  <c r="E72" i="121"/>
  <c r="D73" i="121"/>
  <c r="D74" i="121"/>
  <c r="D75" i="121"/>
  <c r="D76" i="121"/>
  <c r="D77" i="121"/>
  <c r="D78" i="121"/>
  <c r="D79" i="121"/>
  <c r="D80" i="121"/>
  <c r="D81" i="121"/>
  <c r="D82" i="121"/>
  <c r="D83" i="121"/>
  <c r="D84" i="121"/>
  <c r="D85" i="121"/>
  <c r="D86" i="121"/>
  <c r="D87" i="121"/>
  <c r="D88" i="121"/>
  <c r="D89" i="121"/>
  <c r="D72" i="121"/>
  <c r="J51" i="121"/>
  <c r="J52" i="121"/>
  <c r="J53" i="121"/>
  <c r="J54" i="121"/>
  <c r="J55" i="121"/>
  <c r="J56" i="121"/>
  <c r="J57" i="121"/>
  <c r="J58" i="121"/>
  <c r="J59" i="121"/>
  <c r="J60" i="121"/>
  <c r="J61" i="121"/>
  <c r="J62" i="121"/>
  <c r="J63" i="121"/>
  <c r="J64" i="121"/>
  <c r="J65" i="121"/>
  <c r="J66" i="121"/>
  <c r="J67" i="121"/>
  <c r="J50" i="121"/>
  <c r="I51" i="121"/>
  <c r="I52" i="121"/>
  <c r="I53" i="121"/>
  <c r="I54" i="121"/>
  <c r="I55" i="121"/>
  <c r="I56" i="121"/>
  <c r="I57" i="121"/>
  <c r="I58" i="121"/>
  <c r="I59" i="121"/>
  <c r="I60" i="121"/>
  <c r="I61" i="121"/>
  <c r="I62" i="121"/>
  <c r="I63" i="121"/>
  <c r="I64" i="121"/>
  <c r="I65" i="121"/>
  <c r="I66" i="121"/>
  <c r="I67" i="121"/>
  <c r="I50" i="121"/>
  <c r="H51" i="121"/>
  <c r="H52" i="121"/>
  <c r="H53" i="121"/>
  <c r="H54" i="121"/>
  <c r="H55" i="121"/>
  <c r="H56" i="121"/>
  <c r="H57" i="121"/>
  <c r="H58" i="121"/>
  <c r="H59" i="121"/>
  <c r="H60" i="121"/>
  <c r="H61" i="121"/>
  <c r="H62" i="121"/>
  <c r="H63" i="121"/>
  <c r="H64" i="121"/>
  <c r="H65" i="121"/>
  <c r="H66" i="121"/>
  <c r="H67" i="121"/>
  <c r="H50" i="121"/>
  <c r="G51" i="121"/>
  <c r="G52" i="121"/>
  <c r="G53" i="121"/>
  <c r="G54" i="121"/>
  <c r="G55" i="121"/>
  <c r="G56" i="121"/>
  <c r="G57" i="121"/>
  <c r="G58" i="121"/>
  <c r="G59" i="121"/>
  <c r="G60" i="121"/>
  <c r="G61" i="121"/>
  <c r="G62" i="121"/>
  <c r="G63" i="121"/>
  <c r="G64" i="121"/>
  <c r="G65" i="121"/>
  <c r="G66" i="121"/>
  <c r="G67" i="121"/>
  <c r="G50" i="121"/>
  <c r="F51" i="121"/>
  <c r="F52" i="121"/>
  <c r="F53" i="121"/>
  <c r="F54" i="121"/>
  <c r="F55" i="121"/>
  <c r="F56" i="121"/>
  <c r="F57" i="121"/>
  <c r="F58" i="121"/>
  <c r="F59" i="121"/>
  <c r="F60" i="121"/>
  <c r="F61" i="121"/>
  <c r="F62" i="121"/>
  <c r="F63" i="121"/>
  <c r="F64" i="121"/>
  <c r="F65" i="121"/>
  <c r="F66" i="121"/>
  <c r="F67" i="121"/>
  <c r="F50" i="121"/>
  <c r="E51" i="121"/>
  <c r="E52" i="121"/>
  <c r="E53" i="121"/>
  <c r="E54" i="121"/>
  <c r="E55" i="121"/>
  <c r="E56" i="121"/>
  <c r="E57" i="121"/>
  <c r="E58" i="121"/>
  <c r="E59" i="121"/>
  <c r="E60" i="121"/>
  <c r="E61" i="121"/>
  <c r="E62" i="121"/>
  <c r="E63" i="121"/>
  <c r="E64" i="121"/>
  <c r="E65" i="121"/>
  <c r="E66" i="121"/>
  <c r="E67" i="121"/>
  <c r="E50" i="121"/>
  <c r="D51" i="121"/>
  <c r="D52" i="121"/>
  <c r="D53" i="121"/>
  <c r="D54" i="121"/>
  <c r="D55" i="121"/>
  <c r="D56" i="121"/>
  <c r="D57" i="121"/>
  <c r="D58" i="121"/>
  <c r="D59" i="121"/>
  <c r="D60" i="121"/>
  <c r="D61" i="121"/>
  <c r="D62" i="121"/>
  <c r="D63" i="121"/>
  <c r="D64" i="121"/>
  <c r="D65" i="121"/>
  <c r="D66" i="121"/>
  <c r="D67" i="121"/>
  <c r="D50" i="121"/>
  <c r="J29" i="121"/>
  <c r="J30" i="121"/>
  <c r="J31" i="121"/>
  <c r="J32" i="121"/>
  <c r="J33" i="121"/>
  <c r="J34" i="121"/>
  <c r="J35" i="121"/>
  <c r="J36" i="121"/>
  <c r="J37" i="121"/>
  <c r="J38" i="121"/>
  <c r="J39" i="121"/>
  <c r="J40" i="121"/>
  <c r="J41" i="121"/>
  <c r="J42" i="121"/>
  <c r="J43" i="121"/>
  <c r="J44" i="121"/>
  <c r="J45" i="121"/>
  <c r="J28" i="121"/>
  <c r="I29" i="121"/>
  <c r="I30" i="121"/>
  <c r="I31" i="121"/>
  <c r="I32" i="121"/>
  <c r="I33" i="121"/>
  <c r="I34" i="121"/>
  <c r="I35" i="121"/>
  <c r="I36" i="121"/>
  <c r="I37" i="121"/>
  <c r="I38" i="121"/>
  <c r="I39" i="121"/>
  <c r="I40" i="121"/>
  <c r="I41" i="121"/>
  <c r="I42" i="121"/>
  <c r="I43" i="121"/>
  <c r="I44" i="121"/>
  <c r="I45" i="121"/>
  <c r="I28" i="121"/>
  <c r="H29" i="121"/>
  <c r="H30" i="121"/>
  <c r="H31" i="121"/>
  <c r="H32" i="121"/>
  <c r="H33" i="121"/>
  <c r="H34" i="121"/>
  <c r="H35" i="121"/>
  <c r="H36" i="121"/>
  <c r="H37" i="121"/>
  <c r="H38" i="121"/>
  <c r="H39" i="121"/>
  <c r="H40" i="121"/>
  <c r="H41" i="121"/>
  <c r="H42" i="121"/>
  <c r="H43" i="121"/>
  <c r="H44" i="121"/>
  <c r="H45" i="121"/>
  <c r="H28" i="121"/>
  <c r="G29" i="121"/>
  <c r="G30" i="121"/>
  <c r="G31" i="121"/>
  <c r="G32" i="121"/>
  <c r="G33" i="121"/>
  <c r="G34" i="121"/>
  <c r="G35" i="121"/>
  <c r="G36" i="121"/>
  <c r="G37" i="121"/>
  <c r="G38" i="121"/>
  <c r="G39" i="121"/>
  <c r="G40" i="121"/>
  <c r="G41" i="121"/>
  <c r="G42" i="121"/>
  <c r="G43" i="121"/>
  <c r="G44" i="121"/>
  <c r="G45" i="121"/>
  <c r="G28" i="121"/>
  <c r="F29" i="121"/>
  <c r="F30" i="121"/>
  <c r="F31" i="121"/>
  <c r="F32" i="121"/>
  <c r="F33" i="121"/>
  <c r="F34" i="121"/>
  <c r="F35" i="121"/>
  <c r="F36" i="121"/>
  <c r="F37" i="121"/>
  <c r="F38" i="121"/>
  <c r="F39" i="121"/>
  <c r="F40" i="121"/>
  <c r="F41" i="121"/>
  <c r="F42" i="121"/>
  <c r="F43" i="121"/>
  <c r="F44" i="121"/>
  <c r="F45" i="121"/>
  <c r="F28" i="121"/>
  <c r="E29" i="121"/>
  <c r="E30" i="121"/>
  <c r="E31" i="121"/>
  <c r="E32" i="121"/>
  <c r="E33" i="121"/>
  <c r="E34" i="121"/>
  <c r="E35" i="121"/>
  <c r="E36" i="121"/>
  <c r="E37" i="121"/>
  <c r="E38" i="121"/>
  <c r="E39" i="121"/>
  <c r="E40" i="121"/>
  <c r="E41" i="121"/>
  <c r="E42" i="121"/>
  <c r="E43" i="121"/>
  <c r="E44" i="121"/>
  <c r="E45" i="121"/>
  <c r="E28" i="121"/>
  <c r="D29" i="121"/>
  <c r="D30" i="121"/>
  <c r="D31" i="121"/>
  <c r="D32" i="121"/>
  <c r="D33" i="121"/>
  <c r="D34" i="121"/>
  <c r="D35" i="121"/>
  <c r="D36" i="121"/>
  <c r="D37" i="121"/>
  <c r="D38" i="121"/>
  <c r="D39" i="121"/>
  <c r="D40" i="121"/>
  <c r="D41" i="121"/>
  <c r="D42" i="121"/>
  <c r="D43" i="121"/>
  <c r="D44" i="121"/>
  <c r="D45" i="121"/>
  <c r="D28" i="121"/>
  <c r="J7" i="121"/>
  <c r="J8" i="121"/>
  <c r="J9" i="121"/>
  <c r="J10" i="121"/>
  <c r="J11" i="121"/>
  <c r="J12" i="121"/>
  <c r="J13" i="121"/>
  <c r="J14" i="121"/>
  <c r="J15" i="121"/>
  <c r="J16" i="121"/>
  <c r="J17" i="121"/>
  <c r="J18" i="121"/>
  <c r="J19" i="121"/>
  <c r="J20" i="121"/>
  <c r="J21" i="121"/>
  <c r="J22" i="121"/>
  <c r="J23" i="121"/>
  <c r="J6" i="121"/>
  <c r="I7" i="121"/>
  <c r="I8" i="121"/>
  <c r="I9" i="121"/>
  <c r="I10" i="121"/>
  <c r="I11" i="121"/>
  <c r="I12" i="121"/>
  <c r="I13" i="121"/>
  <c r="I14" i="121"/>
  <c r="I15" i="121"/>
  <c r="I16" i="121"/>
  <c r="I17" i="121"/>
  <c r="I18" i="121"/>
  <c r="I19" i="121"/>
  <c r="I20" i="121"/>
  <c r="I21" i="121"/>
  <c r="I22" i="121"/>
  <c r="I23" i="121"/>
  <c r="I6" i="121"/>
  <c r="H7" i="121"/>
  <c r="H8" i="121"/>
  <c r="H9" i="121"/>
  <c r="H10" i="121"/>
  <c r="H11" i="121"/>
  <c r="H12" i="121"/>
  <c r="H13" i="121"/>
  <c r="H14" i="121"/>
  <c r="H15" i="121"/>
  <c r="H16" i="121"/>
  <c r="H17" i="121"/>
  <c r="H18" i="121"/>
  <c r="H19" i="121"/>
  <c r="H20" i="121"/>
  <c r="H21" i="121"/>
  <c r="H22" i="121"/>
  <c r="H23" i="121"/>
  <c r="H6" i="121"/>
  <c r="G7" i="121"/>
  <c r="G8" i="121"/>
  <c r="G9" i="121"/>
  <c r="G10" i="121"/>
  <c r="G11" i="121"/>
  <c r="G12" i="121"/>
  <c r="G13" i="121"/>
  <c r="G14" i="121"/>
  <c r="G15" i="121"/>
  <c r="G16" i="121"/>
  <c r="G17" i="121"/>
  <c r="G18" i="121"/>
  <c r="G19" i="121"/>
  <c r="G20" i="121"/>
  <c r="G21" i="121"/>
  <c r="G22" i="121"/>
  <c r="G23" i="121"/>
  <c r="G6" i="121"/>
  <c r="F7" i="121"/>
  <c r="F8" i="121"/>
  <c r="F9" i="121"/>
  <c r="F10" i="121"/>
  <c r="F11" i="121"/>
  <c r="F12" i="121"/>
  <c r="F13" i="121"/>
  <c r="F14" i="121"/>
  <c r="F15" i="121"/>
  <c r="F16" i="121"/>
  <c r="F17" i="121"/>
  <c r="F18" i="121"/>
  <c r="F19" i="121"/>
  <c r="F20" i="121"/>
  <c r="F21" i="121"/>
  <c r="F22" i="121"/>
  <c r="F23" i="121"/>
  <c r="F6" i="121"/>
  <c r="E7" i="121"/>
  <c r="E8" i="121"/>
  <c r="E9" i="121"/>
  <c r="E10" i="121"/>
  <c r="E11" i="121"/>
  <c r="E12" i="121"/>
  <c r="E13" i="121"/>
  <c r="E14" i="121"/>
  <c r="E15" i="121"/>
  <c r="E16" i="121"/>
  <c r="E17" i="121"/>
  <c r="E18" i="121"/>
  <c r="E19" i="121"/>
  <c r="E20" i="121"/>
  <c r="E21" i="121"/>
  <c r="E22" i="121"/>
  <c r="E23" i="121"/>
  <c r="E6" i="121"/>
  <c r="D7" i="121"/>
  <c r="D8" i="121"/>
  <c r="D9" i="121"/>
  <c r="D10" i="121"/>
  <c r="D11" i="121"/>
  <c r="D12" i="121"/>
  <c r="D13" i="121"/>
  <c r="D14" i="121"/>
  <c r="D15" i="121"/>
  <c r="D16" i="121"/>
  <c r="D17" i="121"/>
  <c r="D18" i="121"/>
  <c r="D19" i="121"/>
  <c r="D20" i="121"/>
  <c r="D21" i="121"/>
  <c r="D22" i="121"/>
  <c r="D23" i="121"/>
  <c r="D6" i="121"/>
  <c r="R6" i="121" l="1"/>
  <c r="R42" i="133"/>
  <c r="R73" i="133"/>
  <c r="R12" i="133"/>
  <c r="R55" i="133"/>
  <c r="R84" i="133"/>
  <c r="R58" i="133"/>
  <c r="R33" i="133"/>
  <c r="R19" i="133"/>
  <c r="R36" i="133"/>
  <c r="R66" i="133"/>
  <c r="R65" i="133"/>
  <c r="R32" i="133"/>
  <c r="R63" i="133"/>
  <c r="R75" i="133"/>
  <c r="R89" i="133"/>
  <c r="R21" i="133"/>
  <c r="R31" i="133"/>
  <c r="R56" i="133"/>
  <c r="R38" i="133"/>
  <c r="R15" i="133"/>
  <c r="R50" i="133"/>
  <c r="R59" i="133"/>
  <c r="R78" i="133"/>
  <c r="R23" i="133"/>
  <c r="R14" i="133"/>
  <c r="R40" i="133"/>
  <c r="R79" i="133"/>
  <c r="R62" i="133"/>
  <c r="R35" i="133"/>
  <c r="R54" i="133"/>
  <c r="R53" i="133"/>
  <c r="R87" i="133"/>
  <c r="R81" i="133"/>
  <c r="R43" i="133"/>
  <c r="R72" i="133"/>
  <c r="R11" i="133"/>
  <c r="R34" i="133"/>
  <c r="R57" i="133"/>
  <c r="R44" i="133"/>
  <c r="R83" i="133"/>
  <c r="R30" i="133"/>
  <c r="R82" i="133"/>
  <c r="R13" i="133"/>
  <c r="R39" i="133"/>
  <c r="R64" i="133"/>
  <c r="R74" i="133"/>
  <c r="R45" i="133"/>
  <c r="R7" i="133"/>
  <c r="R8" i="133"/>
  <c r="R22" i="133"/>
  <c r="R77" i="133"/>
  <c r="R86" i="133"/>
  <c r="R51" i="133"/>
  <c r="R80" i="133"/>
  <c r="R37" i="133"/>
  <c r="R20" i="133"/>
  <c r="R85" i="133"/>
  <c r="R28" i="133"/>
  <c r="R88" i="133"/>
  <c r="R29" i="133"/>
  <c r="R52" i="133"/>
  <c r="R61" i="133"/>
  <c r="R67" i="133"/>
  <c r="R10" i="133"/>
  <c r="R17" i="133"/>
  <c r="R60" i="133"/>
  <c r="R76" i="133"/>
  <c r="R6" i="133"/>
  <c r="R9" i="133"/>
  <c r="R18" i="133"/>
  <c r="R41" i="133"/>
  <c r="R16" i="133"/>
  <c r="F32" i="125"/>
  <c r="F96" i="125"/>
  <c r="F8" i="125"/>
  <c r="F72" i="125"/>
  <c r="F136" i="125"/>
  <c r="F16" i="125"/>
  <c r="F80" i="125"/>
  <c r="F144" i="125"/>
  <c r="F56" i="125"/>
  <c r="F120" i="125"/>
  <c r="F48" i="125"/>
  <c r="F112" i="125"/>
  <c r="F24" i="125"/>
  <c r="AU22" i="127"/>
  <c r="K112" i="125" s="1"/>
  <c r="I136" i="125"/>
  <c r="I120" i="125"/>
  <c r="I104" i="125"/>
  <c r="I88" i="125"/>
  <c r="J9" i="119" s="1"/>
  <c r="I72" i="125"/>
  <c r="I56" i="125"/>
  <c r="I40" i="125"/>
  <c r="I24" i="125"/>
  <c r="I8" i="125"/>
  <c r="I144" i="125"/>
  <c r="I128" i="125"/>
  <c r="I112" i="125"/>
  <c r="I96" i="125"/>
  <c r="I80" i="125"/>
  <c r="I64" i="125"/>
  <c r="I48" i="125"/>
  <c r="I32" i="125"/>
  <c r="I16" i="125"/>
  <c r="K104" i="125"/>
  <c r="K56" i="125"/>
  <c r="AS5" i="127"/>
  <c r="AL11" i="127"/>
  <c r="AR14" i="127"/>
  <c r="AS14" i="127" s="1"/>
  <c r="AR11" i="127"/>
  <c r="AS11" i="127" s="1"/>
  <c r="AL8" i="127"/>
  <c r="AL5" i="127"/>
  <c r="AR8" i="127"/>
  <c r="AS8" i="127" s="1"/>
  <c r="AR17" i="127"/>
  <c r="AS17" i="127" s="1"/>
  <c r="AL22" i="127"/>
  <c r="AL14" i="127"/>
  <c r="D43" i="58"/>
  <c r="D42" i="58"/>
  <c r="D39" i="58"/>
  <c r="D38" i="58"/>
  <c r="E27" i="58"/>
  <c r="E26" i="58"/>
  <c r="E23" i="58"/>
  <c r="E22" i="58"/>
  <c r="G7" i="58"/>
  <c r="E12" i="58"/>
  <c r="E11" i="58"/>
  <c r="E8" i="58"/>
  <c r="E7" i="58"/>
  <c r="K120" i="125" l="1"/>
  <c r="K32" i="125"/>
  <c r="K64" i="125"/>
  <c r="K144" i="125"/>
  <c r="K128" i="125"/>
  <c r="K40" i="125"/>
  <c r="K8" i="125"/>
  <c r="K72" i="125"/>
  <c r="K136" i="125"/>
  <c r="K80" i="125"/>
  <c r="K24" i="125"/>
  <c r="K88" i="125"/>
  <c r="L9" i="119" s="1"/>
  <c r="K16" i="125"/>
  <c r="K96" i="125"/>
  <c r="K48" i="125"/>
  <c r="G26" i="90"/>
  <c r="G25" i="90"/>
  <c r="S46" i="126" l="1"/>
  <c r="Q46" i="126"/>
  <c r="O46" i="126"/>
  <c r="M46" i="126"/>
  <c r="K46" i="126"/>
  <c r="I46" i="126"/>
  <c r="G46" i="126"/>
  <c r="S45" i="126"/>
  <c r="Q45" i="126"/>
  <c r="O45" i="126"/>
  <c r="M45" i="126"/>
  <c r="K45" i="126"/>
  <c r="I45" i="126"/>
  <c r="G45" i="126"/>
  <c r="S44" i="126"/>
  <c r="Q44" i="126"/>
  <c r="O44" i="126"/>
  <c r="M44" i="126"/>
  <c r="K44" i="126"/>
  <c r="I44" i="126"/>
  <c r="G44" i="126"/>
  <c r="S43" i="126"/>
  <c r="Q43" i="126"/>
  <c r="O43" i="126"/>
  <c r="M43" i="126"/>
  <c r="K43" i="126"/>
  <c r="I43" i="126"/>
  <c r="G43" i="126"/>
  <c r="E42" i="126"/>
  <c r="E41" i="126"/>
  <c r="E40" i="126"/>
  <c r="S39" i="126"/>
  <c r="Q39" i="126"/>
  <c r="O39" i="126"/>
  <c r="M39" i="126"/>
  <c r="K39" i="126"/>
  <c r="I39" i="126"/>
  <c r="G39" i="126"/>
  <c r="S38" i="126"/>
  <c r="Q38" i="126"/>
  <c r="O38" i="126"/>
  <c r="M38" i="126"/>
  <c r="K38" i="126"/>
  <c r="I38" i="126"/>
  <c r="G38" i="126"/>
  <c r="S37" i="126"/>
  <c r="Q37" i="126"/>
  <c r="O37" i="126"/>
  <c r="M37" i="126"/>
  <c r="K37" i="126"/>
  <c r="I37" i="126"/>
  <c r="G37" i="126"/>
  <c r="S36" i="126"/>
  <c r="Q36" i="126"/>
  <c r="O36" i="126"/>
  <c r="M36" i="126"/>
  <c r="K36" i="126"/>
  <c r="I36" i="126"/>
  <c r="G36" i="126"/>
  <c r="S35" i="126"/>
  <c r="Q35" i="126"/>
  <c r="O35" i="126"/>
  <c r="M35" i="126"/>
  <c r="K35" i="126"/>
  <c r="I35" i="126"/>
  <c r="G35" i="126"/>
  <c r="E34" i="126"/>
  <c r="S33" i="126"/>
  <c r="Q33" i="126"/>
  <c r="O33" i="126"/>
  <c r="M33" i="126"/>
  <c r="K33" i="126"/>
  <c r="I33" i="126"/>
  <c r="G33" i="126"/>
  <c r="S32" i="126"/>
  <c r="Q32" i="126"/>
  <c r="O32" i="126"/>
  <c r="M32" i="126"/>
  <c r="K32" i="126"/>
  <c r="I32" i="126"/>
  <c r="G32" i="126"/>
  <c r="K31" i="126"/>
  <c r="I31" i="126"/>
  <c r="E31" i="126"/>
  <c r="S31" i="126" s="1"/>
  <c r="S30" i="126"/>
  <c r="Q30" i="126"/>
  <c r="O30" i="126"/>
  <c r="M30" i="126"/>
  <c r="K30" i="126"/>
  <c r="I30" i="126"/>
  <c r="G30" i="126"/>
  <c r="S29" i="126"/>
  <c r="Q29" i="126"/>
  <c r="O29" i="126"/>
  <c r="M29" i="126"/>
  <c r="K29" i="126"/>
  <c r="I29" i="126"/>
  <c r="G29" i="126"/>
  <c r="R68" i="126"/>
  <c r="P68" i="126"/>
  <c r="N68" i="126"/>
  <c r="L68" i="126"/>
  <c r="J68" i="126"/>
  <c r="H68" i="126"/>
  <c r="F68" i="126"/>
  <c r="R67" i="126"/>
  <c r="P67" i="126"/>
  <c r="N67" i="126"/>
  <c r="L67" i="126"/>
  <c r="J67" i="126"/>
  <c r="H67" i="126"/>
  <c r="F67" i="126"/>
  <c r="R66" i="126"/>
  <c r="P66" i="126"/>
  <c r="N66" i="126"/>
  <c r="L66" i="126"/>
  <c r="J66" i="126"/>
  <c r="H66" i="126"/>
  <c r="F66" i="126"/>
  <c r="R65" i="126"/>
  <c r="P65" i="126"/>
  <c r="N65" i="126"/>
  <c r="L65" i="126"/>
  <c r="J65" i="126"/>
  <c r="H65" i="126"/>
  <c r="F65" i="126"/>
  <c r="S64" i="126"/>
  <c r="R64" i="126"/>
  <c r="Q64" i="126"/>
  <c r="P64" i="126"/>
  <c r="O64" i="126"/>
  <c r="N64" i="126"/>
  <c r="M64" i="126"/>
  <c r="L64" i="126"/>
  <c r="K64" i="126"/>
  <c r="J64" i="126"/>
  <c r="I64" i="126"/>
  <c r="H64" i="126"/>
  <c r="G64" i="126"/>
  <c r="F64" i="126"/>
  <c r="S63" i="126"/>
  <c r="R63" i="126"/>
  <c r="Q63" i="126"/>
  <c r="P63" i="126"/>
  <c r="O63" i="126"/>
  <c r="N63" i="126"/>
  <c r="M63" i="126"/>
  <c r="L63" i="126"/>
  <c r="K63" i="126"/>
  <c r="J63" i="126"/>
  <c r="I63" i="126"/>
  <c r="H63" i="126"/>
  <c r="G63" i="126"/>
  <c r="F63" i="126"/>
  <c r="S62" i="126"/>
  <c r="R62" i="126"/>
  <c r="Q62" i="126"/>
  <c r="P62" i="126"/>
  <c r="O62" i="126"/>
  <c r="N62" i="126"/>
  <c r="M62" i="126"/>
  <c r="L62" i="126"/>
  <c r="K62" i="126"/>
  <c r="J62" i="126"/>
  <c r="I62" i="126"/>
  <c r="H62" i="126"/>
  <c r="G62" i="126"/>
  <c r="F62" i="126"/>
  <c r="R61" i="126"/>
  <c r="P61" i="126"/>
  <c r="N61" i="126"/>
  <c r="L61" i="126"/>
  <c r="J61" i="126"/>
  <c r="H61" i="126"/>
  <c r="F61" i="126"/>
  <c r="E61" i="126"/>
  <c r="R60" i="126"/>
  <c r="P60" i="126"/>
  <c r="N60" i="126"/>
  <c r="L60" i="126"/>
  <c r="J60" i="126"/>
  <c r="H60" i="126"/>
  <c r="F60" i="126"/>
  <c r="R59" i="126"/>
  <c r="P59" i="126"/>
  <c r="N59" i="126"/>
  <c r="L59" i="126"/>
  <c r="J59" i="126"/>
  <c r="H59" i="126"/>
  <c r="F59" i="126"/>
  <c r="R58" i="126"/>
  <c r="P58" i="126"/>
  <c r="N58" i="126"/>
  <c r="L58" i="126"/>
  <c r="J58" i="126"/>
  <c r="H58" i="126"/>
  <c r="F58" i="126"/>
  <c r="R57" i="126"/>
  <c r="P57" i="126"/>
  <c r="N57" i="126"/>
  <c r="L57" i="126"/>
  <c r="J57" i="126"/>
  <c r="H57" i="126"/>
  <c r="F57" i="126"/>
  <c r="S56" i="126"/>
  <c r="R56" i="126"/>
  <c r="Q56" i="126"/>
  <c r="P56" i="126"/>
  <c r="O56" i="126"/>
  <c r="N56" i="126"/>
  <c r="M56" i="126"/>
  <c r="L56" i="126"/>
  <c r="K56" i="126"/>
  <c r="J56" i="126"/>
  <c r="I56" i="126"/>
  <c r="H56" i="126"/>
  <c r="G56" i="126"/>
  <c r="F56" i="126"/>
  <c r="R55" i="126"/>
  <c r="P55" i="126"/>
  <c r="N55" i="126"/>
  <c r="L55" i="126"/>
  <c r="J55" i="126"/>
  <c r="H55" i="126"/>
  <c r="F55" i="126"/>
  <c r="R54" i="126"/>
  <c r="P54" i="126"/>
  <c r="N54" i="126"/>
  <c r="L54" i="126"/>
  <c r="J54" i="126"/>
  <c r="H54" i="126"/>
  <c r="F54" i="126"/>
  <c r="R53" i="126"/>
  <c r="P53" i="126"/>
  <c r="N53" i="126"/>
  <c r="L53" i="126"/>
  <c r="J53" i="126"/>
  <c r="H53" i="126"/>
  <c r="F53" i="126"/>
  <c r="R52" i="126"/>
  <c r="P52" i="126"/>
  <c r="N52" i="126"/>
  <c r="L52" i="126"/>
  <c r="J52" i="126"/>
  <c r="H52" i="126"/>
  <c r="F52" i="126"/>
  <c r="R51" i="126"/>
  <c r="P51" i="126"/>
  <c r="N51" i="126"/>
  <c r="L51" i="126"/>
  <c r="J51" i="126"/>
  <c r="H51" i="126"/>
  <c r="F51" i="126"/>
  <c r="Q65" i="126"/>
  <c r="E55" i="126"/>
  <c r="E54" i="126"/>
  <c r="U22" i="126"/>
  <c r="S22" i="126"/>
  <c r="Q22" i="126"/>
  <c r="Q68" i="126" s="1"/>
  <c r="O22" i="126"/>
  <c r="O68" i="126" s="1"/>
  <c r="M22" i="126"/>
  <c r="K22" i="126"/>
  <c r="I22" i="126"/>
  <c r="G22" i="126"/>
  <c r="U21" i="126"/>
  <c r="S21" i="126"/>
  <c r="Q21" i="126"/>
  <c r="Q67" i="126" s="1"/>
  <c r="O21" i="126"/>
  <c r="O67" i="126" s="1"/>
  <c r="M21" i="126"/>
  <c r="K21" i="126"/>
  <c r="I21" i="126"/>
  <c r="G21" i="126"/>
  <c r="U20" i="126"/>
  <c r="S20" i="126"/>
  <c r="Q20" i="126"/>
  <c r="Q66" i="126" s="1"/>
  <c r="O20" i="126"/>
  <c r="O66" i="126" s="1"/>
  <c r="M20" i="126"/>
  <c r="K20" i="126"/>
  <c r="I20" i="126"/>
  <c r="G20" i="126"/>
  <c r="U19" i="126"/>
  <c r="S19" i="126"/>
  <c r="Q19" i="126"/>
  <c r="O19" i="126"/>
  <c r="O65" i="126" s="1"/>
  <c r="M19" i="126"/>
  <c r="K19" i="126"/>
  <c r="I19" i="126"/>
  <c r="G19" i="126"/>
  <c r="V18" i="126"/>
  <c r="U18" i="126"/>
  <c r="E18" i="126"/>
  <c r="E64" i="126" s="1"/>
  <c r="V17" i="126"/>
  <c r="U17" i="126"/>
  <c r="E17" i="126"/>
  <c r="V16" i="126"/>
  <c r="U16" i="126"/>
  <c r="E16" i="126"/>
  <c r="E62" i="126" s="1"/>
  <c r="U15" i="126"/>
  <c r="S15" i="126"/>
  <c r="S61" i="126" s="1"/>
  <c r="Q15" i="126"/>
  <c r="O15" i="126"/>
  <c r="M15" i="126"/>
  <c r="K15" i="126"/>
  <c r="K61" i="126" s="1"/>
  <c r="I15" i="126"/>
  <c r="G15" i="126"/>
  <c r="U14" i="126"/>
  <c r="S14" i="126"/>
  <c r="S60" i="126" s="1"/>
  <c r="Q14" i="126"/>
  <c r="O14" i="126"/>
  <c r="M14" i="126"/>
  <c r="K14" i="126"/>
  <c r="K60" i="126" s="1"/>
  <c r="I14" i="126"/>
  <c r="G14" i="126"/>
  <c r="U13" i="126"/>
  <c r="S13" i="126"/>
  <c r="Q13" i="126"/>
  <c r="O13" i="126"/>
  <c r="M13" i="126"/>
  <c r="K13" i="126"/>
  <c r="K59" i="126" s="1"/>
  <c r="I13" i="126"/>
  <c r="G13" i="126"/>
  <c r="G59" i="126" s="1"/>
  <c r="U12" i="126"/>
  <c r="S12" i="126"/>
  <c r="S58" i="126" s="1"/>
  <c r="Q12" i="126"/>
  <c r="O12" i="126"/>
  <c r="M12" i="126"/>
  <c r="K12" i="126"/>
  <c r="I12" i="126"/>
  <c r="G12" i="126"/>
  <c r="G58" i="126" s="1"/>
  <c r="U11" i="126"/>
  <c r="S11" i="126"/>
  <c r="S57" i="126" s="1"/>
  <c r="Q11" i="126"/>
  <c r="O11" i="126"/>
  <c r="M11" i="126"/>
  <c r="K11" i="126"/>
  <c r="K57" i="126" s="1"/>
  <c r="I11" i="126"/>
  <c r="G11" i="126"/>
  <c r="G57" i="126" s="1"/>
  <c r="V10" i="126"/>
  <c r="U10" i="126"/>
  <c r="E10" i="126"/>
  <c r="E56" i="126" s="1"/>
  <c r="U9" i="126"/>
  <c r="S9" i="126"/>
  <c r="Q9" i="126"/>
  <c r="O9" i="126"/>
  <c r="M9" i="126"/>
  <c r="M55" i="126" s="1"/>
  <c r="K9" i="126"/>
  <c r="I9" i="126"/>
  <c r="I55" i="126" s="1"/>
  <c r="G9" i="126"/>
  <c r="U8" i="126"/>
  <c r="S8" i="126"/>
  <c r="Q8" i="126"/>
  <c r="O8" i="126"/>
  <c r="M8" i="126"/>
  <c r="K8" i="126"/>
  <c r="I8" i="126"/>
  <c r="I54" i="126" s="1"/>
  <c r="G8" i="126"/>
  <c r="U7" i="126"/>
  <c r="S7" i="126"/>
  <c r="O7" i="126"/>
  <c r="M7" i="126"/>
  <c r="K7" i="126"/>
  <c r="G7" i="126"/>
  <c r="I7" i="126"/>
  <c r="I53" i="126" s="1"/>
  <c r="U6" i="126"/>
  <c r="S6" i="126"/>
  <c r="Q6" i="126"/>
  <c r="O6" i="126"/>
  <c r="M6" i="126"/>
  <c r="M52" i="126" s="1"/>
  <c r="K6" i="126"/>
  <c r="I6" i="126"/>
  <c r="G6" i="126"/>
  <c r="U5" i="126"/>
  <c r="S5" i="126"/>
  <c r="Q5" i="126"/>
  <c r="O5" i="126"/>
  <c r="M5" i="126"/>
  <c r="K5" i="126"/>
  <c r="I5" i="126"/>
  <c r="G5" i="126"/>
  <c r="G51" i="126" s="1"/>
  <c r="V15" i="126" l="1"/>
  <c r="V14" i="126"/>
  <c r="S59" i="126"/>
  <c r="V9" i="126"/>
  <c r="G55" i="126"/>
  <c r="V8" i="126"/>
  <c r="U24" i="126"/>
  <c r="V6" i="126"/>
  <c r="S51" i="126"/>
  <c r="S53" i="126"/>
  <c r="E63" i="126"/>
  <c r="E53" i="126"/>
  <c r="G31" i="126"/>
  <c r="I51" i="126"/>
  <c r="I52" i="126"/>
  <c r="M31" i="126"/>
  <c r="M53" i="126" s="1"/>
  <c r="O31" i="126"/>
  <c r="O53" i="126" s="1"/>
  <c r="M51" i="126"/>
  <c r="Q31" i="126"/>
  <c r="M54" i="126"/>
  <c r="K58" i="126"/>
  <c r="K54" i="126"/>
  <c r="S67" i="126"/>
  <c r="S68" i="126"/>
  <c r="K52" i="126"/>
  <c r="I58" i="126"/>
  <c r="G65" i="126"/>
  <c r="G67" i="126"/>
  <c r="M58" i="126"/>
  <c r="M60" i="126"/>
  <c r="K66" i="126"/>
  <c r="S52" i="126"/>
  <c r="O59" i="126"/>
  <c r="M66" i="126"/>
  <c r="M68" i="126"/>
  <c r="V19" i="126"/>
  <c r="V5" i="126"/>
  <c r="Q7" i="126"/>
  <c r="V20" i="126"/>
  <c r="K51" i="126"/>
  <c r="K53" i="126"/>
  <c r="K55" i="126"/>
  <c r="I57" i="126"/>
  <c r="I59" i="126"/>
  <c r="I60" i="126"/>
  <c r="I61" i="126"/>
  <c r="S65" i="126"/>
  <c r="S66" i="126"/>
  <c r="E52" i="126"/>
  <c r="G54" i="126"/>
  <c r="E60" i="126"/>
  <c r="E68" i="126"/>
  <c r="V11" i="126"/>
  <c r="V21" i="126"/>
  <c r="E51" i="126"/>
  <c r="G53" i="126"/>
  <c r="E59" i="126"/>
  <c r="G61" i="126"/>
  <c r="E67" i="126"/>
  <c r="V12" i="126"/>
  <c r="V22" i="126"/>
  <c r="O51" i="126"/>
  <c r="O52" i="126"/>
  <c r="O54" i="126"/>
  <c r="O55" i="126"/>
  <c r="M57" i="126"/>
  <c r="M59" i="126"/>
  <c r="M61" i="126"/>
  <c r="G66" i="126"/>
  <c r="G68" i="126"/>
  <c r="G52" i="126"/>
  <c r="E58" i="126"/>
  <c r="G60" i="126"/>
  <c r="E66" i="126"/>
  <c r="V13" i="126"/>
  <c r="E24" i="126"/>
  <c r="Q51" i="126"/>
  <c r="Q52" i="126"/>
  <c r="Q54" i="126"/>
  <c r="Q55" i="126"/>
  <c r="O57" i="126"/>
  <c r="O58" i="126"/>
  <c r="O60" i="126"/>
  <c r="O61" i="126"/>
  <c r="I65" i="126"/>
  <c r="I66" i="126"/>
  <c r="I67" i="126"/>
  <c r="I68" i="126"/>
  <c r="E57" i="126"/>
  <c r="E65" i="126"/>
  <c r="S54" i="126"/>
  <c r="S55" i="126"/>
  <c r="Q57" i="126"/>
  <c r="Q58" i="126"/>
  <c r="Q59" i="126"/>
  <c r="Q60" i="126"/>
  <c r="Q61" i="126"/>
  <c r="K65" i="126"/>
  <c r="K67" i="126"/>
  <c r="K68" i="126"/>
  <c r="M65" i="126"/>
  <c r="M67" i="126"/>
  <c r="D141" i="125"/>
  <c r="D133" i="125"/>
  <c r="D125" i="125"/>
  <c r="D117" i="125"/>
  <c r="D109" i="125"/>
  <c r="D101" i="125"/>
  <c r="D93" i="125"/>
  <c r="D85" i="125"/>
  <c r="D77" i="125"/>
  <c r="D69" i="125"/>
  <c r="D61" i="125"/>
  <c r="D53" i="125"/>
  <c r="D45" i="125"/>
  <c r="D37" i="125"/>
  <c r="D29" i="125"/>
  <c r="D21" i="125"/>
  <c r="D13" i="125"/>
  <c r="BM10" i="122"/>
  <c r="BM18" i="122"/>
  <c r="G19" i="124"/>
  <c r="G20" i="124"/>
  <c r="G22" i="124"/>
  <c r="G23" i="124"/>
  <c r="C14" i="124"/>
  <c r="G14" i="124" s="1"/>
  <c r="C12" i="124"/>
  <c r="C10" i="124"/>
  <c r="BO25" i="122"/>
  <c r="BO24" i="122"/>
  <c r="BO23" i="122"/>
  <c r="BO22" i="122"/>
  <c r="BO21" i="122"/>
  <c r="BN20" i="122"/>
  <c r="BO19" i="122"/>
  <c r="BO18" i="122"/>
  <c r="BO17" i="122"/>
  <c r="BO16" i="122"/>
  <c r="BO15" i="122"/>
  <c r="BO14" i="122"/>
  <c r="BO13" i="122"/>
  <c r="BO12" i="122"/>
  <c r="BO11" i="122"/>
  <c r="BO10" i="122"/>
  <c r="BO9" i="122"/>
  <c r="BO8" i="122"/>
  <c r="BO7" i="122"/>
  <c r="K20" i="124" l="1"/>
  <c r="G10" i="124"/>
  <c r="C15" i="124"/>
  <c r="Q53" i="126"/>
  <c r="V7" i="126"/>
  <c r="BN26" i="122"/>
  <c r="BO20" i="122"/>
  <c r="BM26" i="122"/>
  <c r="BL26" i="122"/>
  <c r="E12" i="124" s="1"/>
  <c r="E15" i="124" s="1"/>
  <c r="J4" i="112"/>
  <c r="J5" i="112"/>
  <c r="J6" i="112"/>
  <c r="J7" i="112"/>
  <c r="J8" i="112"/>
  <c r="J9" i="112"/>
  <c r="J10" i="112"/>
  <c r="J11" i="112"/>
  <c r="J12" i="112"/>
  <c r="J13" i="112"/>
  <c r="J14" i="112"/>
  <c r="J15" i="112"/>
  <c r="J17" i="112"/>
  <c r="J18" i="112"/>
  <c r="J19" i="112"/>
  <c r="J20" i="112"/>
  <c r="J22" i="112"/>
  <c r="J23" i="112"/>
  <c r="D21" i="123"/>
  <c r="J12" i="120" s="1"/>
  <c r="D20" i="123"/>
  <c r="J10" i="120" s="1"/>
  <c r="D19" i="123"/>
  <c r="J16" i="120" s="1"/>
  <c r="D18" i="123"/>
  <c r="J9" i="120" s="1"/>
  <c r="D17" i="123"/>
  <c r="J17" i="120" s="1"/>
  <c r="D16" i="123"/>
  <c r="J15" i="120" s="1"/>
  <c r="D15" i="123"/>
  <c r="J18" i="120" s="1"/>
  <c r="D14" i="123"/>
  <c r="J6" i="120" s="1"/>
  <c r="D13" i="123"/>
  <c r="J8" i="120" s="1"/>
  <c r="D12" i="123"/>
  <c r="J19" i="120" s="1"/>
  <c r="D11" i="123"/>
  <c r="J21" i="120" s="1"/>
  <c r="D10" i="123"/>
  <c r="J20" i="120" s="1"/>
  <c r="D9" i="123"/>
  <c r="J7" i="120" s="1"/>
  <c r="D8" i="123"/>
  <c r="J4" i="120" s="1"/>
  <c r="D7" i="123"/>
  <c r="J14" i="120" s="1"/>
  <c r="D6" i="123"/>
  <c r="J11" i="120" s="1"/>
  <c r="D5" i="123"/>
  <c r="D4" i="123"/>
  <c r="J13" i="120" s="1"/>
  <c r="AD64" i="122"/>
  <c r="AC64" i="122"/>
  <c r="AB64" i="122"/>
  <c r="AA64" i="122"/>
  <c r="Z64" i="122"/>
  <c r="AC62" i="122"/>
  <c r="AB62" i="122"/>
  <c r="AA62" i="122"/>
  <c r="F55" i="122"/>
  <c r="G54" i="122"/>
  <c r="G53" i="122"/>
  <c r="G52" i="122"/>
  <c r="BC26" i="122"/>
  <c r="BB26" i="122"/>
  <c r="AX26" i="122"/>
  <c r="AW26" i="122"/>
  <c r="AV26" i="122"/>
  <c r="AU26" i="122"/>
  <c r="AQ26" i="122"/>
  <c r="AP26" i="122"/>
  <c r="AO26" i="122"/>
  <c r="AN26" i="122"/>
  <c r="AJ26" i="122"/>
  <c r="AI26" i="122"/>
  <c r="AH26" i="122"/>
  <c r="AG26" i="122"/>
  <c r="Y26" i="122"/>
  <c r="BJ25" i="122"/>
  <c r="BE25" i="122"/>
  <c r="AZ25" i="122"/>
  <c r="AS25" i="122"/>
  <c r="AL25" i="122"/>
  <c r="AA25" i="122"/>
  <c r="AE25" i="122" s="1"/>
  <c r="Y25" i="122"/>
  <c r="BJ24" i="122"/>
  <c r="BE24" i="122"/>
  <c r="AZ24" i="122"/>
  <c r="AS24" i="122"/>
  <c r="AL24" i="122"/>
  <c r="Z24" i="122"/>
  <c r="AE24" i="122" s="1"/>
  <c r="Y24" i="122"/>
  <c r="X24" i="122"/>
  <c r="BJ23" i="122"/>
  <c r="BE23" i="122"/>
  <c r="AZ23" i="122"/>
  <c r="AS23" i="122"/>
  <c r="AL23" i="122"/>
  <c r="AA23" i="122"/>
  <c r="Z23" i="122"/>
  <c r="AE23" i="122" s="1"/>
  <c r="Y23" i="122"/>
  <c r="X23" i="122"/>
  <c r="BJ22" i="122"/>
  <c r="BE22" i="122"/>
  <c r="AZ22" i="122"/>
  <c r="AS22" i="122"/>
  <c r="AL22" i="122"/>
  <c r="AC22" i="122"/>
  <c r="AE22" i="122" s="1"/>
  <c r="Y22" i="122"/>
  <c r="V22" i="122"/>
  <c r="BJ21" i="122"/>
  <c r="BE21" i="122"/>
  <c r="AZ21" i="122"/>
  <c r="AS21" i="122"/>
  <c r="AL21" i="122"/>
  <c r="AC21" i="122"/>
  <c r="Z21" i="122"/>
  <c r="X21" i="122"/>
  <c r="V21" i="122"/>
  <c r="Y21" i="122" s="1"/>
  <c r="BI20" i="122"/>
  <c r="BI26" i="122" s="1"/>
  <c r="BG20" i="122"/>
  <c r="BD20" i="122"/>
  <c r="BD26" i="122" s="1"/>
  <c r="AY20" i="122"/>
  <c r="AY26" i="122" s="1"/>
  <c r="AR20" i="122"/>
  <c r="AR26" i="122" s="1"/>
  <c r="AK20" i="122"/>
  <c r="AK26" i="122" s="1"/>
  <c r="AD20" i="122"/>
  <c r="AC20" i="122"/>
  <c r="Z20" i="122"/>
  <c r="AE20" i="122" s="1"/>
  <c r="Y20" i="122"/>
  <c r="X20" i="122"/>
  <c r="V20" i="122"/>
  <c r="BJ19" i="122"/>
  <c r="BE19" i="122"/>
  <c r="AZ19" i="122"/>
  <c r="AS19" i="122"/>
  <c r="AL19" i="122"/>
  <c r="AE19" i="122"/>
  <c r="AA19" i="122"/>
  <c r="Y19" i="122"/>
  <c r="BH18" i="122"/>
  <c r="BJ18" i="122" s="1"/>
  <c r="BE18" i="122"/>
  <c r="AZ18" i="122"/>
  <c r="AS18" i="122"/>
  <c r="AL18" i="122"/>
  <c r="AD18" i="122"/>
  <c r="AD26" i="122" s="1"/>
  <c r="AD66" i="122" s="1"/>
  <c r="AB18" i="122"/>
  <c r="AA18" i="122"/>
  <c r="AA26" i="122" s="1"/>
  <c r="AA59" i="122" s="1"/>
  <c r="Y18" i="122"/>
  <c r="X18" i="122"/>
  <c r="BG17" i="122"/>
  <c r="BE17" i="122"/>
  <c r="AZ17" i="122"/>
  <c r="AS17" i="122"/>
  <c r="AL17" i="122"/>
  <c r="AB17" i="122"/>
  <c r="Z17" i="122"/>
  <c r="Y17" i="122"/>
  <c r="X17" i="122"/>
  <c r="H17" i="122"/>
  <c r="BJ16" i="122"/>
  <c r="BE16" i="122"/>
  <c r="AZ16" i="122"/>
  <c r="AS16" i="122"/>
  <c r="AL16" i="122"/>
  <c r="AE16" i="122"/>
  <c r="Y16" i="122"/>
  <c r="BJ15" i="122"/>
  <c r="BE15" i="122"/>
  <c r="AZ15" i="122"/>
  <c r="AS15" i="122"/>
  <c r="AL15" i="122"/>
  <c r="AC15" i="122"/>
  <c r="Z15" i="122"/>
  <c r="V15" i="122"/>
  <c r="Y15" i="122" s="1"/>
  <c r="BJ14" i="122"/>
  <c r="BE14" i="122"/>
  <c r="AZ14" i="122"/>
  <c r="AS14" i="122"/>
  <c r="AL14" i="122"/>
  <c r="Z14" i="122"/>
  <c r="AE14" i="122" s="1"/>
  <c r="Y14" i="122"/>
  <c r="S14" i="122"/>
  <c r="BJ13" i="122"/>
  <c r="BE13" i="122"/>
  <c r="AZ13" i="122"/>
  <c r="AS13" i="122"/>
  <c r="AL13" i="122"/>
  <c r="AE13" i="122"/>
  <c r="Y13" i="122"/>
  <c r="X13" i="122"/>
  <c r="BJ12" i="122"/>
  <c r="BE12" i="122"/>
  <c r="AZ12" i="122"/>
  <c r="AS12" i="122"/>
  <c r="AL12" i="122"/>
  <c r="Z12" i="122"/>
  <c r="AE12" i="122" s="1"/>
  <c r="Y12" i="122"/>
  <c r="X12" i="122"/>
  <c r="BJ11" i="122"/>
  <c r="BE11" i="122"/>
  <c r="AZ11" i="122"/>
  <c r="AS11" i="122"/>
  <c r="AL11" i="122"/>
  <c r="AE11" i="122"/>
  <c r="Y11" i="122"/>
  <c r="BH10" i="122"/>
  <c r="BJ10" i="122" s="1"/>
  <c r="BE10" i="122"/>
  <c r="AZ10" i="122"/>
  <c r="AS10" i="122"/>
  <c r="AL10" i="122"/>
  <c r="AC10" i="122"/>
  <c r="AB10" i="122"/>
  <c r="AB26" i="122" s="1"/>
  <c r="AB59" i="122" s="1"/>
  <c r="Y10" i="122"/>
  <c r="BJ9" i="122"/>
  <c r="BE9" i="122"/>
  <c r="AZ9" i="122"/>
  <c r="AS9" i="122"/>
  <c r="AL9" i="122"/>
  <c r="AE9" i="122"/>
  <c r="Y9" i="122"/>
  <c r="BJ8" i="122"/>
  <c r="BE8" i="122"/>
  <c r="AZ8" i="122"/>
  <c r="AS8" i="122"/>
  <c r="AL8" i="122"/>
  <c r="AE8" i="122"/>
  <c r="Y8" i="122"/>
  <c r="BJ7" i="122"/>
  <c r="BE7" i="122"/>
  <c r="AZ7" i="122"/>
  <c r="AS7" i="122"/>
  <c r="AL7" i="122"/>
  <c r="AC7" i="122"/>
  <c r="AC26" i="122" s="1"/>
  <c r="AC59" i="122" s="1"/>
  <c r="Z7" i="122"/>
  <c r="X7" i="122"/>
  <c r="X26" i="122" s="1"/>
  <c r="V7" i="122"/>
  <c r="Y7" i="122" s="1"/>
  <c r="G22" i="90"/>
  <c r="G21" i="90"/>
  <c r="B15" i="90"/>
  <c r="F66" i="98"/>
  <c r="M20" i="120"/>
  <c r="AQ129" i="121"/>
  <c r="S129" i="121"/>
  <c r="Y87" i="131" s="1"/>
  <c r="AQ128" i="121"/>
  <c r="S128" i="121"/>
  <c r="Y86" i="131" s="1"/>
  <c r="AQ127" i="121"/>
  <c r="S127" i="121"/>
  <c r="Y85" i="131" s="1"/>
  <c r="AQ126" i="121"/>
  <c r="S126" i="121"/>
  <c r="Y84" i="131" s="1"/>
  <c r="AQ125" i="121"/>
  <c r="S125" i="121"/>
  <c r="Y83" i="131" s="1"/>
  <c r="AQ124" i="121"/>
  <c r="S124" i="121"/>
  <c r="AQ123" i="121"/>
  <c r="S123" i="121"/>
  <c r="AQ122" i="121"/>
  <c r="S122" i="121"/>
  <c r="Y80" i="131" s="1"/>
  <c r="AQ121" i="121"/>
  <c r="S121" i="121"/>
  <c r="Y79" i="131" s="1"/>
  <c r="AQ120" i="121"/>
  <c r="S120" i="121"/>
  <c r="Y78" i="131" s="1"/>
  <c r="AQ119" i="121"/>
  <c r="S119" i="121"/>
  <c r="Y77" i="131" s="1"/>
  <c r="AQ118" i="121"/>
  <c r="S118" i="121"/>
  <c r="Y76" i="131" s="1"/>
  <c r="AQ117" i="121"/>
  <c r="S117" i="121"/>
  <c r="Y75" i="131" s="1"/>
  <c r="AQ116" i="121"/>
  <c r="S116" i="121"/>
  <c r="Y74" i="131" s="1"/>
  <c r="AQ115" i="121"/>
  <c r="S115" i="121"/>
  <c r="Y73" i="131" s="1"/>
  <c r="AQ114" i="121"/>
  <c r="S114" i="121"/>
  <c r="Y72" i="131" s="1"/>
  <c r="AQ113" i="121"/>
  <c r="S113" i="121"/>
  <c r="Y71" i="131" s="1"/>
  <c r="AQ112" i="121"/>
  <c r="S112" i="121"/>
  <c r="O111" i="121"/>
  <c r="N111" i="121"/>
  <c r="L111" i="121"/>
  <c r="K111" i="121"/>
  <c r="H111" i="121"/>
  <c r="G111" i="121"/>
  <c r="E111" i="121"/>
  <c r="D111" i="121"/>
  <c r="M89" i="121"/>
  <c r="O129" i="121" s="1"/>
  <c r="O89" i="121"/>
  <c r="O88" i="121"/>
  <c r="M88" i="121"/>
  <c r="O128" i="121" s="1"/>
  <c r="O87" i="121"/>
  <c r="M87" i="121"/>
  <c r="O127" i="121" s="1"/>
  <c r="O86" i="121"/>
  <c r="M86" i="121"/>
  <c r="O126" i="121" s="1"/>
  <c r="O85" i="121"/>
  <c r="M85" i="121"/>
  <c r="O125" i="121" s="1"/>
  <c r="O84" i="121"/>
  <c r="M84" i="121"/>
  <c r="O124" i="121" s="1"/>
  <c r="O83" i="121"/>
  <c r="M83" i="121"/>
  <c r="O123" i="121" s="1"/>
  <c r="O82" i="121"/>
  <c r="M82" i="121"/>
  <c r="O122" i="121" s="1"/>
  <c r="O81" i="121"/>
  <c r="M81" i="121"/>
  <c r="O121" i="121" s="1"/>
  <c r="O80" i="121"/>
  <c r="M80" i="121"/>
  <c r="O120" i="121" s="1"/>
  <c r="O79" i="121"/>
  <c r="M79" i="121"/>
  <c r="O119" i="121" s="1"/>
  <c r="O78" i="121"/>
  <c r="M78" i="121"/>
  <c r="O118" i="121" s="1"/>
  <c r="O77" i="121"/>
  <c r="M77" i="121"/>
  <c r="O117" i="121" s="1"/>
  <c r="O76" i="121"/>
  <c r="M76" i="121"/>
  <c r="O116" i="121" s="1"/>
  <c r="O75" i="121"/>
  <c r="M75" i="121"/>
  <c r="O115" i="121" s="1"/>
  <c r="O74" i="121"/>
  <c r="M74" i="121"/>
  <c r="O114" i="121" s="1"/>
  <c r="O73" i="121"/>
  <c r="M73" i="121"/>
  <c r="O113" i="121" s="1"/>
  <c r="O72" i="121"/>
  <c r="G12" i="58" s="1"/>
  <c r="M72" i="121"/>
  <c r="O112" i="121" s="1"/>
  <c r="O67" i="121"/>
  <c r="M67" i="121"/>
  <c r="L129" i="121" s="1"/>
  <c r="O66" i="121"/>
  <c r="M66" i="121"/>
  <c r="L128" i="121" s="1"/>
  <c r="O65" i="121"/>
  <c r="M65" i="121"/>
  <c r="L127" i="121" s="1"/>
  <c r="O64" i="121"/>
  <c r="M64" i="121"/>
  <c r="L126" i="121" s="1"/>
  <c r="O63" i="121"/>
  <c r="M63" i="121"/>
  <c r="L125" i="121" s="1"/>
  <c r="O62" i="121"/>
  <c r="M62" i="121"/>
  <c r="L124" i="121" s="1"/>
  <c r="O61" i="121"/>
  <c r="M61" i="121"/>
  <c r="L123" i="121" s="1"/>
  <c r="O60" i="121"/>
  <c r="M60" i="121"/>
  <c r="L122" i="121" s="1"/>
  <c r="O59" i="121"/>
  <c r="M59" i="121"/>
  <c r="L121" i="121" s="1"/>
  <c r="O58" i="121"/>
  <c r="M58" i="121"/>
  <c r="L120" i="121" s="1"/>
  <c r="O57" i="121"/>
  <c r="M57" i="121"/>
  <c r="L119" i="121" s="1"/>
  <c r="O56" i="121"/>
  <c r="M56" i="121"/>
  <c r="L118" i="121" s="1"/>
  <c r="O55" i="121"/>
  <c r="M55" i="121"/>
  <c r="L117" i="121" s="1"/>
  <c r="O54" i="121"/>
  <c r="M54" i="121"/>
  <c r="L116" i="121" s="1"/>
  <c r="O53" i="121"/>
  <c r="M53" i="121"/>
  <c r="L115" i="121" s="1"/>
  <c r="O52" i="121"/>
  <c r="M52" i="121"/>
  <c r="L114" i="121" s="1"/>
  <c r="O51" i="121"/>
  <c r="M51" i="121"/>
  <c r="L113" i="121" s="1"/>
  <c r="O50" i="121"/>
  <c r="M50" i="121"/>
  <c r="L112" i="121" s="1"/>
  <c r="O45" i="121"/>
  <c r="M45" i="121"/>
  <c r="N129" i="121" s="1"/>
  <c r="O44" i="121"/>
  <c r="W128" i="121" s="1"/>
  <c r="M44" i="121"/>
  <c r="N128" i="121" s="1"/>
  <c r="P128" i="121" s="1"/>
  <c r="O43" i="121"/>
  <c r="W127" i="121" s="1"/>
  <c r="M43" i="121"/>
  <c r="N127" i="121" s="1"/>
  <c r="P127" i="121" s="1"/>
  <c r="O42" i="121"/>
  <c r="W126" i="121" s="1"/>
  <c r="M42" i="121"/>
  <c r="N126" i="121" s="1"/>
  <c r="P126" i="121" s="1"/>
  <c r="O41" i="121"/>
  <c r="W125" i="121" s="1"/>
  <c r="M41" i="121"/>
  <c r="N125" i="121" s="1"/>
  <c r="P125" i="121" s="1"/>
  <c r="O40" i="121"/>
  <c r="W124" i="121" s="1"/>
  <c r="M40" i="121"/>
  <c r="N124" i="121" s="1"/>
  <c r="P124" i="121" s="1"/>
  <c r="O39" i="121"/>
  <c r="W123" i="121" s="1"/>
  <c r="M39" i="121"/>
  <c r="N123" i="121" s="1"/>
  <c r="P123" i="121" s="1"/>
  <c r="O38" i="121"/>
  <c r="W122" i="121" s="1"/>
  <c r="M38" i="121"/>
  <c r="N122" i="121" s="1"/>
  <c r="P122" i="121" s="1"/>
  <c r="O37" i="121"/>
  <c r="W121" i="121" s="1"/>
  <c r="M37" i="121"/>
  <c r="N121" i="121" s="1"/>
  <c r="P121" i="121" s="1"/>
  <c r="O36" i="121"/>
  <c r="M36" i="121"/>
  <c r="N120" i="121" s="1"/>
  <c r="P120" i="121" s="1"/>
  <c r="O35" i="121"/>
  <c r="W119" i="121" s="1"/>
  <c r="M35" i="121"/>
  <c r="N119" i="121" s="1"/>
  <c r="O34" i="121"/>
  <c r="M34" i="121"/>
  <c r="N118" i="121" s="1"/>
  <c r="O33" i="121"/>
  <c r="W117" i="121" s="1"/>
  <c r="M33" i="121"/>
  <c r="N117" i="121" s="1"/>
  <c r="P117" i="121" s="1"/>
  <c r="O32" i="121"/>
  <c r="M32" i="121"/>
  <c r="N116" i="121" s="1"/>
  <c r="O31" i="121"/>
  <c r="W115" i="121" s="1"/>
  <c r="M31" i="121"/>
  <c r="N115" i="121" s="1"/>
  <c r="P115" i="121" s="1"/>
  <c r="O30" i="121"/>
  <c r="M30" i="121"/>
  <c r="N114" i="121" s="1"/>
  <c r="P114" i="121" s="1"/>
  <c r="O29" i="121"/>
  <c r="W113" i="121" s="1"/>
  <c r="M29" i="121"/>
  <c r="N113" i="121" s="1"/>
  <c r="P113" i="121" s="1"/>
  <c r="O28" i="121"/>
  <c r="M28" i="121"/>
  <c r="N112" i="121" s="1"/>
  <c r="O23" i="121"/>
  <c r="V129" i="121" s="1"/>
  <c r="M23" i="121"/>
  <c r="K129" i="121" s="1"/>
  <c r="O22" i="121"/>
  <c r="V128" i="121" s="1"/>
  <c r="M22" i="121"/>
  <c r="K128" i="121" s="1"/>
  <c r="M128" i="121" s="1"/>
  <c r="O21" i="121"/>
  <c r="V127" i="121" s="1"/>
  <c r="X127" i="121" s="1"/>
  <c r="M21" i="121"/>
  <c r="K127" i="121" s="1"/>
  <c r="O20" i="121"/>
  <c r="V126" i="121" s="1"/>
  <c r="X126" i="121" s="1"/>
  <c r="M20" i="121"/>
  <c r="K126" i="121" s="1"/>
  <c r="O19" i="121"/>
  <c r="V125" i="121" s="1"/>
  <c r="M19" i="121"/>
  <c r="K125" i="121" s="1"/>
  <c r="O18" i="121"/>
  <c r="V124" i="121" s="1"/>
  <c r="M18" i="121"/>
  <c r="K124" i="121" s="1"/>
  <c r="M124" i="121" s="1"/>
  <c r="O17" i="121"/>
  <c r="M17" i="121"/>
  <c r="K123" i="121" s="1"/>
  <c r="O16" i="121"/>
  <c r="V122" i="121" s="1"/>
  <c r="X122" i="121" s="1"/>
  <c r="M16" i="121"/>
  <c r="K122" i="121" s="1"/>
  <c r="O15" i="121"/>
  <c r="M15" i="121"/>
  <c r="K121" i="121" s="1"/>
  <c r="O14" i="121"/>
  <c r="M14" i="121"/>
  <c r="K120" i="121" s="1"/>
  <c r="O13" i="121"/>
  <c r="V119" i="121" s="1"/>
  <c r="X119" i="121" s="1"/>
  <c r="M13" i="121"/>
  <c r="K119" i="121" s="1"/>
  <c r="M119" i="121" s="1"/>
  <c r="O12" i="121"/>
  <c r="V118" i="121" s="1"/>
  <c r="M12" i="121"/>
  <c r="K118" i="121" s="1"/>
  <c r="M118" i="121" s="1"/>
  <c r="O11" i="121"/>
  <c r="V117" i="121" s="1"/>
  <c r="X117" i="121" s="1"/>
  <c r="M11" i="121"/>
  <c r="K117" i="121" s="1"/>
  <c r="M117" i="121" s="1"/>
  <c r="O10" i="121"/>
  <c r="V116" i="121" s="1"/>
  <c r="M10" i="121"/>
  <c r="K116" i="121" s="1"/>
  <c r="O9" i="121"/>
  <c r="M9" i="121"/>
  <c r="K115" i="121" s="1"/>
  <c r="O8" i="121"/>
  <c r="V114" i="121" s="1"/>
  <c r="M8" i="121"/>
  <c r="K114" i="121" s="1"/>
  <c r="O7" i="121"/>
  <c r="M7" i="121"/>
  <c r="K113" i="121" s="1"/>
  <c r="M113" i="121" s="1"/>
  <c r="M6" i="121"/>
  <c r="K112" i="121" s="1"/>
  <c r="G23" i="120"/>
  <c r="E6" i="124" s="1"/>
  <c r="F23" i="120"/>
  <c r="E5" i="124" s="1"/>
  <c r="G12" i="124" l="1"/>
  <c r="G15" i="124" s="1"/>
  <c r="M125" i="121"/>
  <c r="Q125" i="121" s="1"/>
  <c r="I17" i="120" s="1"/>
  <c r="W129" i="121"/>
  <c r="X129" i="121" s="1"/>
  <c r="M17" i="120"/>
  <c r="O17" i="120" s="1"/>
  <c r="M19" i="120"/>
  <c r="M11" i="120"/>
  <c r="E61" i="125" s="1"/>
  <c r="L61" i="125" s="1"/>
  <c r="M5" i="120"/>
  <c r="V5" i="120" s="1"/>
  <c r="Y70" i="131"/>
  <c r="E15" i="58"/>
  <c r="M16" i="120"/>
  <c r="O16" i="120" s="1"/>
  <c r="Y82" i="131"/>
  <c r="Z82" i="131" s="1"/>
  <c r="M4" i="120"/>
  <c r="S4" i="120" s="1"/>
  <c r="M9" i="120"/>
  <c r="M18" i="120"/>
  <c r="E117" i="125" s="1"/>
  <c r="K117" i="125" s="1"/>
  <c r="M8" i="120"/>
  <c r="O8" i="120" s="1"/>
  <c r="W112" i="121"/>
  <c r="G13" i="58" s="1"/>
  <c r="G11" i="58"/>
  <c r="V112" i="121"/>
  <c r="G9" i="58" s="1"/>
  <c r="G8" i="58"/>
  <c r="M12" i="120"/>
  <c r="O12" i="120" s="1"/>
  <c r="M21" i="120"/>
  <c r="M14" i="120"/>
  <c r="O14" i="120" s="1"/>
  <c r="M7" i="120"/>
  <c r="E29" i="125" s="1"/>
  <c r="J29" i="125" s="1"/>
  <c r="M15" i="120"/>
  <c r="O15" i="120" s="1"/>
  <c r="Y81" i="131"/>
  <c r="M10" i="120"/>
  <c r="E53" i="125" s="1"/>
  <c r="K53" i="125" s="1"/>
  <c r="M13" i="120"/>
  <c r="O13" i="120" s="1"/>
  <c r="M6" i="120"/>
  <c r="S6" i="120" s="1"/>
  <c r="D23" i="123"/>
  <c r="D30" i="123" s="1"/>
  <c r="J5" i="120"/>
  <c r="J23" i="120" s="1"/>
  <c r="G15" i="90"/>
  <c r="E141" i="125"/>
  <c r="L141" i="125" s="1"/>
  <c r="O21" i="120"/>
  <c r="E133" i="125"/>
  <c r="K133" i="125" s="1"/>
  <c r="O20" i="120"/>
  <c r="E125" i="125"/>
  <c r="J125" i="125" s="1"/>
  <c r="O19" i="120"/>
  <c r="E13" i="125"/>
  <c r="K13" i="125" s="1"/>
  <c r="E45" i="125"/>
  <c r="F45" i="125" s="1"/>
  <c r="O9" i="120"/>
  <c r="G28" i="90"/>
  <c r="D15" i="90"/>
  <c r="V21" i="120"/>
  <c r="S21" i="120"/>
  <c r="S20" i="120"/>
  <c r="P118" i="121"/>
  <c r="Q118" i="121" s="1"/>
  <c r="I10" i="120" s="1"/>
  <c r="M127" i="121"/>
  <c r="Q127" i="121" s="1"/>
  <c r="I19" i="120" s="1"/>
  <c r="M116" i="121"/>
  <c r="M115" i="121"/>
  <c r="Q115" i="121" s="1"/>
  <c r="I7" i="120" s="1"/>
  <c r="S9" i="120"/>
  <c r="V19" i="120"/>
  <c r="S19" i="120"/>
  <c r="S5" i="120"/>
  <c r="D21" i="90"/>
  <c r="BO26" i="122"/>
  <c r="AE10" i="122"/>
  <c r="AZ20" i="122"/>
  <c r="BE26" i="122"/>
  <c r="AZ26" i="122"/>
  <c r="BG26" i="122"/>
  <c r="BJ26" i="122" s="1"/>
  <c r="BE20" i="122"/>
  <c r="AE15" i="122"/>
  <c r="BJ20" i="122"/>
  <c r="AE17" i="122"/>
  <c r="Z26" i="122"/>
  <c r="AE26" i="122" s="1"/>
  <c r="AS20" i="122"/>
  <c r="G55" i="122"/>
  <c r="AE64" i="122"/>
  <c r="AE21" i="122"/>
  <c r="AS26" i="122"/>
  <c r="Z66" i="122"/>
  <c r="AL26" i="122"/>
  <c r="AE7" i="122"/>
  <c r="AL20" i="122"/>
  <c r="BH26" i="122"/>
  <c r="AE18" i="122"/>
  <c r="BJ17" i="122"/>
  <c r="AI61" i="122"/>
  <c r="M129" i="121"/>
  <c r="M121" i="121"/>
  <c r="Q121" i="121" s="1"/>
  <c r="I13" i="120" s="1"/>
  <c r="V121" i="121"/>
  <c r="X121" i="121" s="1"/>
  <c r="W120" i="121"/>
  <c r="M120" i="121"/>
  <c r="Q120" i="121" s="1"/>
  <c r="I12" i="120" s="1"/>
  <c r="V120" i="121"/>
  <c r="W116" i="121"/>
  <c r="X116" i="121" s="1"/>
  <c r="P116" i="121"/>
  <c r="O131" i="121"/>
  <c r="V113" i="121"/>
  <c r="X113" i="121" s="1"/>
  <c r="X120" i="121"/>
  <c r="Q113" i="121"/>
  <c r="I5" i="120" s="1"/>
  <c r="K131" i="121"/>
  <c r="M112" i="121"/>
  <c r="M122" i="121"/>
  <c r="Q122" i="121" s="1"/>
  <c r="I14" i="120" s="1"/>
  <c r="M126" i="121"/>
  <c r="Q126" i="121" s="1"/>
  <c r="I18" i="120" s="1"/>
  <c r="N131" i="121"/>
  <c r="P112" i="121"/>
  <c r="L131" i="121"/>
  <c r="M114" i="121"/>
  <c r="Q114" i="121" s="1"/>
  <c r="I6" i="120" s="1"/>
  <c r="Q117" i="121"/>
  <c r="I9" i="120" s="1"/>
  <c r="P119" i="121"/>
  <c r="Q119" i="121" s="1"/>
  <c r="I11" i="120" s="1"/>
  <c r="X124" i="121"/>
  <c r="W114" i="121"/>
  <c r="X114" i="121" s="1"/>
  <c r="P129" i="121"/>
  <c r="M123" i="121"/>
  <c r="Q123" i="121" s="1"/>
  <c r="I15" i="120" s="1"/>
  <c r="S131" i="121"/>
  <c r="Q128" i="121"/>
  <c r="I20" i="120" s="1"/>
  <c r="V115" i="121"/>
  <c r="X115" i="121" s="1"/>
  <c r="V123" i="121"/>
  <c r="X123" i="121" s="1"/>
  <c r="X128" i="121"/>
  <c r="W118" i="121"/>
  <c r="X118" i="121" s="1"/>
  <c r="X125" i="121"/>
  <c r="Q124" i="121"/>
  <c r="I16" i="120" s="1"/>
  <c r="V20" i="120"/>
  <c r="S13" i="120"/>
  <c r="V9" i="120"/>
  <c r="S7" i="120" l="1"/>
  <c r="V7" i="120"/>
  <c r="O7" i="120"/>
  <c r="V8" i="120"/>
  <c r="O5" i="120"/>
  <c r="S17" i="120"/>
  <c r="V6" i="120"/>
  <c r="O4" i="120"/>
  <c r="S11" i="120"/>
  <c r="V10" i="120"/>
  <c r="S18" i="120"/>
  <c r="S16" i="120"/>
  <c r="E101" i="125"/>
  <c r="K101" i="125" s="1"/>
  <c r="E85" i="125"/>
  <c r="F85" i="125" s="1"/>
  <c r="G7" i="119" s="1"/>
  <c r="O6" i="120"/>
  <c r="V14" i="120"/>
  <c r="V11" i="120"/>
  <c r="O11" i="120"/>
  <c r="M23" i="120"/>
  <c r="S14" i="120"/>
  <c r="O18" i="120"/>
  <c r="O10" i="120"/>
  <c r="V18" i="120"/>
  <c r="V16" i="120"/>
  <c r="S10" i="120"/>
  <c r="S15" i="120"/>
  <c r="E21" i="125"/>
  <c r="L21" i="125" s="1"/>
  <c r="V4" i="120"/>
  <c r="V17" i="120"/>
  <c r="V12" i="120"/>
  <c r="V15" i="120"/>
  <c r="E37" i="125"/>
  <c r="J37" i="125" s="1"/>
  <c r="E69" i="125"/>
  <c r="K69" i="125" s="1"/>
  <c r="E109" i="125"/>
  <c r="F109" i="125" s="1"/>
  <c r="E77" i="125"/>
  <c r="G77" i="125" s="1"/>
  <c r="S12" i="120"/>
  <c r="E5" i="125"/>
  <c r="J5" i="125" s="1"/>
  <c r="S8" i="120"/>
  <c r="V13" i="120"/>
  <c r="X112" i="121"/>
  <c r="G15" i="58" s="1"/>
  <c r="E93" i="125"/>
  <c r="G93" i="125" s="1"/>
  <c r="Q116" i="121"/>
  <c r="I8" i="120" s="1"/>
  <c r="L137" i="133"/>
  <c r="G53" i="125"/>
  <c r="H141" i="125"/>
  <c r="G141" i="125"/>
  <c r="J141" i="125"/>
  <c r="K141" i="125"/>
  <c r="I61" i="125"/>
  <c r="I29" i="125"/>
  <c r="F141" i="125"/>
  <c r="J117" i="125"/>
  <c r="J13" i="125"/>
  <c r="K61" i="125"/>
  <c r="I45" i="125"/>
  <c r="H53" i="125"/>
  <c r="G125" i="125"/>
  <c r="F117" i="125"/>
  <c r="F53" i="125"/>
  <c r="J53" i="125"/>
  <c r="L13" i="125"/>
  <c r="L125" i="125"/>
  <c r="J133" i="125"/>
  <c r="L45" i="125"/>
  <c r="I53" i="125"/>
  <c r="L53" i="125"/>
  <c r="I125" i="125"/>
  <c r="H133" i="125"/>
  <c r="L29" i="125"/>
  <c r="G117" i="125"/>
  <c r="G13" i="125"/>
  <c r="F133" i="125"/>
  <c r="K29" i="125"/>
  <c r="H45" i="125"/>
  <c r="G61" i="125"/>
  <c r="K45" i="125"/>
  <c r="F61" i="125"/>
  <c r="F101" i="125"/>
  <c r="G45" i="125"/>
  <c r="J45" i="125"/>
  <c r="H61" i="125"/>
  <c r="J61" i="125"/>
  <c r="I141" i="125"/>
  <c r="I117" i="125"/>
  <c r="L117" i="125"/>
  <c r="I13" i="125"/>
  <c r="F13" i="125"/>
  <c r="H125" i="125"/>
  <c r="K125" i="125"/>
  <c r="G133" i="125"/>
  <c r="L133" i="125"/>
  <c r="H5" i="125"/>
  <c r="H29" i="125"/>
  <c r="F29" i="125"/>
  <c r="H117" i="125"/>
  <c r="H13" i="125"/>
  <c r="F125" i="125"/>
  <c r="G21" i="125"/>
  <c r="I133" i="125"/>
  <c r="G29" i="125"/>
  <c r="AL61" i="122"/>
  <c r="Q129" i="121"/>
  <c r="I21" i="120" s="1"/>
  <c r="W131" i="121"/>
  <c r="P131" i="121"/>
  <c r="X131" i="121"/>
  <c r="Q112" i="121"/>
  <c r="I4" i="120" s="1"/>
  <c r="M131" i="121"/>
  <c r="V131" i="121"/>
  <c r="F14" i="111"/>
  <c r="F13" i="111"/>
  <c r="L101" i="125" l="1"/>
  <c r="J85" i="125"/>
  <c r="K7" i="119" s="1"/>
  <c r="H93" i="125"/>
  <c r="G69" i="125"/>
  <c r="H85" i="125"/>
  <c r="I7" i="119" s="1"/>
  <c r="F93" i="125"/>
  <c r="G5" i="125"/>
  <c r="K5" i="125"/>
  <c r="I69" i="125"/>
  <c r="I85" i="125"/>
  <c r="J7" i="119" s="1"/>
  <c r="J21" i="125"/>
  <c r="G85" i="125"/>
  <c r="H7" i="119" s="1"/>
  <c r="L77" i="125"/>
  <c r="L85" i="125"/>
  <c r="M7" i="119" s="1"/>
  <c r="F7" i="119"/>
  <c r="H21" i="125"/>
  <c r="I93" i="125"/>
  <c r="G101" i="125"/>
  <c r="K93" i="125"/>
  <c r="I101" i="125"/>
  <c r="J101" i="125"/>
  <c r="L5" i="125"/>
  <c r="J69" i="125"/>
  <c r="O23" i="120"/>
  <c r="F77" i="125"/>
  <c r="K109" i="125"/>
  <c r="L93" i="125"/>
  <c r="J93" i="125"/>
  <c r="H101" i="125"/>
  <c r="H69" i="125"/>
  <c r="J109" i="125"/>
  <c r="F69" i="125"/>
  <c r="I5" i="125"/>
  <c r="K85" i="125"/>
  <c r="L7" i="119" s="1"/>
  <c r="I109" i="125"/>
  <c r="H109" i="125"/>
  <c r="F5" i="125"/>
  <c r="L69" i="125"/>
  <c r="F37" i="125"/>
  <c r="G37" i="125"/>
  <c r="L109" i="125"/>
  <c r="I37" i="125"/>
  <c r="K21" i="125"/>
  <c r="J77" i="125"/>
  <c r="K37" i="125"/>
  <c r="F21" i="125"/>
  <c r="I77" i="125"/>
  <c r="H37" i="125"/>
  <c r="I21" i="125"/>
  <c r="G109" i="125"/>
  <c r="H77" i="125"/>
  <c r="K77" i="125"/>
  <c r="V23" i="120"/>
  <c r="L37" i="125"/>
  <c r="S23" i="120"/>
  <c r="I23" i="120"/>
  <c r="G14" i="90"/>
  <c r="D14" i="90"/>
  <c r="Q131" i="121"/>
  <c r="L86" i="125" l="1"/>
  <c r="F12" i="111"/>
  <c r="G3" i="119" l="1"/>
  <c r="D124" i="118" l="1"/>
  <c r="D123" i="118"/>
  <c r="D117" i="118"/>
  <c r="D116" i="118"/>
  <c r="D110" i="118"/>
  <c r="D109" i="118"/>
  <c r="D103" i="118"/>
  <c r="D102" i="118"/>
  <c r="D96" i="118"/>
  <c r="D95" i="118"/>
  <c r="D89" i="118"/>
  <c r="D88" i="118"/>
  <c r="D82" i="118"/>
  <c r="D75" i="118"/>
  <c r="D81" i="118"/>
  <c r="D74" i="118"/>
  <c r="D68" i="118"/>
  <c r="D67" i="118"/>
  <c r="D61" i="118"/>
  <c r="D60" i="118"/>
  <c r="D54" i="118"/>
  <c r="D53" i="118"/>
  <c r="D47" i="118"/>
  <c r="D46" i="118"/>
  <c r="D40" i="118"/>
  <c r="D39" i="118"/>
  <c r="D33" i="118"/>
  <c r="D32" i="118"/>
  <c r="D26" i="118"/>
  <c r="D25" i="118"/>
  <c r="D19" i="118"/>
  <c r="D18" i="118"/>
  <c r="D12" i="118"/>
  <c r="D11" i="118"/>
  <c r="D5" i="118"/>
  <c r="D4" i="118"/>
  <c r="F19" i="117" l="1"/>
  <c r="F21" i="117"/>
  <c r="F23" i="117"/>
  <c r="F25" i="117"/>
  <c r="F27" i="117"/>
  <c r="F17" i="117"/>
  <c r="F15" i="117"/>
  <c r="E19" i="117"/>
  <c r="E17" i="117"/>
  <c r="E21" i="117"/>
  <c r="E23" i="117"/>
  <c r="E25" i="117"/>
  <c r="E27" i="117"/>
  <c r="E15" i="117"/>
  <c r="AQ113" i="113" l="1"/>
  <c r="AQ114" i="113"/>
  <c r="AQ115" i="113"/>
  <c r="AQ116" i="113"/>
  <c r="AQ117" i="113"/>
  <c r="AQ118" i="113"/>
  <c r="AQ119" i="113"/>
  <c r="AQ120" i="113"/>
  <c r="AQ121" i="113"/>
  <c r="AQ122" i="113"/>
  <c r="AQ123" i="113"/>
  <c r="AQ124" i="113"/>
  <c r="AQ125" i="113"/>
  <c r="AQ126" i="113"/>
  <c r="AQ127" i="113"/>
  <c r="AQ128" i="113"/>
  <c r="AQ129" i="113"/>
  <c r="AQ112" i="113"/>
  <c r="S52" i="116"/>
  <c r="S53" i="116"/>
  <c r="S54" i="116"/>
  <c r="S55" i="116"/>
  <c r="S56" i="116"/>
  <c r="S57" i="116"/>
  <c r="S58" i="116"/>
  <c r="S59" i="116"/>
  <c r="S60" i="116"/>
  <c r="S61" i="116"/>
  <c r="S62" i="116"/>
  <c r="S63" i="116"/>
  <c r="S64" i="116"/>
  <c r="S65" i="116"/>
  <c r="S66" i="116"/>
  <c r="S67" i="116"/>
  <c r="S68" i="116"/>
  <c r="S51" i="116"/>
  <c r="Q52" i="116"/>
  <c r="Q53" i="116"/>
  <c r="Q54" i="116"/>
  <c r="Q55" i="116"/>
  <c r="Q56" i="116"/>
  <c r="Q57" i="116"/>
  <c r="Q58" i="116"/>
  <c r="Q59" i="116"/>
  <c r="Q60" i="116"/>
  <c r="Q61" i="116"/>
  <c r="Q62" i="116"/>
  <c r="Q63" i="116"/>
  <c r="Q64" i="116"/>
  <c r="Q65" i="116"/>
  <c r="Q66" i="116"/>
  <c r="Q67" i="116"/>
  <c r="Q68" i="116"/>
  <c r="Q51" i="116"/>
  <c r="O52" i="116"/>
  <c r="O53" i="116"/>
  <c r="O54" i="116"/>
  <c r="O55" i="116"/>
  <c r="O56" i="116"/>
  <c r="O57" i="116"/>
  <c r="O58" i="116"/>
  <c r="O59" i="116"/>
  <c r="O60" i="116"/>
  <c r="O61" i="116"/>
  <c r="O62" i="116"/>
  <c r="O63" i="116"/>
  <c r="O64" i="116"/>
  <c r="O65" i="116"/>
  <c r="O66" i="116"/>
  <c r="O67" i="116"/>
  <c r="O68" i="116"/>
  <c r="O51" i="116"/>
  <c r="M52" i="116"/>
  <c r="M53" i="116"/>
  <c r="M54" i="116"/>
  <c r="M55" i="116"/>
  <c r="M56" i="116"/>
  <c r="M57" i="116"/>
  <c r="M58" i="116"/>
  <c r="M59" i="116"/>
  <c r="M60" i="116"/>
  <c r="M61" i="116"/>
  <c r="M62" i="116"/>
  <c r="M63" i="116"/>
  <c r="M64" i="116"/>
  <c r="M65" i="116"/>
  <c r="M66" i="116"/>
  <c r="M67" i="116"/>
  <c r="M68" i="116"/>
  <c r="M51" i="116"/>
  <c r="K52" i="116"/>
  <c r="K53" i="116"/>
  <c r="K54" i="116"/>
  <c r="K55" i="116"/>
  <c r="K56" i="116"/>
  <c r="K57" i="116"/>
  <c r="K58" i="116"/>
  <c r="K59" i="116"/>
  <c r="K60" i="116"/>
  <c r="K61" i="116"/>
  <c r="K62" i="116"/>
  <c r="K63" i="116"/>
  <c r="K64" i="116"/>
  <c r="K65" i="116"/>
  <c r="K66" i="116"/>
  <c r="K67" i="116"/>
  <c r="K68" i="116"/>
  <c r="K51" i="116"/>
  <c r="I52" i="116"/>
  <c r="I53" i="116"/>
  <c r="I54" i="116"/>
  <c r="I55" i="116"/>
  <c r="I56" i="116"/>
  <c r="I57" i="116"/>
  <c r="I58" i="116"/>
  <c r="I59" i="116"/>
  <c r="I60" i="116"/>
  <c r="I61" i="116"/>
  <c r="I62" i="116"/>
  <c r="I63" i="116"/>
  <c r="I64" i="116"/>
  <c r="I65" i="116"/>
  <c r="I66" i="116"/>
  <c r="I67" i="116"/>
  <c r="I68" i="116"/>
  <c r="I51" i="116"/>
  <c r="G52" i="116"/>
  <c r="G53" i="116"/>
  <c r="G54" i="116"/>
  <c r="G55" i="116"/>
  <c r="G56" i="116"/>
  <c r="G57" i="116"/>
  <c r="G58" i="116"/>
  <c r="G59" i="116"/>
  <c r="G60" i="116"/>
  <c r="G61" i="116"/>
  <c r="G62" i="116"/>
  <c r="G63" i="116"/>
  <c r="G64" i="116"/>
  <c r="G65" i="116"/>
  <c r="G66" i="116"/>
  <c r="G67" i="116"/>
  <c r="G68" i="116"/>
  <c r="G51" i="116"/>
  <c r="R52" i="116"/>
  <c r="R53" i="116"/>
  <c r="R54" i="116"/>
  <c r="R55" i="116"/>
  <c r="R56" i="116"/>
  <c r="R57" i="116"/>
  <c r="R58" i="116"/>
  <c r="R59" i="116"/>
  <c r="R60" i="116"/>
  <c r="R61" i="116"/>
  <c r="R62" i="116"/>
  <c r="R63" i="116"/>
  <c r="R64" i="116"/>
  <c r="R65" i="116"/>
  <c r="R66" i="116"/>
  <c r="R67" i="116"/>
  <c r="R68" i="116"/>
  <c r="R51" i="116"/>
  <c r="P52" i="116"/>
  <c r="P53" i="116"/>
  <c r="P54" i="116"/>
  <c r="P55" i="116"/>
  <c r="P56" i="116"/>
  <c r="P57" i="116"/>
  <c r="P58" i="116"/>
  <c r="P59" i="116"/>
  <c r="P60" i="116"/>
  <c r="P61" i="116"/>
  <c r="P62" i="116"/>
  <c r="P63" i="116"/>
  <c r="P64" i="116"/>
  <c r="P65" i="116"/>
  <c r="P66" i="116"/>
  <c r="P67" i="116"/>
  <c r="P68" i="116"/>
  <c r="P51" i="116"/>
  <c r="N68" i="116"/>
  <c r="N52" i="116"/>
  <c r="N53" i="116"/>
  <c r="N54" i="116"/>
  <c r="N55" i="116"/>
  <c r="N56" i="116"/>
  <c r="N57" i="116"/>
  <c r="N58" i="116"/>
  <c r="N59" i="116"/>
  <c r="N60" i="116"/>
  <c r="N61" i="116"/>
  <c r="N62" i="116"/>
  <c r="N63" i="116"/>
  <c r="N64" i="116"/>
  <c r="N65" i="116"/>
  <c r="N66" i="116"/>
  <c r="N67" i="116"/>
  <c r="N51" i="116"/>
  <c r="L52" i="116"/>
  <c r="L53" i="116"/>
  <c r="L54" i="116"/>
  <c r="L55" i="116"/>
  <c r="L56" i="116"/>
  <c r="L57" i="116"/>
  <c r="L58" i="116"/>
  <c r="L59" i="116"/>
  <c r="L60" i="116"/>
  <c r="L61" i="116"/>
  <c r="L62" i="116"/>
  <c r="L63" i="116"/>
  <c r="L64" i="116"/>
  <c r="L65" i="116"/>
  <c r="L66" i="116"/>
  <c r="L67" i="116"/>
  <c r="L68" i="116"/>
  <c r="L51" i="116"/>
  <c r="J52" i="116"/>
  <c r="J53" i="116"/>
  <c r="J54" i="116"/>
  <c r="J55" i="116"/>
  <c r="J56" i="116"/>
  <c r="J57" i="116"/>
  <c r="J58" i="116"/>
  <c r="J59" i="116"/>
  <c r="J60" i="116"/>
  <c r="J61" i="116"/>
  <c r="J62" i="116"/>
  <c r="J63" i="116"/>
  <c r="J64" i="116"/>
  <c r="J65" i="116"/>
  <c r="J66" i="116"/>
  <c r="J67" i="116"/>
  <c r="J68" i="116"/>
  <c r="J51" i="116"/>
  <c r="H52" i="116"/>
  <c r="H53" i="116"/>
  <c r="H54" i="116"/>
  <c r="H55" i="116"/>
  <c r="H56" i="116"/>
  <c r="H57" i="116"/>
  <c r="H58" i="116"/>
  <c r="H59" i="116"/>
  <c r="H60" i="116"/>
  <c r="H61" i="116"/>
  <c r="H62" i="116"/>
  <c r="H63" i="116"/>
  <c r="H64" i="116"/>
  <c r="H65" i="116"/>
  <c r="H66" i="116"/>
  <c r="H67" i="116"/>
  <c r="H68" i="116"/>
  <c r="H51" i="116"/>
  <c r="F52" i="116"/>
  <c r="F53" i="116"/>
  <c r="F54" i="116"/>
  <c r="F55" i="116"/>
  <c r="F56" i="116"/>
  <c r="F57" i="116"/>
  <c r="F58" i="116"/>
  <c r="F59" i="116"/>
  <c r="F60" i="116"/>
  <c r="F61" i="116"/>
  <c r="F62" i="116"/>
  <c r="F63" i="116"/>
  <c r="F64" i="116"/>
  <c r="F65" i="116"/>
  <c r="F66" i="116"/>
  <c r="F67" i="116"/>
  <c r="F68" i="116"/>
  <c r="F51" i="116"/>
  <c r="E52" i="116"/>
  <c r="E53" i="116"/>
  <c r="E54" i="116"/>
  <c r="E55" i="116"/>
  <c r="E56" i="116"/>
  <c r="E57" i="116"/>
  <c r="E58" i="116"/>
  <c r="E59" i="116"/>
  <c r="E60" i="116"/>
  <c r="E61" i="116"/>
  <c r="E62" i="116"/>
  <c r="E63" i="116"/>
  <c r="E64" i="116"/>
  <c r="E65" i="116"/>
  <c r="E66" i="116"/>
  <c r="E67" i="116"/>
  <c r="E68" i="116"/>
  <c r="E46" i="116"/>
  <c r="S46" i="116" s="1"/>
  <c r="E45" i="116"/>
  <c r="S45" i="116" s="1"/>
  <c r="E44" i="116"/>
  <c r="S44" i="116" s="1"/>
  <c r="E43" i="116"/>
  <c r="S43" i="116" s="1"/>
  <c r="E42" i="116"/>
  <c r="E41" i="116"/>
  <c r="E40" i="116"/>
  <c r="E39" i="116"/>
  <c r="I39" i="116" s="1"/>
  <c r="E38" i="116"/>
  <c r="I38" i="116" s="1"/>
  <c r="E37" i="116"/>
  <c r="I37" i="116" s="1"/>
  <c r="E36" i="116"/>
  <c r="I36" i="116" s="1"/>
  <c r="E35" i="116"/>
  <c r="I35" i="116" s="1"/>
  <c r="E34" i="116"/>
  <c r="E33" i="116"/>
  <c r="Q33" i="116" s="1"/>
  <c r="E32" i="116"/>
  <c r="Q32" i="116" s="1"/>
  <c r="E31" i="116"/>
  <c r="Q31" i="116" s="1"/>
  <c r="E30" i="116"/>
  <c r="Q30" i="116" s="1"/>
  <c r="E29" i="116"/>
  <c r="Q29" i="116" s="1"/>
  <c r="G30" i="116" l="1"/>
  <c r="I30" i="116"/>
  <c r="O30" i="116"/>
  <c r="S30" i="116"/>
  <c r="M30" i="116"/>
  <c r="O33" i="116"/>
  <c r="M31" i="116"/>
  <c r="M32" i="116"/>
  <c r="K30" i="116"/>
  <c r="O32" i="116"/>
  <c r="K29" i="116"/>
  <c r="I31" i="116"/>
  <c r="S32" i="116"/>
  <c r="M37" i="116"/>
  <c r="G29" i="116"/>
  <c r="I29" i="116"/>
  <c r="K31" i="116"/>
  <c r="G44" i="116"/>
  <c r="O31" i="116"/>
  <c r="S33" i="116"/>
  <c r="K39" i="116"/>
  <c r="S31" i="116"/>
  <c r="G46" i="116"/>
  <c r="G43" i="116"/>
  <c r="S29" i="116"/>
  <c r="G32" i="116"/>
  <c r="I33" i="116"/>
  <c r="M36" i="116"/>
  <c r="M39" i="116"/>
  <c r="E51" i="116"/>
  <c r="K38" i="116"/>
  <c r="O29" i="116"/>
  <c r="G33" i="116"/>
  <c r="G31" i="116"/>
  <c r="I32" i="116"/>
  <c r="K33" i="116"/>
  <c r="G45" i="116"/>
  <c r="M38" i="116"/>
  <c r="K32" i="116"/>
  <c r="M33" i="116"/>
  <c r="M29" i="116"/>
  <c r="K35" i="116"/>
  <c r="K36" i="116"/>
  <c r="K37" i="116"/>
  <c r="M35" i="116"/>
  <c r="O35" i="116"/>
  <c r="O36" i="116"/>
  <c r="O37" i="116"/>
  <c r="O38" i="116"/>
  <c r="O39" i="116"/>
  <c r="I43" i="116"/>
  <c r="I44" i="116"/>
  <c r="I45" i="116"/>
  <c r="I46" i="116"/>
  <c r="Q35" i="116"/>
  <c r="Q36" i="116"/>
  <c r="Q37" i="116"/>
  <c r="Q38" i="116"/>
  <c r="Q39" i="116"/>
  <c r="K43" i="116"/>
  <c r="K44" i="116"/>
  <c r="K45" i="116"/>
  <c r="K46" i="116"/>
  <c r="S35" i="116"/>
  <c r="S36" i="116"/>
  <c r="S37" i="116"/>
  <c r="S38" i="116"/>
  <c r="S39" i="116"/>
  <c r="M43" i="116"/>
  <c r="M44" i="116"/>
  <c r="M45" i="116"/>
  <c r="M46" i="116"/>
  <c r="O43" i="116"/>
  <c r="O44" i="116"/>
  <c r="O45" i="116"/>
  <c r="O46" i="116"/>
  <c r="G35" i="116"/>
  <c r="G36" i="116"/>
  <c r="G37" i="116"/>
  <c r="G38" i="116"/>
  <c r="G39" i="116"/>
  <c r="Q43" i="116"/>
  <c r="Q44" i="116"/>
  <c r="Q45" i="116"/>
  <c r="Q46" i="116"/>
  <c r="S112" i="113" l="1"/>
  <c r="J85" i="113" l="1"/>
  <c r="I85" i="113"/>
  <c r="H85" i="113"/>
  <c r="G85" i="113"/>
  <c r="F85" i="113"/>
  <c r="E85" i="113"/>
  <c r="D85" i="113"/>
  <c r="J84" i="113"/>
  <c r="I84" i="113"/>
  <c r="H84" i="113"/>
  <c r="G84" i="113"/>
  <c r="F84" i="113"/>
  <c r="E84" i="113"/>
  <c r="D84" i="113"/>
  <c r="J83" i="113"/>
  <c r="I83" i="113"/>
  <c r="H83" i="113"/>
  <c r="G83" i="113"/>
  <c r="F83" i="113"/>
  <c r="E83" i="113"/>
  <c r="D83" i="113"/>
  <c r="J77" i="113"/>
  <c r="I77" i="113"/>
  <c r="H77" i="113"/>
  <c r="G77" i="113"/>
  <c r="F77" i="113"/>
  <c r="E77" i="113"/>
  <c r="D77" i="113"/>
  <c r="J63" i="113"/>
  <c r="I63" i="113"/>
  <c r="H63" i="113"/>
  <c r="G63" i="113"/>
  <c r="F63" i="113"/>
  <c r="E63" i="113"/>
  <c r="D63" i="113"/>
  <c r="J62" i="113"/>
  <c r="I62" i="113"/>
  <c r="H62" i="113"/>
  <c r="G62" i="113"/>
  <c r="F62" i="113"/>
  <c r="E62" i="113"/>
  <c r="D62" i="113"/>
  <c r="J61" i="113"/>
  <c r="I61" i="113"/>
  <c r="H61" i="113"/>
  <c r="G61" i="113"/>
  <c r="F61" i="113"/>
  <c r="E61" i="113"/>
  <c r="D61" i="113"/>
  <c r="J55" i="113"/>
  <c r="I55" i="113"/>
  <c r="H55" i="113"/>
  <c r="G55" i="113"/>
  <c r="F55" i="113"/>
  <c r="E55" i="113"/>
  <c r="D55" i="113"/>
  <c r="J41" i="113"/>
  <c r="I41" i="113"/>
  <c r="H41" i="113"/>
  <c r="G41" i="113"/>
  <c r="F41" i="113"/>
  <c r="E41" i="113"/>
  <c r="D41" i="113"/>
  <c r="J40" i="113"/>
  <c r="I40" i="113"/>
  <c r="H40" i="113"/>
  <c r="G40" i="113"/>
  <c r="F40" i="113"/>
  <c r="E40" i="113"/>
  <c r="D40" i="113"/>
  <c r="J39" i="113"/>
  <c r="I39" i="113"/>
  <c r="H39" i="113"/>
  <c r="G39" i="113"/>
  <c r="F39" i="113"/>
  <c r="E39" i="113"/>
  <c r="D39" i="113"/>
  <c r="J33" i="113"/>
  <c r="I33" i="113"/>
  <c r="H33" i="113"/>
  <c r="G33" i="113"/>
  <c r="F33" i="113"/>
  <c r="E33" i="113"/>
  <c r="D33" i="113"/>
  <c r="J11" i="113"/>
  <c r="J17" i="113"/>
  <c r="J18" i="113"/>
  <c r="J19" i="113"/>
  <c r="I11" i="113"/>
  <c r="I17" i="113"/>
  <c r="I18" i="113"/>
  <c r="I19" i="113"/>
  <c r="H11" i="113"/>
  <c r="H17" i="113"/>
  <c r="H18" i="113"/>
  <c r="H19" i="113"/>
  <c r="G11" i="113"/>
  <c r="G17" i="113"/>
  <c r="G18" i="113"/>
  <c r="G19" i="113"/>
  <c r="F11" i="113"/>
  <c r="F17" i="113"/>
  <c r="F18" i="113"/>
  <c r="F19" i="113"/>
  <c r="E11" i="113"/>
  <c r="E17" i="113"/>
  <c r="E18" i="113"/>
  <c r="E19" i="113"/>
  <c r="D11" i="113"/>
  <c r="D17" i="113"/>
  <c r="D18" i="113"/>
  <c r="D19" i="113"/>
  <c r="V10" i="116"/>
  <c r="V16" i="116"/>
  <c r="V17" i="116"/>
  <c r="V18" i="116"/>
  <c r="U6" i="116"/>
  <c r="U7" i="116"/>
  <c r="U8" i="116"/>
  <c r="U9" i="116"/>
  <c r="U12" i="116"/>
  <c r="U14" i="116"/>
  <c r="U15" i="116"/>
  <c r="U19" i="116"/>
  <c r="U20" i="116"/>
  <c r="U21" i="116"/>
  <c r="U22" i="116"/>
  <c r="U10" i="116"/>
  <c r="U16" i="116"/>
  <c r="U17" i="116"/>
  <c r="U18" i="116"/>
  <c r="U11" i="116"/>
  <c r="U13" i="116"/>
  <c r="U5" i="116"/>
  <c r="U24" i="116" l="1"/>
  <c r="G22" i="116"/>
  <c r="G21" i="116"/>
  <c r="G20" i="116"/>
  <c r="G19" i="116"/>
  <c r="E18" i="116"/>
  <c r="E17" i="116"/>
  <c r="E16" i="116"/>
  <c r="I15" i="116"/>
  <c r="I14" i="116"/>
  <c r="G13" i="116"/>
  <c r="G12" i="116"/>
  <c r="I11" i="116"/>
  <c r="E10" i="116"/>
  <c r="K9" i="116"/>
  <c r="K8" i="116"/>
  <c r="E7" i="116"/>
  <c r="K6" i="116"/>
  <c r="I5" i="116"/>
  <c r="D20" i="113" l="1"/>
  <c r="D42" i="113"/>
  <c r="D64" i="113"/>
  <c r="D86" i="113"/>
  <c r="D79" i="113"/>
  <c r="D13" i="113"/>
  <c r="D35" i="113"/>
  <c r="D57" i="113"/>
  <c r="E6" i="113"/>
  <c r="E28" i="113"/>
  <c r="E50" i="113"/>
  <c r="E72" i="113"/>
  <c r="E81" i="113"/>
  <c r="E37" i="113"/>
  <c r="E59" i="113"/>
  <c r="E15" i="113"/>
  <c r="E60" i="113"/>
  <c r="E82" i="113"/>
  <c r="E38" i="113"/>
  <c r="E16" i="113"/>
  <c r="E78" i="113"/>
  <c r="E34" i="113"/>
  <c r="E12" i="113"/>
  <c r="E56" i="113"/>
  <c r="D65" i="113"/>
  <c r="D21" i="113"/>
  <c r="D87" i="113"/>
  <c r="D43" i="113"/>
  <c r="F54" i="113"/>
  <c r="F10" i="113"/>
  <c r="F76" i="113"/>
  <c r="F32" i="113"/>
  <c r="D58" i="113"/>
  <c r="D80" i="113"/>
  <c r="D36" i="113"/>
  <c r="D14" i="113"/>
  <c r="D66" i="113"/>
  <c r="D88" i="113"/>
  <c r="D44" i="113"/>
  <c r="D22" i="113"/>
  <c r="F7" i="113"/>
  <c r="F73" i="113"/>
  <c r="F29" i="113"/>
  <c r="F51" i="113"/>
  <c r="D67" i="113"/>
  <c r="D89" i="113"/>
  <c r="D45" i="113"/>
  <c r="D23" i="113"/>
  <c r="F53" i="113"/>
  <c r="F9" i="113"/>
  <c r="F75" i="113"/>
  <c r="F31" i="113"/>
  <c r="K7" i="116"/>
  <c r="E24" i="116"/>
  <c r="Q20" i="116"/>
  <c r="G5" i="116"/>
  <c r="K20" i="116"/>
  <c r="O22" i="116"/>
  <c r="G9" i="116"/>
  <c r="K21" i="116"/>
  <c r="I22" i="116"/>
  <c r="G6" i="116"/>
  <c r="I20" i="116"/>
  <c r="M22" i="116"/>
  <c r="M20" i="116"/>
  <c r="Q22" i="116"/>
  <c r="G8" i="116"/>
  <c r="O19" i="116"/>
  <c r="S21" i="116"/>
  <c r="I19" i="116"/>
  <c r="M21" i="116"/>
  <c r="G7" i="116"/>
  <c r="K19" i="116"/>
  <c r="Q19" i="116"/>
  <c r="S20" i="116"/>
  <c r="S19" i="116"/>
  <c r="I21" i="116"/>
  <c r="K22" i="116"/>
  <c r="O21" i="116"/>
  <c r="M19" i="116"/>
  <c r="O20" i="116"/>
  <c r="Q21" i="116"/>
  <c r="S22" i="116"/>
  <c r="K5" i="116"/>
  <c r="I13" i="116"/>
  <c r="M5" i="116"/>
  <c r="M6" i="116"/>
  <c r="M7" i="116"/>
  <c r="M8" i="116"/>
  <c r="M9" i="116"/>
  <c r="K11" i="116"/>
  <c r="K12" i="116"/>
  <c r="K13" i="116"/>
  <c r="K14" i="116"/>
  <c r="K15" i="116"/>
  <c r="I12" i="116"/>
  <c r="O5" i="116"/>
  <c r="O6" i="116"/>
  <c r="O7" i="116"/>
  <c r="O8" i="116"/>
  <c r="O9" i="116"/>
  <c r="M11" i="116"/>
  <c r="M12" i="116"/>
  <c r="M13" i="116"/>
  <c r="M14" i="116"/>
  <c r="M15" i="116"/>
  <c r="Q5" i="116"/>
  <c r="Q6" i="116"/>
  <c r="Q7" i="116"/>
  <c r="Q8" i="116"/>
  <c r="Q9" i="116"/>
  <c r="O11" i="116"/>
  <c r="O12" i="116"/>
  <c r="O13" i="116"/>
  <c r="O14" i="116"/>
  <c r="O15" i="116"/>
  <c r="S5" i="116"/>
  <c r="S6" i="116"/>
  <c r="S7" i="116"/>
  <c r="S8" i="116"/>
  <c r="S9" i="116"/>
  <c r="Q11" i="116"/>
  <c r="Q12" i="116"/>
  <c r="Q13" i="116"/>
  <c r="Q14" i="116"/>
  <c r="Q15" i="116"/>
  <c r="S11" i="116"/>
  <c r="S12" i="116"/>
  <c r="S13" i="116"/>
  <c r="S14" i="116"/>
  <c r="S15" i="116"/>
  <c r="I6" i="116"/>
  <c r="I7" i="116"/>
  <c r="I8" i="116"/>
  <c r="I9" i="116"/>
  <c r="G11" i="116"/>
  <c r="G14" i="116"/>
  <c r="G15" i="116"/>
  <c r="D7" i="111"/>
  <c r="V12" i="116" l="1"/>
  <c r="V19" i="116"/>
  <c r="H35" i="113"/>
  <c r="H57" i="113"/>
  <c r="H79" i="113"/>
  <c r="H13" i="113"/>
  <c r="G35" i="113"/>
  <c r="G57" i="113"/>
  <c r="G79" i="113"/>
  <c r="G13" i="113"/>
  <c r="F82" i="113"/>
  <c r="F16" i="113"/>
  <c r="F38" i="113"/>
  <c r="F60" i="113"/>
  <c r="I16" i="113"/>
  <c r="I38" i="113"/>
  <c r="I60" i="113"/>
  <c r="I82" i="113"/>
  <c r="F37" i="113"/>
  <c r="F59" i="113"/>
  <c r="F81" i="113"/>
  <c r="F15" i="113"/>
  <c r="G28" i="113"/>
  <c r="G50" i="113"/>
  <c r="G72" i="113"/>
  <c r="G6" i="113"/>
  <c r="E42" i="113"/>
  <c r="E20" i="113"/>
  <c r="E64" i="113"/>
  <c r="E86" i="113"/>
  <c r="G37" i="113"/>
  <c r="G59" i="113"/>
  <c r="G81" i="113"/>
  <c r="G15" i="113"/>
  <c r="I37" i="113"/>
  <c r="I59" i="113"/>
  <c r="I81" i="113"/>
  <c r="I15" i="113"/>
  <c r="H38" i="113"/>
  <c r="H60" i="113"/>
  <c r="H82" i="113"/>
  <c r="H16" i="113"/>
  <c r="F35" i="113"/>
  <c r="F57" i="113"/>
  <c r="F13" i="113"/>
  <c r="F79" i="113"/>
  <c r="F6" i="113"/>
  <c r="F28" i="113"/>
  <c r="F50" i="113"/>
  <c r="F72" i="113"/>
  <c r="J86" i="113"/>
  <c r="J20" i="113"/>
  <c r="J42" i="113"/>
  <c r="J64" i="113"/>
  <c r="H42" i="113"/>
  <c r="H64" i="113"/>
  <c r="H86" i="113"/>
  <c r="H20" i="113"/>
  <c r="H37" i="113"/>
  <c r="H59" i="113"/>
  <c r="H81" i="113"/>
  <c r="H15" i="113"/>
  <c r="J72" i="113"/>
  <c r="J6" i="113"/>
  <c r="J28" i="113"/>
  <c r="J50" i="113"/>
  <c r="J38" i="113"/>
  <c r="J60" i="113"/>
  <c r="J82" i="113"/>
  <c r="J16" i="113"/>
  <c r="I35" i="113"/>
  <c r="I57" i="113"/>
  <c r="I79" i="113"/>
  <c r="I13" i="113"/>
  <c r="I50" i="113"/>
  <c r="I72" i="113"/>
  <c r="I6" i="113"/>
  <c r="I28" i="113"/>
  <c r="D38" i="113"/>
  <c r="D60" i="113"/>
  <c r="D82" i="113"/>
  <c r="D16" i="113"/>
  <c r="V15" i="116"/>
  <c r="J37" i="113"/>
  <c r="J59" i="113"/>
  <c r="J81" i="113"/>
  <c r="J15" i="113"/>
  <c r="G38" i="113"/>
  <c r="G60" i="113"/>
  <c r="G82" i="113"/>
  <c r="G16" i="113"/>
  <c r="I64" i="113"/>
  <c r="I86" i="113"/>
  <c r="I20" i="113"/>
  <c r="I42" i="113"/>
  <c r="D59" i="113"/>
  <c r="D81" i="113"/>
  <c r="D15" i="113"/>
  <c r="V14" i="116"/>
  <c r="D37" i="113"/>
  <c r="F42" i="113"/>
  <c r="F64" i="113"/>
  <c r="F86" i="113"/>
  <c r="F20" i="113"/>
  <c r="J35" i="113"/>
  <c r="J57" i="113"/>
  <c r="J79" i="113"/>
  <c r="J13" i="113"/>
  <c r="E35" i="113"/>
  <c r="E13" i="113"/>
  <c r="E57" i="113"/>
  <c r="E79" i="113"/>
  <c r="G42" i="113"/>
  <c r="G64" i="113"/>
  <c r="G86" i="113"/>
  <c r="G20" i="113"/>
  <c r="D6" i="113"/>
  <c r="D28" i="113"/>
  <c r="V5" i="116"/>
  <c r="D50" i="113"/>
  <c r="D72" i="113"/>
  <c r="H50" i="113"/>
  <c r="H72" i="113"/>
  <c r="H6" i="113"/>
  <c r="H28" i="113"/>
  <c r="I54" i="113"/>
  <c r="I10" i="113"/>
  <c r="I76" i="113"/>
  <c r="I32" i="113"/>
  <c r="H74" i="113"/>
  <c r="H30" i="113"/>
  <c r="H52" i="113"/>
  <c r="H8" i="113"/>
  <c r="F78" i="113"/>
  <c r="F34" i="113"/>
  <c r="F56" i="113"/>
  <c r="F12" i="113"/>
  <c r="J65" i="113"/>
  <c r="J21" i="113"/>
  <c r="J87" i="113"/>
  <c r="J43" i="113"/>
  <c r="D76" i="113"/>
  <c r="D32" i="113"/>
  <c r="D10" i="113"/>
  <c r="V9" i="116"/>
  <c r="D54" i="113"/>
  <c r="I56" i="113"/>
  <c r="I12" i="113"/>
  <c r="I78" i="113"/>
  <c r="I34" i="113"/>
  <c r="H80" i="113"/>
  <c r="H36" i="113"/>
  <c r="H58" i="113"/>
  <c r="H14" i="113"/>
  <c r="G54" i="113"/>
  <c r="G10" i="113"/>
  <c r="G76" i="113"/>
  <c r="G32" i="113"/>
  <c r="I88" i="113"/>
  <c r="I44" i="113"/>
  <c r="I66" i="113"/>
  <c r="I22" i="113"/>
  <c r="I89" i="113"/>
  <c r="I45" i="113"/>
  <c r="I67" i="113"/>
  <c r="I23" i="113"/>
  <c r="H89" i="113"/>
  <c r="H45" i="113"/>
  <c r="H67" i="113"/>
  <c r="H23" i="113"/>
  <c r="J58" i="113"/>
  <c r="J14" i="113"/>
  <c r="J80" i="113"/>
  <c r="J36" i="113"/>
  <c r="J76" i="113"/>
  <c r="J32" i="113"/>
  <c r="J54" i="113"/>
  <c r="J10" i="113"/>
  <c r="G53" i="113"/>
  <c r="G9" i="113"/>
  <c r="G75" i="113"/>
  <c r="G31" i="113"/>
  <c r="H87" i="113"/>
  <c r="H43" i="113"/>
  <c r="H65" i="113"/>
  <c r="H21" i="113"/>
  <c r="G87" i="113"/>
  <c r="G43" i="113"/>
  <c r="G65" i="113"/>
  <c r="G21" i="113"/>
  <c r="F87" i="113"/>
  <c r="F43" i="113"/>
  <c r="F65" i="113"/>
  <c r="F21" i="113"/>
  <c r="D78" i="113"/>
  <c r="D34" i="113"/>
  <c r="D12" i="113"/>
  <c r="V11" i="116"/>
  <c r="D56" i="113"/>
  <c r="J75" i="113"/>
  <c r="J31" i="113"/>
  <c r="J53" i="113"/>
  <c r="J9" i="113"/>
  <c r="H56" i="113"/>
  <c r="H12" i="113"/>
  <c r="H78" i="113"/>
  <c r="H34" i="113"/>
  <c r="G80" i="113"/>
  <c r="G36" i="113"/>
  <c r="G58" i="113"/>
  <c r="G14" i="113"/>
  <c r="G8" i="113"/>
  <c r="G74" i="113"/>
  <c r="G30" i="113"/>
  <c r="G52" i="113"/>
  <c r="D8" i="113"/>
  <c r="D52" i="113"/>
  <c r="V7" i="116"/>
  <c r="D74" i="113"/>
  <c r="D30" i="113"/>
  <c r="G89" i="113"/>
  <c r="G45" i="113"/>
  <c r="G67" i="113"/>
  <c r="G23" i="113"/>
  <c r="J52" i="113"/>
  <c r="J8" i="113"/>
  <c r="J74" i="113"/>
  <c r="J30" i="113"/>
  <c r="G88" i="113"/>
  <c r="G44" i="113"/>
  <c r="G66" i="113"/>
  <c r="G22" i="113"/>
  <c r="I75" i="113"/>
  <c r="I31" i="113"/>
  <c r="I53" i="113"/>
  <c r="I9" i="113"/>
  <c r="J51" i="113"/>
  <c r="J7" i="113"/>
  <c r="J73" i="113"/>
  <c r="J29" i="113"/>
  <c r="E76" i="113"/>
  <c r="E32" i="113"/>
  <c r="E10" i="113"/>
  <c r="E54" i="113"/>
  <c r="G73" i="113"/>
  <c r="G29" i="113"/>
  <c r="G51" i="113"/>
  <c r="G7" i="113"/>
  <c r="H88" i="113"/>
  <c r="H44" i="113"/>
  <c r="H66" i="113"/>
  <c r="H22" i="113"/>
  <c r="E87" i="113"/>
  <c r="E43" i="113"/>
  <c r="E21" i="113"/>
  <c r="E65" i="113"/>
  <c r="I65" i="113"/>
  <c r="I21" i="113"/>
  <c r="I87" i="113"/>
  <c r="I43" i="113"/>
  <c r="G78" i="113"/>
  <c r="G34" i="113"/>
  <c r="G56" i="113"/>
  <c r="G12" i="113"/>
  <c r="F67" i="113"/>
  <c r="F23" i="113"/>
  <c r="F89" i="113"/>
  <c r="F45" i="113"/>
  <c r="D51" i="113"/>
  <c r="V6" i="116"/>
  <c r="D73" i="113"/>
  <c r="D29" i="113"/>
  <c r="D7" i="113"/>
  <c r="E52" i="113"/>
  <c r="E8" i="113"/>
  <c r="E74" i="113"/>
  <c r="E30" i="113"/>
  <c r="I74" i="113"/>
  <c r="I30" i="113"/>
  <c r="I52" i="113"/>
  <c r="I8" i="113"/>
  <c r="H54" i="113"/>
  <c r="H10" i="113"/>
  <c r="H76" i="113"/>
  <c r="H32" i="113"/>
  <c r="F80" i="113"/>
  <c r="F36" i="113"/>
  <c r="F58" i="113"/>
  <c r="F14" i="113"/>
  <c r="E58" i="113"/>
  <c r="E80" i="113"/>
  <c r="E36" i="113"/>
  <c r="E14" i="113"/>
  <c r="E66" i="113"/>
  <c r="E88" i="113"/>
  <c r="E44" i="113"/>
  <c r="E22" i="113"/>
  <c r="J66" i="113"/>
  <c r="J22" i="113"/>
  <c r="J88" i="113"/>
  <c r="J44" i="113"/>
  <c r="E23" i="113"/>
  <c r="E67" i="113"/>
  <c r="E89" i="113"/>
  <c r="E45" i="113"/>
  <c r="F8" i="113"/>
  <c r="F74" i="113"/>
  <c r="F30" i="113"/>
  <c r="F52" i="113"/>
  <c r="E7" i="113"/>
  <c r="E73" i="113"/>
  <c r="E29" i="113"/>
  <c r="E51" i="113"/>
  <c r="I80" i="113"/>
  <c r="I36" i="113"/>
  <c r="I58" i="113"/>
  <c r="I14" i="113"/>
  <c r="I51" i="113"/>
  <c r="I7" i="113"/>
  <c r="I73" i="113"/>
  <c r="I29" i="113"/>
  <c r="H53" i="113"/>
  <c r="H9" i="113"/>
  <c r="H75" i="113"/>
  <c r="H31" i="113"/>
  <c r="F88" i="113"/>
  <c r="F44" i="113"/>
  <c r="F66" i="113"/>
  <c r="F22" i="113"/>
  <c r="V22" i="116"/>
  <c r="J56" i="113"/>
  <c r="J12" i="113"/>
  <c r="J78" i="113"/>
  <c r="J34" i="113"/>
  <c r="J89" i="113"/>
  <c r="J45" i="113"/>
  <c r="J67" i="113"/>
  <c r="J23" i="113"/>
  <c r="H73" i="113"/>
  <c r="H29" i="113"/>
  <c r="H51" i="113"/>
  <c r="H7" i="113"/>
  <c r="V13" i="116"/>
  <c r="V21" i="116"/>
  <c r="V20" i="116"/>
  <c r="E31" i="113"/>
  <c r="E53" i="113"/>
  <c r="E9" i="113"/>
  <c r="E75" i="113"/>
  <c r="D75" i="113"/>
  <c r="V8" i="116"/>
  <c r="D9" i="113"/>
  <c r="D31" i="113"/>
  <c r="D53" i="113"/>
  <c r="BH10" i="115"/>
  <c r="BH18" i="115"/>
  <c r="D9" i="111" l="1"/>
  <c r="BG17" i="115"/>
  <c r="F10" i="111"/>
  <c r="F11" i="111"/>
  <c r="D5" i="90"/>
  <c r="F4" i="58"/>
  <c r="AE64" i="115" l="1"/>
  <c r="AD64" i="115"/>
  <c r="AC64" i="115"/>
  <c r="AB64" i="115"/>
  <c r="AA64" i="115"/>
  <c r="AI61" i="115" s="1"/>
  <c r="Z64" i="115"/>
  <c r="AC62" i="115"/>
  <c r="AB62" i="115"/>
  <c r="AA62" i="115"/>
  <c r="F55" i="115"/>
  <c r="G54" i="115"/>
  <c r="G53" i="115"/>
  <c r="G52" i="115"/>
  <c r="G55" i="115" s="1"/>
  <c r="BH26" i="115"/>
  <c r="BC26" i="115"/>
  <c r="BB26" i="115"/>
  <c r="AX26" i="115"/>
  <c r="AW26" i="115"/>
  <c r="AV26" i="115"/>
  <c r="AU26" i="115"/>
  <c r="AQ26" i="115"/>
  <c r="AP26" i="115"/>
  <c r="AO26" i="115"/>
  <c r="AN26" i="115"/>
  <c r="AJ26" i="115"/>
  <c r="AI26" i="115"/>
  <c r="AH26" i="115"/>
  <c r="AG26" i="115"/>
  <c r="Y26" i="115"/>
  <c r="BJ25" i="115"/>
  <c r="BE25" i="115"/>
  <c r="AZ25" i="115"/>
  <c r="AS25" i="115"/>
  <c r="AL25" i="115"/>
  <c r="AA25" i="115"/>
  <c r="AE25" i="115" s="1"/>
  <c r="Y25" i="115"/>
  <c r="BJ24" i="115"/>
  <c r="BE24" i="115"/>
  <c r="AZ24" i="115"/>
  <c r="AS24" i="115"/>
  <c r="AL24" i="115"/>
  <c r="Z24" i="115"/>
  <c r="AE24" i="115" s="1"/>
  <c r="Y24" i="115"/>
  <c r="X24" i="115"/>
  <c r="BJ23" i="115"/>
  <c r="BE23" i="115"/>
  <c r="AZ23" i="115"/>
  <c r="AS23" i="115"/>
  <c r="AL23" i="115"/>
  <c r="AE23" i="115"/>
  <c r="AA23" i="115"/>
  <c r="Z23" i="115"/>
  <c r="Y23" i="115"/>
  <c r="X23" i="115"/>
  <c r="BJ22" i="115"/>
  <c r="BE22" i="115"/>
  <c r="AZ22" i="115"/>
  <c r="AS22" i="115"/>
  <c r="AL22" i="115"/>
  <c r="AC22" i="115"/>
  <c r="AE22" i="115" s="1"/>
  <c r="V22" i="115"/>
  <c r="Y22" i="115" s="1"/>
  <c r="BJ21" i="115"/>
  <c r="BE21" i="115"/>
  <c r="AZ21" i="115"/>
  <c r="AS21" i="115"/>
  <c r="AL21" i="115"/>
  <c r="AC21" i="115"/>
  <c r="Z21" i="115"/>
  <c r="AE21" i="115" s="1"/>
  <c r="X21" i="115"/>
  <c r="V21" i="115"/>
  <c r="Y21" i="115" s="1"/>
  <c r="BJ20" i="115"/>
  <c r="BI20" i="115"/>
  <c r="BI26" i="115" s="1"/>
  <c r="BG20" i="115"/>
  <c r="BD20" i="115"/>
  <c r="BE20" i="115" s="1"/>
  <c r="AY20" i="115"/>
  <c r="AZ20" i="115" s="1"/>
  <c r="AS20" i="115"/>
  <c r="AR20" i="115"/>
  <c r="AR26" i="115" s="1"/>
  <c r="AK20" i="115"/>
  <c r="AK26" i="115" s="1"/>
  <c r="AD20" i="115"/>
  <c r="AE20" i="115" s="1"/>
  <c r="AC20" i="115"/>
  <c r="Z20" i="115"/>
  <c r="Y20" i="115"/>
  <c r="X20" i="115"/>
  <c r="V20" i="115"/>
  <c r="BJ19" i="115"/>
  <c r="BE19" i="115"/>
  <c r="AZ19" i="115"/>
  <c r="AS19" i="115"/>
  <c r="AL19" i="115"/>
  <c r="AE19" i="115"/>
  <c r="AA19" i="115"/>
  <c r="Y19" i="115"/>
  <c r="BJ18" i="115"/>
  <c r="BE18" i="115"/>
  <c r="AZ18" i="115"/>
  <c r="AS18" i="115"/>
  <c r="AL18" i="115"/>
  <c r="AE18" i="115"/>
  <c r="AD18" i="115"/>
  <c r="AD26" i="115" s="1"/>
  <c r="AD66" i="115" s="1"/>
  <c r="AB18" i="115"/>
  <c r="AA18" i="115"/>
  <c r="AA26" i="115" s="1"/>
  <c r="AA59" i="115" s="1"/>
  <c r="Y18" i="115"/>
  <c r="X18" i="115"/>
  <c r="BG26" i="115"/>
  <c r="BE17" i="115"/>
  <c r="AZ17" i="115"/>
  <c r="AS17" i="115"/>
  <c r="AL17" i="115"/>
  <c r="AB17" i="115"/>
  <c r="AE17" i="115" s="1"/>
  <c r="Z17" i="115"/>
  <c r="Y17" i="115"/>
  <c r="X17" i="115"/>
  <c r="H17" i="115"/>
  <c r="BJ16" i="115"/>
  <c r="BE16" i="115"/>
  <c r="AZ16" i="115"/>
  <c r="AS16" i="115"/>
  <c r="AL16" i="115"/>
  <c r="AE16" i="115"/>
  <c r="Y16" i="115"/>
  <c r="BJ15" i="115"/>
  <c r="BE15" i="115"/>
  <c r="AZ15" i="115"/>
  <c r="AS15" i="115"/>
  <c r="AL15" i="115"/>
  <c r="AC15" i="115"/>
  <c r="Z15" i="115"/>
  <c r="AE15" i="115" s="1"/>
  <c r="Y15" i="115"/>
  <c r="V15" i="115"/>
  <c r="BJ14" i="115"/>
  <c r="BE14" i="115"/>
  <c r="AZ14" i="115"/>
  <c r="AS14" i="115"/>
  <c r="AL14" i="115"/>
  <c r="AE14" i="115"/>
  <c r="Z14" i="115"/>
  <c r="Y14" i="115"/>
  <c r="S14" i="115"/>
  <c r="BJ13" i="115"/>
  <c r="BE13" i="115"/>
  <c r="AZ13" i="115"/>
  <c r="AS13" i="115"/>
  <c r="AL13" i="115"/>
  <c r="AE13" i="115"/>
  <c r="Y13" i="115"/>
  <c r="X13" i="115"/>
  <c r="BJ12" i="115"/>
  <c r="BE12" i="115"/>
  <c r="AZ12" i="115"/>
  <c r="AS12" i="115"/>
  <c r="AL12" i="115"/>
  <c r="AE12" i="115"/>
  <c r="Z12" i="115"/>
  <c r="Y12" i="115"/>
  <c r="X12" i="115"/>
  <c r="BJ11" i="115"/>
  <c r="BE11" i="115"/>
  <c r="AZ11" i="115"/>
  <c r="AS11" i="115"/>
  <c r="AL11" i="115"/>
  <c r="AE11" i="115"/>
  <c r="Y11" i="115"/>
  <c r="BJ10" i="115"/>
  <c r="BE10" i="115"/>
  <c r="AZ10" i="115"/>
  <c r="AS10" i="115"/>
  <c r="AL10" i="115"/>
  <c r="AE10" i="115"/>
  <c r="AC10" i="115"/>
  <c r="AB10" i="115"/>
  <c r="AB26" i="115" s="1"/>
  <c r="AB59" i="115" s="1"/>
  <c r="Y10" i="115"/>
  <c r="BJ9" i="115"/>
  <c r="BE9" i="115"/>
  <c r="AZ9" i="115"/>
  <c r="AS9" i="115"/>
  <c r="AL9" i="115"/>
  <c r="AE9" i="115"/>
  <c r="Y9" i="115"/>
  <c r="BJ8" i="115"/>
  <c r="BE8" i="115"/>
  <c r="AZ8" i="115"/>
  <c r="AS8" i="115"/>
  <c r="AL8" i="115"/>
  <c r="AE8" i="115"/>
  <c r="Y8" i="115"/>
  <c r="BJ7" i="115"/>
  <c r="BE7" i="115"/>
  <c r="AZ7" i="115"/>
  <c r="AS7" i="115"/>
  <c r="AL7" i="115"/>
  <c r="AE7" i="115"/>
  <c r="AC7" i="115"/>
  <c r="AC26" i="115" s="1"/>
  <c r="AC59" i="115" s="1"/>
  <c r="Z7" i="115"/>
  <c r="Z26" i="115" s="1"/>
  <c r="Y7" i="115"/>
  <c r="X7" i="115"/>
  <c r="X26" i="115" s="1"/>
  <c r="V7" i="115"/>
  <c r="BG17" i="106"/>
  <c r="BG20" i="106"/>
  <c r="BI26" i="106"/>
  <c r="BH26" i="106"/>
  <c r="BG26" i="106"/>
  <c r="BJ25" i="106"/>
  <c r="BJ24" i="106"/>
  <c r="BJ23" i="106"/>
  <c r="BJ22" i="106"/>
  <c r="BJ21" i="106"/>
  <c r="BJ20" i="106"/>
  <c r="BI20" i="106"/>
  <c r="BJ19" i="106"/>
  <c r="BJ18" i="106"/>
  <c r="BJ17" i="106"/>
  <c r="BJ16" i="106"/>
  <c r="BJ15" i="106"/>
  <c r="BJ14" i="106"/>
  <c r="BJ13" i="106"/>
  <c r="BJ12" i="106"/>
  <c r="BJ11" i="106"/>
  <c r="BJ10" i="106"/>
  <c r="BJ9" i="106"/>
  <c r="BJ8" i="106"/>
  <c r="BJ7" i="106"/>
  <c r="D21" i="114"/>
  <c r="D20" i="114"/>
  <c r="D19" i="114"/>
  <c r="D18" i="114"/>
  <c r="D17" i="114"/>
  <c r="D16" i="114"/>
  <c r="D15" i="114"/>
  <c r="D14" i="114"/>
  <c r="D13" i="114"/>
  <c r="D12" i="114"/>
  <c r="D11" i="114"/>
  <c r="D10" i="114"/>
  <c r="D9" i="114"/>
  <c r="D8" i="114"/>
  <c r="D7" i="114"/>
  <c r="D6" i="114"/>
  <c r="D5" i="114"/>
  <c r="D4" i="114"/>
  <c r="S129" i="113"/>
  <c r="M15" i="112" s="1"/>
  <c r="AB87" i="131" s="1"/>
  <c r="AC87" i="131" s="1"/>
  <c r="S128" i="113"/>
  <c r="M14" i="112" s="1"/>
  <c r="AB86" i="131" s="1"/>
  <c r="AC86" i="131" s="1"/>
  <c r="S127" i="113"/>
  <c r="M13" i="112" s="1"/>
  <c r="AB85" i="131" s="1"/>
  <c r="AC85" i="131" s="1"/>
  <c r="S126" i="113"/>
  <c r="M12" i="112" s="1"/>
  <c r="AB84" i="131" s="1"/>
  <c r="AC84" i="131" s="1"/>
  <c r="S125" i="113"/>
  <c r="M20" i="112" s="1"/>
  <c r="AB83" i="131" s="1"/>
  <c r="AC83" i="131" s="1"/>
  <c r="S124" i="113"/>
  <c r="M19" i="112" s="1"/>
  <c r="AB82" i="131" s="1"/>
  <c r="AC82" i="131" s="1"/>
  <c r="AD82" i="131" s="1"/>
  <c r="S123" i="113"/>
  <c r="M18" i="112" s="1"/>
  <c r="AB81" i="131" s="1"/>
  <c r="AC81" i="131" s="1"/>
  <c r="S122" i="113"/>
  <c r="M11" i="112" s="1"/>
  <c r="AB80" i="131" s="1"/>
  <c r="AC80" i="131" s="1"/>
  <c r="S121" i="113"/>
  <c r="M10" i="112" s="1"/>
  <c r="AB79" i="131" s="1"/>
  <c r="AC79" i="131" s="1"/>
  <c r="S120" i="113"/>
  <c r="M23" i="112" s="1"/>
  <c r="AB78" i="131" s="1"/>
  <c r="AC78" i="131" s="1"/>
  <c r="S119" i="113"/>
  <c r="M9" i="112" s="1"/>
  <c r="AB77" i="131" s="1"/>
  <c r="AC77" i="131" s="1"/>
  <c r="S118" i="113"/>
  <c r="M22" i="112" s="1"/>
  <c r="AB76" i="131" s="1"/>
  <c r="AC76" i="131" s="1"/>
  <c r="S117" i="113"/>
  <c r="M17" i="112" s="1"/>
  <c r="AB75" i="131" s="1"/>
  <c r="AC75" i="131" s="1"/>
  <c r="S116" i="113"/>
  <c r="M8" i="112" s="1"/>
  <c r="AB74" i="131" s="1"/>
  <c r="AC74" i="131" s="1"/>
  <c r="S115" i="113"/>
  <c r="M7" i="112" s="1"/>
  <c r="AB73" i="131" s="1"/>
  <c r="AC73" i="131" s="1"/>
  <c r="S114" i="113"/>
  <c r="M6" i="112" s="1"/>
  <c r="AB72" i="131" s="1"/>
  <c r="AC72" i="131" s="1"/>
  <c r="S113" i="113"/>
  <c r="M5" i="112" s="1"/>
  <c r="AB71" i="131" s="1"/>
  <c r="AC71" i="131" s="1"/>
  <c r="M4" i="112"/>
  <c r="AB70" i="131" s="1"/>
  <c r="AC70" i="131" s="1"/>
  <c r="O111" i="113"/>
  <c r="N111" i="113"/>
  <c r="L111" i="113"/>
  <c r="K111" i="113"/>
  <c r="H111" i="113"/>
  <c r="G111" i="113"/>
  <c r="E111" i="113"/>
  <c r="D111" i="113"/>
  <c r="G106" i="113"/>
  <c r="O89" i="113"/>
  <c r="O88" i="113"/>
  <c r="M88" i="113"/>
  <c r="O128" i="113" s="1"/>
  <c r="O87" i="113"/>
  <c r="M87" i="113"/>
  <c r="O127" i="113" s="1"/>
  <c r="O86" i="113"/>
  <c r="M86" i="113"/>
  <c r="O126" i="113" s="1"/>
  <c r="O85" i="113"/>
  <c r="M85" i="113"/>
  <c r="O125" i="113" s="1"/>
  <c r="O84" i="113"/>
  <c r="M84" i="113"/>
  <c r="O124" i="113" s="1"/>
  <c r="O83" i="113"/>
  <c r="M83" i="113"/>
  <c r="O123" i="113" s="1"/>
  <c r="O82" i="113"/>
  <c r="M82" i="113"/>
  <c r="O122" i="113" s="1"/>
  <c r="O81" i="113"/>
  <c r="M81" i="113"/>
  <c r="O121" i="113" s="1"/>
  <c r="O80" i="113"/>
  <c r="M80" i="113"/>
  <c r="O120" i="113" s="1"/>
  <c r="O79" i="113"/>
  <c r="M79" i="113"/>
  <c r="O119" i="113" s="1"/>
  <c r="O78" i="113"/>
  <c r="M78" i="113"/>
  <c r="O118" i="113" s="1"/>
  <c r="O77" i="113"/>
  <c r="M77" i="113"/>
  <c r="O117" i="113" s="1"/>
  <c r="O76" i="113"/>
  <c r="M76" i="113"/>
  <c r="O116" i="113" s="1"/>
  <c r="O75" i="113"/>
  <c r="M75" i="113"/>
  <c r="O115" i="113" s="1"/>
  <c r="O74" i="113"/>
  <c r="M74" i="113"/>
  <c r="O114" i="113" s="1"/>
  <c r="O73" i="113"/>
  <c r="M73" i="113"/>
  <c r="O113" i="113" s="1"/>
  <c r="O72" i="113"/>
  <c r="M72" i="113"/>
  <c r="O112" i="113" s="1"/>
  <c r="O67" i="113"/>
  <c r="M67" i="113"/>
  <c r="L129" i="113" s="1"/>
  <c r="O66" i="113"/>
  <c r="M66" i="113"/>
  <c r="L128" i="113" s="1"/>
  <c r="O65" i="113"/>
  <c r="M65" i="113"/>
  <c r="L127" i="113" s="1"/>
  <c r="O64" i="113"/>
  <c r="M64" i="113"/>
  <c r="L126" i="113" s="1"/>
  <c r="O63" i="113"/>
  <c r="M63" i="113"/>
  <c r="L125" i="113" s="1"/>
  <c r="O62" i="113"/>
  <c r="M62" i="113"/>
  <c r="L124" i="113" s="1"/>
  <c r="O61" i="113"/>
  <c r="M61" i="113"/>
  <c r="L123" i="113" s="1"/>
  <c r="O60" i="113"/>
  <c r="M60" i="113"/>
  <c r="L122" i="113" s="1"/>
  <c r="O59" i="113"/>
  <c r="M59" i="113"/>
  <c r="L121" i="113" s="1"/>
  <c r="O58" i="113"/>
  <c r="M58" i="113"/>
  <c r="L120" i="113" s="1"/>
  <c r="O57" i="113"/>
  <c r="M57" i="113"/>
  <c r="L119" i="113" s="1"/>
  <c r="O56" i="113"/>
  <c r="M56" i="113"/>
  <c r="L118" i="113" s="1"/>
  <c r="O55" i="113"/>
  <c r="M55" i="113"/>
  <c r="L117" i="113" s="1"/>
  <c r="O54" i="113"/>
  <c r="M54" i="113"/>
  <c r="L116" i="113" s="1"/>
  <c r="O53" i="113"/>
  <c r="M53" i="113"/>
  <c r="L115" i="113" s="1"/>
  <c r="O52" i="113"/>
  <c r="M52" i="113"/>
  <c r="L114" i="113" s="1"/>
  <c r="O51" i="113"/>
  <c r="M51" i="113"/>
  <c r="L113" i="113" s="1"/>
  <c r="O50" i="113"/>
  <c r="M50" i="113"/>
  <c r="L112" i="113" s="1"/>
  <c r="O45" i="113"/>
  <c r="M45" i="113"/>
  <c r="N129" i="113" s="1"/>
  <c r="O44" i="113"/>
  <c r="W128" i="113" s="1"/>
  <c r="M44" i="113"/>
  <c r="N128" i="113" s="1"/>
  <c r="P128" i="113" s="1"/>
  <c r="O43" i="113"/>
  <c r="W127" i="113" s="1"/>
  <c r="M43" i="113"/>
  <c r="N127" i="113" s="1"/>
  <c r="P127" i="113" s="1"/>
  <c r="O42" i="113"/>
  <c r="W126" i="113" s="1"/>
  <c r="M42" i="113"/>
  <c r="N126" i="113" s="1"/>
  <c r="O41" i="113"/>
  <c r="W125" i="113" s="1"/>
  <c r="M41" i="113"/>
  <c r="N125" i="113" s="1"/>
  <c r="O40" i="113"/>
  <c r="W124" i="113" s="1"/>
  <c r="M40" i="113"/>
  <c r="N124" i="113" s="1"/>
  <c r="O39" i="113"/>
  <c r="W123" i="113" s="1"/>
  <c r="M39" i="113"/>
  <c r="N123" i="113" s="1"/>
  <c r="O38" i="113"/>
  <c r="W122" i="113" s="1"/>
  <c r="M38" i="113"/>
  <c r="N122" i="113" s="1"/>
  <c r="O37" i="113"/>
  <c r="W121" i="113" s="1"/>
  <c r="M37" i="113"/>
  <c r="N121" i="113" s="1"/>
  <c r="O36" i="113"/>
  <c r="W120" i="113" s="1"/>
  <c r="M36" i="113"/>
  <c r="N120" i="113" s="1"/>
  <c r="O35" i="113"/>
  <c r="W119" i="113" s="1"/>
  <c r="M35" i="113"/>
  <c r="N119" i="113" s="1"/>
  <c r="O34" i="113"/>
  <c r="W118" i="113" s="1"/>
  <c r="M34" i="113"/>
  <c r="N118" i="113" s="1"/>
  <c r="O33" i="113"/>
  <c r="W117" i="113" s="1"/>
  <c r="M33" i="113"/>
  <c r="N117" i="113" s="1"/>
  <c r="O32" i="113"/>
  <c r="W116" i="113" s="1"/>
  <c r="M32" i="113"/>
  <c r="N116" i="113" s="1"/>
  <c r="O31" i="113"/>
  <c r="W115" i="113" s="1"/>
  <c r="M31" i="113"/>
  <c r="N115" i="113" s="1"/>
  <c r="O30" i="113"/>
  <c r="W114" i="113" s="1"/>
  <c r="M30" i="113"/>
  <c r="N114" i="113" s="1"/>
  <c r="O29" i="113"/>
  <c r="M29" i="113"/>
  <c r="N113" i="113" s="1"/>
  <c r="O28" i="113"/>
  <c r="W112" i="113" s="1"/>
  <c r="M28" i="113"/>
  <c r="N112" i="113" s="1"/>
  <c r="O23" i="113"/>
  <c r="M23" i="113"/>
  <c r="K129" i="113" s="1"/>
  <c r="M129" i="113" s="1"/>
  <c r="O22" i="113"/>
  <c r="M22" i="113"/>
  <c r="K128" i="113" s="1"/>
  <c r="O21" i="113"/>
  <c r="V127" i="113" s="1"/>
  <c r="M21" i="113"/>
  <c r="K127" i="113" s="1"/>
  <c r="O20" i="113"/>
  <c r="V126" i="113" s="1"/>
  <c r="M20" i="113"/>
  <c r="K126" i="113" s="1"/>
  <c r="O19" i="113"/>
  <c r="V125" i="113" s="1"/>
  <c r="X125" i="113" s="1"/>
  <c r="M19" i="113"/>
  <c r="K125" i="113" s="1"/>
  <c r="O18" i="113"/>
  <c r="M18" i="113"/>
  <c r="K124" i="113" s="1"/>
  <c r="O17" i="113"/>
  <c r="M17" i="113"/>
  <c r="K123" i="113" s="1"/>
  <c r="O16" i="113"/>
  <c r="M16" i="113"/>
  <c r="K122" i="113" s="1"/>
  <c r="M122" i="113" s="1"/>
  <c r="O15" i="113"/>
  <c r="O14" i="113"/>
  <c r="V120" i="113" s="1"/>
  <c r="M14" i="113"/>
  <c r="K120" i="113" s="1"/>
  <c r="O13" i="113"/>
  <c r="V119" i="113" s="1"/>
  <c r="M13" i="113"/>
  <c r="K119" i="113" s="1"/>
  <c r="O12" i="113"/>
  <c r="M12" i="113"/>
  <c r="K118" i="113" s="1"/>
  <c r="O11" i="113"/>
  <c r="M11" i="113"/>
  <c r="K117" i="113" s="1"/>
  <c r="O10" i="113"/>
  <c r="M10" i="113"/>
  <c r="K116" i="113" s="1"/>
  <c r="O9" i="113"/>
  <c r="V115" i="113" s="1"/>
  <c r="M9" i="113"/>
  <c r="K115" i="113" s="1"/>
  <c r="O8" i="113"/>
  <c r="V114" i="113" s="1"/>
  <c r="M8" i="113"/>
  <c r="K114" i="113" s="1"/>
  <c r="O7" i="113"/>
  <c r="V113" i="113" s="1"/>
  <c r="O6" i="113"/>
  <c r="V112" i="113" s="1"/>
  <c r="G25" i="112"/>
  <c r="F25" i="112"/>
  <c r="B9" i="111"/>
  <c r="F9" i="111" s="1"/>
  <c r="B8" i="111"/>
  <c r="B7" i="111"/>
  <c r="B6" i="111"/>
  <c r="B5" i="111"/>
  <c r="B21" i="90" l="1"/>
  <c r="D6" i="111"/>
  <c r="C6" i="124"/>
  <c r="G6" i="124" s="1"/>
  <c r="D5" i="111"/>
  <c r="C5" i="124"/>
  <c r="G5" i="124" s="1"/>
  <c r="E19" i="118"/>
  <c r="E33" i="118"/>
  <c r="E89" i="118"/>
  <c r="J89" i="118" s="1"/>
  <c r="E124" i="118"/>
  <c r="G124" i="118" s="1"/>
  <c r="E40" i="118"/>
  <c r="AB17" i="112"/>
  <c r="E96" i="118"/>
  <c r="H96" i="118" s="1"/>
  <c r="E12" i="118"/>
  <c r="E82" i="118"/>
  <c r="I82" i="118" s="1"/>
  <c r="E103" i="118"/>
  <c r="H103" i="118" s="1"/>
  <c r="E68" i="118"/>
  <c r="L68" i="118" s="1"/>
  <c r="E26" i="118"/>
  <c r="E54" i="118"/>
  <c r="I54" i="118" s="1"/>
  <c r="E110" i="118"/>
  <c r="H110" i="118" s="1"/>
  <c r="E5" i="118"/>
  <c r="AK4" i="112"/>
  <c r="E61" i="118"/>
  <c r="J61" i="118" s="1"/>
  <c r="E117" i="118"/>
  <c r="K117" i="118" s="1"/>
  <c r="F6" i="111"/>
  <c r="F5" i="111"/>
  <c r="F7" i="111"/>
  <c r="O22" i="112"/>
  <c r="E47" i="118"/>
  <c r="E75" i="118"/>
  <c r="I6" i="117"/>
  <c r="O9" i="112"/>
  <c r="O13" i="112"/>
  <c r="O4" i="112"/>
  <c r="O8" i="112"/>
  <c r="O23" i="112"/>
  <c r="O19" i="112"/>
  <c r="O14" i="112"/>
  <c r="O5" i="112"/>
  <c r="O10" i="112"/>
  <c r="O20" i="112"/>
  <c r="O15" i="112"/>
  <c r="O7" i="112"/>
  <c r="O18" i="112"/>
  <c r="O17" i="112"/>
  <c r="O6" i="112"/>
  <c r="O11" i="112"/>
  <c r="O12" i="112"/>
  <c r="M116" i="113"/>
  <c r="M6" i="113"/>
  <c r="K112" i="113" s="1"/>
  <c r="M112" i="113" s="1"/>
  <c r="P114" i="113"/>
  <c r="P115" i="113"/>
  <c r="P119" i="113"/>
  <c r="P120" i="113"/>
  <c r="P121" i="113"/>
  <c r="P122" i="113"/>
  <c r="Q122" i="113" s="1"/>
  <c r="I11" i="112" s="1"/>
  <c r="P126" i="113"/>
  <c r="BJ26" i="115"/>
  <c r="D8" i="111"/>
  <c r="V121" i="113"/>
  <c r="X121" i="113" s="1"/>
  <c r="V116" i="113"/>
  <c r="V123" i="113"/>
  <c r="X126" i="113"/>
  <c r="W129" i="113"/>
  <c r="V129" i="113"/>
  <c r="V118" i="113"/>
  <c r="X118" i="113" s="1"/>
  <c r="V124" i="113"/>
  <c r="V117" i="113"/>
  <c r="V122" i="113"/>
  <c r="Z66" i="115"/>
  <c r="AE26" i="115"/>
  <c r="AS26" i="115"/>
  <c r="AL26" i="115"/>
  <c r="AL61" i="115" s="1"/>
  <c r="AL20" i="115"/>
  <c r="AY26" i="115"/>
  <c r="AZ26" i="115" s="1"/>
  <c r="BJ17" i="115"/>
  <c r="BD26" i="115"/>
  <c r="BE26" i="115" s="1"/>
  <c r="BJ26" i="106"/>
  <c r="P116" i="113"/>
  <c r="Q116" i="113" s="1"/>
  <c r="I8" i="112" s="1"/>
  <c r="P117" i="113"/>
  <c r="P118" i="113"/>
  <c r="P123" i="113"/>
  <c r="P124" i="113"/>
  <c r="P125" i="113"/>
  <c r="M117" i="113"/>
  <c r="M118" i="113"/>
  <c r="M125" i="113"/>
  <c r="M126" i="113"/>
  <c r="V128" i="113"/>
  <c r="M127" i="113"/>
  <c r="Q127" i="113" s="1"/>
  <c r="I13" i="112" s="1"/>
  <c r="P113" i="113"/>
  <c r="X115" i="113"/>
  <c r="W113" i="113"/>
  <c r="X113" i="113" s="1"/>
  <c r="M114" i="113"/>
  <c r="X117" i="113"/>
  <c r="X120" i="113"/>
  <c r="M119" i="113"/>
  <c r="M124" i="113"/>
  <c r="M120" i="113"/>
  <c r="M128" i="113"/>
  <c r="Q128" i="113" s="1"/>
  <c r="I14" i="112" s="1"/>
  <c r="X114" i="113"/>
  <c r="M115" i="113"/>
  <c r="X122" i="113"/>
  <c r="L131" i="113"/>
  <c r="M89" i="113"/>
  <c r="O129" i="113" s="1"/>
  <c r="O131" i="113" s="1"/>
  <c r="Y23" i="112"/>
  <c r="Y20" i="112"/>
  <c r="AB20" i="112"/>
  <c r="Y5" i="112"/>
  <c r="AB4" i="112"/>
  <c r="AK6" i="112"/>
  <c r="AB6" i="112"/>
  <c r="Y6" i="112"/>
  <c r="AB8" i="112"/>
  <c r="AK8" i="112"/>
  <c r="Y8" i="112"/>
  <c r="Y14" i="112"/>
  <c r="AB14" i="112"/>
  <c r="AK14" i="112"/>
  <c r="AK7" i="112"/>
  <c r="AK17" i="112"/>
  <c r="Y17" i="112"/>
  <c r="AK9" i="112"/>
  <c r="AK10" i="112"/>
  <c r="AB10" i="112"/>
  <c r="Y10" i="112"/>
  <c r="AK18" i="112"/>
  <c r="AB22" i="112"/>
  <c r="Y11" i="112"/>
  <c r="AB11" i="112"/>
  <c r="Y12" i="112"/>
  <c r="AK11" i="112"/>
  <c r="AK22" i="112"/>
  <c r="AB12" i="112"/>
  <c r="D23" i="114"/>
  <c r="D30" i="114" s="1"/>
  <c r="V131" i="113"/>
  <c r="X112" i="113"/>
  <c r="N131" i="113"/>
  <c r="P112" i="113"/>
  <c r="X116" i="113"/>
  <c r="M7" i="113"/>
  <c r="K113" i="113" s="1"/>
  <c r="M113" i="113" s="1"/>
  <c r="X119" i="113"/>
  <c r="M15" i="113"/>
  <c r="K121" i="113" s="1"/>
  <c r="M121" i="113" s="1"/>
  <c r="Q121" i="113" s="1"/>
  <c r="I10" i="112" s="1"/>
  <c r="X127" i="113"/>
  <c r="S131" i="113"/>
  <c r="X124" i="113"/>
  <c r="M123" i="113"/>
  <c r="X123" i="113"/>
  <c r="X128" i="113"/>
  <c r="W131" i="113"/>
  <c r="J25" i="112"/>
  <c r="AB13" i="112"/>
  <c r="AK13" i="112"/>
  <c r="Y15" i="112"/>
  <c r="AB15" i="112"/>
  <c r="AK15" i="112"/>
  <c r="Y19" i="112"/>
  <c r="AK19" i="112"/>
  <c r="AB19" i="112"/>
  <c r="Y4" i="112"/>
  <c r="M25" i="112"/>
  <c r="M25" i="120" s="1"/>
  <c r="N25" i="120" s="1"/>
  <c r="AB5" i="112"/>
  <c r="AK5" i="112"/>
  <c r="Y7" i="112"/>
  <c r="AB7" i="112"/>
  <c r="Y13" i="112"/>
  <c r="Y9" i="112"/>
  <c r="Y18" i="112"/>
  <c r="AK20" i="112"/>
  <c r="Y22" i="112"/>
  <c r="AB23" i="112"/>
  <c r="AK23" i="112"/>
  <c r="AB9" i="112"/>
  <c r="AK12" i="112"/>
  <c r="AB18" i="112"/>
  <c r="L89" i="118" l="1"/>
  <c r="I68" i="118"/>
  <c r="H89" i="118"/>
  <c r="J117" i="118"/>
  <c r="G117" i="118"/>
  <c r="F89" i="118"/>
  <c r="G89" i="118"/>
  <c r="I89" i="118"/>
  <c r="K110" i="118"/>
  <c r="K89" i="118"/>
  <c r="F110" i="118"/>
  <c r="I96" i="118"/>
  <c r="L96" i="118"/>
  <c r="J110" i="118"/>
  <c r="I110" i="118"/>
  <c r="F117" i="118"/>
  <c r="G54" i="118"/>
  <c r="G103" i="118"/>
  <c r="L117" i="118"/>
  <c r="J54" i="118"/>
  <c r="K103" i="118"/>
  <c r="I103" i="118"/>
  <c r="H117" i="118"/>
  <c r="L103" i="118"/>
  <c r="L124" i="118"/>
  <c r="I117" i="118"/>
  <c r="K54" i="118"/>
  <c r="J103" i="118"/>
  <c r="G110" i="118"/>
  <c r="F103" i="118"/>
  <c r="L110" i="118"/>
  <c r="H68" i="118"/>
  <c r="K96" i="118"/>
  <c r="F54" i="118"/>
  <c r="G68" i="118"/>
  <c r="L54" i="118"/>
  <c r="J96" i="118"/>
  <c r="F68" i="118"/>
  <c r="G96" i="118"/>
  <c r="K68" i="118"/>
  <c r="F96" i="118"/>
  <c r="H54" i="118"/>
  <c r="J68" i="118"/>
  <c r="H82" i="118"/>
  <c r="G82" i="118"/>
  <c r="F124" i="118"/>
  <c r="G61" i="118"/>
  <c r="F82" i="118"/>
  <c r="J124" i="118"/>
  <c r="K82" i="118"/>
  <c r="I124" i="118"/>
  <c r="F61" i="118"/>
  <c r="I61" i="118"/>
  <c r="L61" i="118"/>
  <c r="H61" i="118"/>
  <c r="L82" i="118"/>
  <c r="H124" i="118"/>
  <c r="K61" i="118"/>
  <c r="K124" i="118"/>
  <c r="J82" i="118"/>
  <c r="M6" i="117"/>
  <c r="N6" i="117"/>
  <c r="O6" i="117"/>
  <c r="L6" i="117"/>
  <c r="P6" i="117"/>
  <c r="J6" i="117"/>
  <c r="K6" i="117"/>
  <c r="F75" i="118"/>
  <c r="G75" i="118"/>
  <c r="H75" i="118"/>
  <c r="L75" i="118"/>
  <c r="I75" i="118"/>
  <c r="K75" i="118"/>
  <c r="J75" i="118"/>
  <c r="K47" i="118"/>
  <c r="L47" i="118"/>
  <c r="F47" i="118"/>
  <c r="G47" i="118"/>
  <c r="I47" i="118"/>
  <c r="H47" i="118"/>
  <c r="J47" i="118"/>
  <c r="Q115" i="113"/>
  <c r="I7" i="112" s="1"/>
  <c r="Q114" i="113"/>
  <c r="I6" i="112" s="1"/>
  <c r="P129" i="113"/>
  <c r="Q129" i="113" s="1"/>
  <c r="I15" i="112" s="1"/>
  <c r="Q119" i="113"/>
  <c r="I9" i="112" s="1"/>
  <c r="Q124" i="113"/>
  <c r="I19" i="112" s="1"/>
  <c r="Q113" i="113"/>
  <c r="I5" i="112" s="1"/>
  <c r="Q118" i="113"/>
  <c r="I22" i="112" s="1"/>
  <c r="Q126" i="113"/>
  <c r="I12" i="112" s="1"/>
  <c r="Q117" i="113"/>
  <c r="I17" i="112" s="1"/>
  <c r="Q120" i="113"/>
  <c r="I23" i="112" s="1"/>
  <c r="Q123" i="113"/>
  <c r="I18" i="112" s="1"/>
  <c r="Q125" i="113"/>
  <c r="I20" i="112" s="1"/>
  <c r="F8" i="111"/>
  <c r="X129" i="113"/>
  <c r="X131" i="113" s="1"/>
  <c r="M131" i="113"/>
  <c r="Q112" i="113"/>
  <c r="K131" i="113"/>
  <c r="AK25" i="112"/>
  <c r="D18" i="111" l="1"/>
  <c r="P131" i="113"/>
  <c r="Q131" i="113"/>
  <c r="I4" i="112"/>
  <c r="B14" i="90" s="1"/>
  <c r="AG37" i="104"/>
  <c r="I25" i="112" l="1"/>
  <c r="AG36" i="104"/>
  <c r="R183" i="107" l="1"/>
  <c r="AG35" i="104" l="1"/>
  <c r="D9" i="105" l="1"/>
  <c r="D8" i="105"/>
  <c r="D7" i="105"/>
  <c r="B9" i="105"/>
  <c r="B8" i="105"/>
  <c r="B7" i="105"/>
  <c r="R205" i="107"/>
  <c r="R207" i="107"/>
  <c r="R208" i="107"/>
  <c r="R214" i="107"/>
  <c r="R215" i="107"/>
  <c r="R216" i="107"/>
  <c r="R219" i="107"/>
  <c r="R220" i="107"/>
  <c r="Q204" i="107"/>
  <c r="Q205" i="107"/>
  <c r="Q206" i="107"/>
  <c r="Q222" i="107" s="1"/>
  <c r="Q207" i="107"/>
  <c r="Q208" i="107"/>
  <c r="Q209" i="107"/>
  <c r="Q210" i="107"/>
  <c r="Q211" i="107"/>
  <c r="Q212" i="107"/>
  <c r="Q213" i="107"/>
  <c r="Q214" i="107"/>
  <c r="Q215" i="107"/>
  <c r="Q216" i="107"/>
  <c r="Q217" i="107"/>
  <c r="Q218" i="107"/>
  <c r="Q219" i="107"/>
  <c r="Q220" i="107"/>
  <c r="Q203" i="107"/>
  <c r="P205" i="107"/>
  <c r="P207" i="107"/>
  <c r="P208" i="107"/>
  <c r="P214" i="107"/>
  <c r="P215" i="107"/>
  <c r="P216" i="107"/>
  <c r="P219" i="107"/>
  <c r="P220" i="107"/>
  <c r="O204" i="107"/>
  <c r="O205" i="107"/>
  <c r="O206" i="107"/>
  <c r="O207" i="107"/>
  <c r="O208" i="107"/>
  <c r="O209" i="107"/>
  <c r="O210" i="107"/>
  <c r="O211" i="107"/>
  <c r="O212" i="107"/>
  <c r="O213" i="107"/>
  <c r="O214" i="107"/>
  <c r="O215" i="107"/>
  <c r="O216" i="107"/>
  <c r="O217" i="107"/>
  <c r="O218" i="107"/>
  <c r="O219" i="107"/>
  <c r="O220" i="107"/>
  <c r="O203" i="107"/>
  <c r="N205" i="107"/>
  <c r="N207" i="107"/>
  <c r="N208" i="107"/>
  <c r="N214" i="107"/>
  <c r="N215" i="107"/>
  <c r="N216" i="107"/>
  <c r="N219" i="107"/>
  <c r="N220" i="107"/>
  <c r="M204" i="107"/>
  <c r="M205" i="107"/>
  <c r="M206" i="107"/>
  <c r="M207" i="107"/>
  <c r="M208" i="107"/>
  <c r="M209" i="107"/>
  <c r="M210" i="107"/>
  <c r="M211" i="107"/>
  <c r="M212" i="107"/>
  <c r="M213" i="107"/>
  <c r="M214" i="107"/>
  <c r="M215" i="107"/>
  <c r="M216" i="107"/>
  <c r="M217" i="107"/>
  <c r="M218" i="107"/>
  <c r="M219" i="107"/>
  <c r="M220" i="107"/>
  <c r="M203" i="107"/>
  <c r="L205" i="107"/>
  <c r="L207" i="107"/>
  <c r="L208" i="107"/>
  <c r="L214" i="107"/>
  <c r="L215" i="107"/>
  <c r="L216" i="107"/>
  <c r="L219" i="107"/>
  <c r="L220" i="107"/>
  <c r="K204" i="107"/>
  <c r="K205" i="107"/>
  <c r="K206" i="107"/>
  <c r="K207" i="107"/>
  <c r="K208" i="107"/>
  <c r="K209" i="107"/>
  <c r="K210" i="107"/>
  <c r="K211" i="107"/>
  <c r="K212" i="107"/>
  <c r="K213" i="107"/>
  <c r="K214" i="107"/>
  <c r="K215" i="107"/>
  <c r="K216" i="107"/>
  <c r="K217" i="107"/>
  <c r="K218" i="107"/>
  <c r="K219" i="107"/>
  <c r="K220" i="107"/>
  <c r="K203" i="107"/>
  <c r="J205" i="107"/>
  <c r="J207" i="107"/>
  <c r="J208" i="107"/>
  <c r="J214" i="107"/>
  <c r="J215" i="107"/>
  <c r="J216" i="107"/>
  <c r="J219" i="107"/>
  <c r="J220" i="107"/>
  <c r="I204" i="107"/>
  <c r="I205" i="107"/>
  <c r="I206" i="107"/>
  <c r="I207" i="107"/>
  <c r="I208" i="107"/>
  <c r="I209" i="107"/>
  <c r="I210" i="107"/>
  <c r="I211" i="107"/>
  <c r="I212" i="107"/>
  <c r="I213" i="107"/>
  <c r="I214" i="107"/>
  <c r="I215" i="107"/>
  <c r="I216" i="107"/>
  <c r="I217" i="107"/>
  <c r="I218" i="107"/>
  <c r="I219" i="107"/>
  <c r="I220" i="107"/>
  <c r="I203" i="107"/>
  <c r="H205" i="107"/>
  <c r="H207" i="107"/>
  <c r="H208" i="107"/>
  <c r="H214" i="107"/>
  <c r="H215" i="107"/>
  <c r="H216" i="107"/>
  <c r="H219" i="107"/>
  <c r="H220" i="107"/>
  <c r="G204" i="107"/>
  <c r="G205" i="107"/>
  <c r="G206" i="107"/>
  <c r="G207" i="107"/>
  <c r="G208" i="107"/>
  <c r="G209" i="107"/>
  <c r="G210" i="107"/>
  <c r="G211" i="107"/>
  <c r="G212" i="107"/>
  <c r="G213" i="107"/>
  <c r="G214" i="107"/>
  <c r="G215" i="107"/>
  <c r="G216" i="107"/>
  <c r="G217" i="107"/>
  <c r="G218" i="107"/>
  <c r="G219" i="107"/>
  <c r="G220" i="107"/>
  <c r="G203" i="107"/>
  <c r="F205" i="107"/>
  <c r="F207" i="107"/>
  <c r="F208" i="107"/>
  <c r="F214" i="107"/>
  <c r="F215" i="107"/>
  <c r="F216" i="107"/>
  <c r="F219" i="107"/>
  <c r="F220" i="107"/>
  <c r="E204" i="107"/>
  <c r="E205" i="107"/>
  <c r="E206" i="107"/>
  <c r="E207" i="107"/>
  <c r="E208" i="107"/>
  <c r="E209" i="107"/>
  <c r="E210" i="107"/>
  <c r="E211" i="107"/>
  <c r="E212" i="107"/>
  <c r="E213" i="107"/>
  <c r="E214" i="107"/>
  <c r="E215" i="107"/>
  <c r="E216" i="107"/>
  <c r="E217" i="107"/>
  <c r="E218" i="107"/>
  <c r="E219" i="107"/>
  <c r="E220" i="107"/>
  <c r="E203" i="107"/>
  <c r="D205" i="107"/>
  <c r="D207" i="107"/>
  <c r="D208" i="107"/>
  <c r="D214" i="107"/>
  <c r="D215" i="107"/>
  <c r="D216" i="107"/>
  <c r="D219" i="107"/>
  <c r="D220" i="107"/>
  <c r="AG32" i="104"/>
  <c r="J89" i="108"/>
  <c r="I89" i="108"/>
  <c r="H89" i="108"/>
  <c r="G89" i="108"/>
  <c r="F89" i="108"/>
  <c r="E89" i="108"/>
  <c r="D89" i="108"/>
  <c r="J88" i="108"/>
  <c r="I88" i="108"/>
  <c r="H88" i="108"/>
  <c r="G88" i="108"/>
  <c r="F88" i="108"/>
  <c r="E88" i="108"/>
  <c r="D88" i="108"/>
  <c r="J85" i="108"/>
  <c r="I85" i="108"/>
  <c r="H85" i="108"/>
  <c r="G85" i="108"/>
  <c r="F85" i="108"/>
  <c r="E85" i="108"/>
  <c r="D85" i="108"/>
  <c r="J84" i="108"/>
  <c r="I84" i="108"/>
  <c r="H84" i="108"/>
  <c r="G84" i="108"/>
  <c r="F84" i="108"/>
  <c r="E84" i="108"/>
  <c r="D84" i="108"/>
  <c r="J83" i="108"/>
  <c r="I83" i="108"/>
  <c r="H83" i="108"/>
  <c r="G83" i="108"/>
  <c r="F83" i="108"/>
  <c r="E83" i="108"/>
  <c r="D83" i="108"/>
  <c r="J77" i="108"/>
  <c r="I77" i="108"/>
  <c r="H77" i="108"/>
  <c r="G77" i="108"/>
  <c r="F77" i="108"/>
  <c r="E77" i="108"/>
  <c r="D77" i="108"/>
  <c r="J76" i="108"/>
  <c r="I76" i="108"/>
  <c r="H76" i="108"/>
  <c r="G76" i="108"/>
  <c r="F76" i="108"/>
  <c r="E76" i="108"/>
  <c r="D76" i="108"/>
  <c r="J74" i="108"/>
  <c r="I74" i="108"/>
  <c r="H74" i="108"/>
  <c r="G74" i="108"/>
  <c r="F74" i="108"/>
  <c r="E74" i="108"/>
  <c r="D74" i="108"/>
  <c r="J67" i="108"/>
  <c r="I67" i="108"/>
  <c r="H67" i="108"/>
  <c r="G67" i="108"/>
  <c r="F67" i="108"/>
  <c r="E67" i="108"/>
  <c r="D67" i="108"/>
  <c r="J66" i="108"/>
  <c r="I66" i="108"/>
  <c r="H66" i="108"/>
  <c r="G66" i="108"/>
  <c r="F66" i="108"/>
  <c r="E66" i="108"/>
  <c r="D66" i="108"/>
  <c r="J63" i="108"/>
  <c r="I63" i="108"/>
  <c r="H63" i="108"/>
  <c r="G63" i="108"/>
  <c r="F63" i="108"/>
  <c r="E63" i="108"/>
  <c r="D63" i="108"/>
  <c r="J62" i="108"/>
  <c r="I62" i="108"/>
  <c r="H62" i="108"/>
  <c r="G62" i="108"/>
  <c r="F62" i="108"/>
  <c r="E62" i="108"/>
  <c r="D62" i="108"/>
  <c r="J61" i="108"/>
  <c r="I61" i="108"/>
  <c r="H61" i="108"/>
  <c r="G61" i="108"/>
  <c r="F61" i="108"/>
  <c r="E61" i="108"/>
  <c r="D61" i="108"/>
  <c r="J55" i="108"/>
  <c r="I55" i="108"/>
  <c r="H55" i="108"/>
  <c r="G55" i="108"/>
  <c r="F55" i="108"/>
  <c r="E55" i="108"/>
  <c r="D55" i="108"/>
  <c r="J54" i="108"/>
  <c r="I54" i="108"/>
  <c r="H54" i="108"/>
  <c r="G54" i="108"/>
  <c r="F54" i="108"/>
  <c r="E54" i="108"/>
  <c r="D54" i="108"/>
  <c r="J52" i="108"/>
  <c r="I52" i="108"/>
  <c r="H52" i="108"/>
  <c r="G52" i="108"/>
  <c r="F52" i="108"/>
  <c r="E52" i="108"/>
  <c r="D52" i="108"/>
  <c r="J45" i="108"/>
  <c r="I45" i="108"/>
  <c r="H45" i="108"/>
  <c r="G45" i="108"/>
  <c r="F45" i="108"/>
  <c r="E45" i="108"/>
  <c r="D45" i="108"/>
  <c r="J44" i="108"/>
  <c r="I44" i="108"/>
  <c r="H44" i="108"/>
  <c r="G44" i="108"/>
  <c r="F44" i="108"/>
  <c r="E44" i="108"/>
  <c r="D44" i="108"/>
  <c r="J41" i="108"/>
  <c r="I41" i="108"/>
  <c r="H41" i="108"/>
  <c r="G41" i="108"/>
  <c r="F41" i="108"/>
  <c r="E41" i="108"/>
  <c r="D41" i="108"/>
  <c r="J40" i="108"/>
  <c r="I40" i="108"/>
  <c r="H40" i="108"/>
  <c r="G40" i="108"/>
  <c r="F40" i="108"/>
  <c r="E40" i="108"/>
  <c r="D40" i="108"/>
  <c r="J39" i="108"/>
  <c r="I39" i="108"/>
  <c r="H39" i="108"/>
  <c r="G39" i="108"/>
  <c r="F39" i="108"/>
  <c r="E39" i="108"/>
  <c r="D39" i="108"/>
  <c r="J33" i="108"/>
  <c r="I33" i="108"/>
  <c r="H33" i="108"/>
  <c r="G33" i="108"/>
  <c r="F33" i="108"/>
  <c r="E33" i="108"/>
  <c r="D33" i="108"/>
  <c r="J32" i="108"/>
  <c r="I32" i="108"/>
  <c r="H32" i="108"/>
  <c r="G32" i="108"/>
  <c r="F32" i="108"/>
  <c r="E32" i="108"/>
  <c r="D32" i="108"/>
  <c r="J30" i="108"/>
  <c r="I30" i="108"/>
  <c r="H30" i="108"/>
  <c r="G30" i="108"/>
  <c r="F30" i="108"/>
  <c r="E30" i="108"/>
  <c r="D30" i="108"/>
  <c r="J23" i="108"/>
  <c r="J22" i="108"/>
  <c r="J19" i="108"/>
  <c r="J18" i="108"/>
  <c r="J17" i="108"/>
  <c r="J11" i="108"/>
  <c r="J10" i="108"/>
  <c r="J8" i="108"/>
  <c r="I23" i="108"/>
  <c r="I22" i="108"/>
  <c r="I19" i="108"/>
  <c r="I18" i="108"/>
  <c r="I17" i="108"/>
  <c r="I11" i="108"/>
  <c r="I10" i="108"/>
  <c r="I8" i="108"/>
  <c r="H23" i="108"/>
  <c r="H22" i="108"/>
  <c r="H19" i="108"/>
  <c r="H18" i="108"/>
  <c r="H17" i="108"/>
  <c r="H11" i="108"/>
  <c r="H10" i="108"/>
  <c r="H8" i="108"/>
  <c r="G23" i="108"/>
  <c r="G22" i="108"/>
  <c r="G19" i="108"/>
  <c r="G18" i="108"/>
  <c r="G17" i="108"/>
  <c r="G11" i="108"/>
  <c r="G10" i="108"/>
  <c r="G8" i="108"/>
  <c r="F23" i="108"/>
  <c r="F22" i="108"/>
  <c r="F19" i="108"/>
  <c r="F18" i="108"/>
  <c r="F17" i="108"/>
  <c r="F11" i="108"/>
  <c r="F10" i="108"/>
  <c r="F8" i="108"/>
  <c r="E23" i="108"/>
  <c r="E22" i="108"/>
  <c r="E19" i="108"/>
  <c r="E18" i="108"/>
  <c r="E17" i="108"/>
  <c r="E11" i="108"/>
  <c r="E10" i="108"/>
  <c r="E8" i="108"/>
  <c r="D23" i="108"/>
  <c r="D22" i="108"/>
  <c r="D19" i="108"/>
  <c r="D18" i="108"/>
  <c r="D17" i="108"/>
  <c r="D11" i="108"/>
  <c r="D10" i="108"/>
  <c r="D8" i="108"/>
  <c r="D198" i="107"/>
  <c r="P198" i="107" s="1"/>
  <c r="D197" i="107"/>
  <c r="P197" i="107" s="1"/>
  <c r="D196" i="107"/>
  <c r="P196" i="107" s="1"/>
  <c r="I87" i="108" s="1"/>
  <c r="D195" i="107"/>
  <c r="P195" i="107" s="1"/>
  <c r="I20" i="108" s="1"/>
  <c r="D194" i="107"/>
  <c r="D193" i="107"/>
  <c r="D192" i="107"/>
  <c r="D191" i="107"/>
  <c r="N191" i="107" s="1"/>
  <c r="N213" i="107" s="1"/>
  <c r="D190" i="107"/>
  <c r="N190" i="107" s="1"/>
  <c r="N212" i="107" s="1"/>
  <c r="D189" i="107"/>
  <c r="N189" i="107" s="1"/>
  <c r="H80" i="108" s="1"/>
  <c r="D188" i="107"/>
  <c r="N188" i="107" s="1"/>
  <c r="H57" i="108" s="1"/>
  <c r="D187" i="107"/>
  <c r="N187" i="107" s="1"/>
  <c r="H78" i="108" s="1"/>
  <c r="D186" i="107"/>
  <c r="D185" i="107"/>
  <c r="P185" i="107" s="1"/>
  <c r="D184" i="107"/>
  <c r="P184" i="107" s="1"/>
  <c r="I53" i="108" s="1"/>
  <c r="D183" i="107"/>
  <c r="P183" i="107" s="1"/>
  <c r="D182" i="107"/>
  <c r="P182" i="107" s="1"/>
  <c r="I7" i="108" s="1"/>
  <c r="D181" i="107"/>
  <c r="P181" i="107" s="1"/>
  <c r="P203" i="107" s="1"/>
  <c r="R198" i="96"/>
  <c r="J198" i="96"/>
  <c r="D198" i="96"/>
  <c r="P198" i="96" s="1"/>
  <c r="R197" i="96"/>
  <c r="J197" i="96"/>
  <c r="D197" i="96"/>
  <c r="P197" i="96" s="1"/>
  <c r="R196" i="96"/>
  <c r="J196" i="96"/>
  <c r="D196" i="96"/>
  <c r="P196" i="96" s="1"/>
  <c r="R195" i="96"/>
  <c r="J195" i="96"/>
  <c r="D195" i="96"/>
  <c r="P195" i="96" s="1"/>
  <c r="D194" i="96"/>
  <c r="D193" i="96"/>
  <c r="D192" i="96"/>
  <c r="R191" i="96"/>
  <c r="P191" i="96"/>
  <c r="J191" i="96"/>
  <c r="H191" i="96"/>
  <c r="D191" i="96"/>
  <c r="N191" i="96" s="1"/>
  <c r="R190" i="96"/>
  <c r="P190" i="96"/>
  <c r="J190" i="96"/>
  <c r="H190" i="96"/>
  <c r="D190" i="96"/>
  <c r="N190" i="96" s="1"/>
  <c r="R189" i="96"/>
  <c r="P189" i="96"/>
  <c r="J189" i="96"/>
  <c r="H189" i="96"/>
  <c r="D189" i="96"/>
  <c r="N189" i="96" s="1"/>
  <c r="R188" i="96"/>
  <c r="P188" i="96"/>
  <c r="J188" i="96"/>
  <c r="H188" i="96"/>
  <c r="D188" i="96"/>
  <c r="N188" i="96" s="1"/>
  <c r="R187" i="96"/>
  <c r="P187" i="96"/>
  <c r="J187" i="96"/>
  <c r="H187" i="96"/>
  <c r="D187" i="96"/>
  <c r="N187" i="96" s="1"/>
  <c r="D186" i="96"/>
  <c r="R185" i="96"/>
  <c r="J185" i="96"/>
  <c r="D185" i="96"/>
  <c r="P185" i="96" s="1"/>
  <c r="R184" i="96"/>
  <c r="J184" i="96"/>
  <c r="D184" i="96"/>
  <c r="P184" i="96" s="1"/>
  <c r="R183" i="96"/>
  <c r="J183" i="96"/>
  <c r="D183" i="96"/>
  <c r="P183" i="96" s="1"/>
  <c r="R182" i="96"/>
  <c r="J182" i="96"/>
  <c r="D182" i="96"/>
  <c r="P182" i="96" s="1"/>
  <c r="R181" i="96"/>
  <c r="J181" i="96"/>
  <c r="D181" i="96"/>
  <c r="P181" i="96" s="1"/>
  <c r="M222" i="107" l="1"/>
  <c r="I29" i="108"/>
  <c r="I73" i="108"/>
  <c r="I51" i="108"/>
  <c r="P204" i="107"/>
  <c r="D204" i="107"/>
  <c r="P217" i="107"/>
  <c r="D217" i="107"/>
  <c r="I42" i="108"/>
  <c r="I64" i="108"/>
  <c r="I86" i="108"/>
  <c r="AG33" i="104"/>
  <c r="AG34" i="104" s="1"/>
  <c r="H60" i="108"/>
  <c r="H38" i="108"/>
  <c r="H82" i="108"/>
  <c r="D213" i="107"/>
  <c r="H16" i="108"/>
  <c r="I222" i="107"/>
  <c r="N209" i="107"/>
  <c r="H12" i="108"/>
  <c r="H34" i="108"/>
  <c r="H56" i="108"/>
  <c r="D209" i="107"/>
  <c r="I65" i="108"/>
  <c r="P218" i="107"/>
  <c r="I43" i="108"/>
  <c r="I21" i="108"/>
  <c r="D218" i="107"/>
  <c r="O222" i="107"/>
  <c r="H35" i="108"/>
  <c r="D210" i="107"/>
  <c r="N210" i="107"/>
  <c r="H13" i="108"/>
  <c r="H79" i="108"/>
  <c r="I31" i="108"/>
  <c r="I75" i="108"/>
  <c r="G222" i="107"/>
  <c r="P206" i="107"/>
  <c r="I9" i="108"/>
  <c r="D206" i="107"/>
  <c r="K222" i="107"/>
  <c r="I6" i="108"/>
  <c r="I28" i="108"/>
  <c r="I50" i="108"/>
  <c r="I72" i="108"/>
  <c r="D203" i="107"/>
  <c r="H59" i="108"/>
  <c r="D212" i="107"/>
  <c r="H15" i="108"/>
  <c r="E222" i="107"/>
  <c r="H37" i="108"/>
  <c r="H81" i="108"/>
  <c r="D211" i="107"/>
  <c r="N211" i="107"/>
  <c r="H14" i="108"/>
  <c r="H58" i="108"/>
  <c r="H36" i="108"/>
  <c r="R198" i="107"/>
  <c r="J198" i="107"/>
  <c r="F198" i="107"/>
  <c r="N198" i="107"/>
  <c r="R197" i="107"/>
  <c r="F197" i="107"/>
  <c r="J197" i="107"/>
  <c r="N197" i="107"/>
  <c r="N196" i="107"/>
  <c r="R196" i="107"/>
  <c r="F196" i="107"/>
  <c r="J196" i="107"/>
  <c r="J195" i="107"/>
  <c r="R195" i="107"/>
  <c r="F195" i="107"/>
  <c r="N195" i="107"/>
  <c r="H191" i="107"/>
  <c r="P191" i="107"/>
  <c r="H190" i="107"/>
  <c r="P190" i="107"/>
  <c r="H189" i="107"/>
  <c r="P189" i="107"/>
  <c r="H188" i="107"/>
  <c r="P188" i="107"/>
  <c r="H187" i="107"/>
  <c r="P187" i="107"/>
  <c r="J185" i="107"/>
  <c r="N185" i="107"/>
  <c r="R185" i="107"/>
  <c r="F185" i="107"/>
  <c r="R184" i="107"/>
  <c r="F184" i="107"/>
  <c r="J184" i="107"/>
  <c r="N184" i="107"/>
  <c r="J183" i="107"/>
  <c r="N183" i="107"/>
  <c r="F183" i="107"/>
  <c r="J182" i="107"/>
  <c r="N182" i="107"/>
  <c r="R182" i="107"/>
  <c r="F182" i="107"/>
  <c r="F181" i="107"/>
  <c r="J181" i="107"/>
  <c r="N181" i="107"/>
  <c r="R181" i="107"/>
  <c r="L181" i="107"/>
  <c r="L182" i="107"/>
  <c r="L183" i="107"/>
  <c r="L184" i="107"/>
  <c r="L185" i="107"/>
  <c r="J187" i="107"/>
  <c r="R187" i="107"/>
  <c r="J188" i="107"/>
  <c r="R188" i="107"/>
  <c r="J189" i="107"/>
  <c r="R189" i="107"/>
  <c r="J190" i="107"/>
  <c r="R190" i="107"/>
  <c r="J191" i="107"/>
  <c r="R191" i="107"/>
  <c r="L195" i="107"/>
  <c r="L196" i="107"/>
  <c r="L197" i="107"/>
  <c r="L198" i="107"/>
  <c r="L187" i="107"/>
  <c r="L188" i="107"/>
  <c r="L189" i="107"/>
  <c r="L190" i="107"/>
  <c r="L191" i="107"/>
  <c r="H181" i="107"/>
  <c r="H182" i="107"/>
  <c r="H183" i="107"/>
  <c r="H184" i="107"/>
  <c r="H185" i="107"/>
  <c r="F187" i="107"/>
  <c r="F188" i="107"/>
  <c r="F189" i="107"/>
  <c r="F190" i="107"/>
  <c r="F191" i="107"/>
  <c r="H195" i="107"/>
  <c r="H196" i="107"/>
  <c r="H197" i="107"/>
  <c r="H198" i="107"/>
  <c r="L181" i="96"/>
  <c r="L183" i="96"/>
  <c r="L185" i="96"/>
  <c r="L195" i="96"/>
  <c r="L197" i="96"/>
  <c r="L198" i="96"/>
  <c r="N181" i="96"/>
  <c r="N182" i="96"/>
  <c r="N183" i="96"/>
  <c r="N184" i="96"/>
  <c r="F185" i="96"/>
  <c r="N185" i="96"/>
  <c r="L187" i="96"/>
  <c r="L188" i="96"/>
  <c r="L189" i="96"/>
  <c r="L190" i="96"/>
  <c r="L191" i="96"/>
  <c r="F195" i="96"/>
  <c r="N195" i="96"/>
  <c r="F196" i="96"/>
  <c r="N196" i="96"/>
  <c r="F197" i="96"/>
  <c r="N197" i="96"/>
  <c r="F198" i="96"/>
  <c r="N198" i="96"/>
  <c r="L182" i="96"/>
  <c r="L184" i="96"/>
  <c r="L196" i="96"/>
  <c r="F181" i="96"/>
  <c r="F182" i="96"/>
  <c r="F183" i="96"/>
  <c r="F184" i="96"/>
  <c r="H181" i="96"/>
  <c r="H182" i="96"/>
  <c r="H183" i="96"/>
  <c r="H184" i="96"/>
  <c r="H185" i="96"/>
  <c r="F187" i="96"/>
  <c r="F188" i="96"/>
  <c r="F189" i="96"/>
  <c r="F190" i="96"/>
  <c r="F191" i="96"/>
  <c r="H195" i="96"/>
  <c r="H196" i="96"/>
  <c r="H197" i="96"/>
  <c r="H198" i="96"/>
  <c r="BC26" i="106"/>
  <c r="BB26" i="106"/>
  <c r="BE25" i="106"/>
  <c r="BE24" i="106"/>
  <c r="BE23" i="106"/>
  <c r="BE22" i="106"/>
  <c r="BE21" i="106"/>
  <c r="BD20" i="106"/>
  <c r="BE20" i="106" s="1"/>
  <c r="BE19" i="106"/>
  <c r="BE18" i="106"/>
  <c r="BE17" i="106"/>
  <c r="BE16" i="106"/>
  <c r="BE15" i="106"/>
  <c r="BE14" i="106"/>
  <c r="BE13" i="106"/>
  <c r="BE12" i="106"/>
  <c r="BE11" i="106"/>
  <c r="BE10" i="106"/>
  <c r="BE9" i="106"/>
  <c r="BE8" i="106"/>
  <c r="BE7" i="106"/>
  <c r="G106" i="108"/>
  <c r="E42" i="110"/>
  <c r="D42" i="110"/>
  <c r="C42" i="110"/>
  <c r="E40" i="110"/>
  <c r="D40" i="110"/>
  <c r="C40" i="110"/>
  <c r="E38" i="110"/>
  <c r="D38" i="110"/>
  <c r="C38" i="110"/>
  <c r="D36" i="110"/>
  <c r="F36" i="110" s="1"/>
  <c r="E34" i="110"/>
  <c r="D34" i="110"/>
  <c r="C34" i="110"/>
  <c r="E32" i="110"/>
  <c r="D32" i="110"/>
  <c r="C32" i="110"/>
  <c r="E29" i="110"/>
  <c r="D29" i="110"/>
  <c r="C29" i="110"/>
  <c r="D24" i="110"/>
  <c r="F24" i="110" s="1"/>
  <c r="E22" i="110"/>
  <c r="D22" i="110"/>
  <c r="C22" i="110"/>
  <c r="I17" i="110"/>
  <c r="E17" i="110"/>
  <c r="D17" i="110"/>
  <c r="C17" i="110"/>
  <c r="I14" i="110"/>
  <c r="E14" i="110"/>
  <c r="D14" i="110"/>
  <c r="C14" i="110"/>
  <c r="I11" i="110"/>
  <c r="E11" i="110"/>
  <c r="D11" i="110"/>
  <c r="C11" i="110"/>
  <c r="I8" i="110"/>
  <c r="E8" i="110"/>
  <c r="D8" i="110"/>
  <c r="C8" i="110"/>
  <c r="I5" i="110"/>
  <c r="E5" i="110"/>
  <c r="D5" i="110"/>
  <c r="C5" i="110"/>
  <c r="R62" i="121" l="1"/>
  <c r="R18" i="121"/>
  <c r="R11" i="121"/>
  <c r="R10" i="121"/>
  <c r="R30" i="121"/>
  <c r="R34" i="121"/>
  <c r="R19" i="121"/>
  <c r="R41" i="121"/>
  <c r="R22" i="121"/>
  <c r="R59" i="121"/>
  <c r="R21" i="121"/>
  <c r="R51" i="121"/>
  <c r="R33" i="121"/>
  <c r="R14" i="121"/>
  <c r="R39" i="121"/>
  <c r="R67" i="121"/>
  <c r="R50" i="121"/>
  <c r="R38" i="121"/>
  <c r="R31" i="121"/>
  <c r="R13" i="121"/>
  <c r="R52" i="121"/>
  <c r="R35" i="121"/>
  <c r="R56" i="121"/>
  <c r="R73" i="121"/>
  <c r="R76" i="121"/>
  <c r="R88" i="121"/>
  <c r="R36" i="121"/>
  <c r="R57" i="121"/>
  <c r="R12" i="121"/>
  <c r="R58" i="121"/>
  <c r="R79" i="121"/>
  <c r="R66" i="121"/>
  <c r="R83" i="121"/>
  <c r="R53" i="121"/>
  <c r="R16" i="121"/>
  <c r="R32" i="121"/>
  <c r="R43" i="121"/>
  <c r="R37" i="121"/>
  <c r="R7" i="121"/>
  <c r="R77" i="121"/>
  <c r="R80" i="121"/>
  <c r="R17" i="121"/>
  <c r="R9" i="121"/>
  <c r="R40" i="121"/>
  <c r="R23" i="121"/>
  <c r="R82" i="121"/>
  <c r="R8" i="121"/>
  <c r="R44" i="121"/>
  <c r="R78" i="121"/>
  <c r="R81" i="121"/>
  <c r="R55" i="121"/>
  <c r="R84" i="121"/>
  <c r="R45" i="121"/>
  <c r="R42" i="121"/>
  <c r="R74" i="121"/>
  <c r="R15" i="121"/>
  <c r="R86" i="121"/>
  <c r="R28" i="121"/>
  <c r="R65" i="121"/>
  <c r="R85" i="121"/>
  <c r="R72" i="121"/>
  <c r="R54" i="121"/>
  <c r="R64" i="121"/>
  <c r="R87" i="121"/>
  <c r="R60" i="121"/>
  <c r="R29" i="121"/>
  <c r="R20" i="121"/>
  <c r="R61" i="121"/>
  <c r="R75" i="121"/>
  <c r="R89" i="121"/>
  <c r="R63" i="121"/>
  <c r="F32" i="110"/>
  <c r="G104" i="108"/>
  <c r="R10" i="108" s="1"/>
  <c r="G104" i="113"/>
  <c r="J29" i="108"/>
  <c r="R204" i="107"/>
  <c r="J7" i="108"/>
  <c r="J51" i="108"/>
  <c r="J73" i="108"/>
  <c r="E7" i="108"/>
  <c r="E29" i="108"/>
  <c r="E73" i="108"/>
  <c r="H204" i="107"/>
  <c r="E51" i="108"/>
  <c r="L204" i="107"/>
  <c r="G51" i="108"/>
  <c r="G73" i="108"/>
  <c r="G29" i="108"/>
  <c r="G7" i="108"/>
  <c r="H73" i="108"/>
  <c r="N204" i="107"/>
  <c r="H29" i="108"/>
  <c r="H51" i="108"/>
  <c r="H7" i="108"/>
  <c r="F29" i="108"/>
  <c r="F51" i="108"/>
  <c r="F73" i="108"/>
  <c r="J204" i="107"/>
  <c r="F7" i="108"/>
  <c r="D73" i="108"/>
  <c r="F204" i="107"/>
  <c r="D51" i="108"/>
  <c r="D7" i="108"/>
  <c r="D29" i="108"/>
  <c r="J86" i="108"/>
  <c r="R86" i="108" s="1"/>
  <c r="J42" i="108"/>
  <c r="R217" i="107"/>
  <c r="J64" i="108"/>
  <c r="J20" i="108"/>
  <c r="R20" i="108" s="1"/>
  <c r="D64" i="108"/>
  <c r="F217" i="107"/>
  <c r="D86" i="108"/>
  <c r="D20" i="108"/>
  <c r="D42" i="108"/>
  <c r="G20" i="108"/>
  <c r="G64" i="108"/>
  <c r="L217" i="107"/>
  <c r="G86" i="108"/>
  <c r="G42" i="108"/>
  <c r="F86" i="108"/>
  <c r="F42" i="108"/>
  <c r="J217" i="107"/>
  <c r="F20" i="108"/>
  <c r="F64" i="108"/>
  <c r="E20" i="108"/>
  <c r="E42" i="108"/>
  <c r="E64" i="108"/>
  <c r="E86" i="108"/>
  <c r="H217" i="107"/>
  <c r="H64" i="108"/>
  <c r="N217" i="107"/>
  <c r="H42" i="108"/>
  <c r="H86" i="108"/>
  <c r="H20" i="108"/>
  <c r="F5" i="110"/>
  <c r="F11" i="110"/>
  <c r="G92" i="108" s="1"/>
  <c r="F17" i="110"/>
  <c r="J17" i="110" s="1"/>
  <c r="R84" i="108"/>
  <c r="R23" i="108"/>
  <c r="R18" i="108"/>
  <c r="R8" i="108"/>
  <c r="R19" i="108"/>
  <c r="R33" i="108"/>
  <c r="J60" i="108"/>
  <c r="J38" i="108"/>
  <c r="R213" i="107"/>
  <c r="J16" i="108"/>
  <c r="J82" i="108"/>
  <c r="E82" i="108"/>
  <c r="E38" i="108"/>
  <c r="E60" i="108"/>
  <c r="E16" i="108"/>
  <c r="H213" i="107"/>
  <c r="F213" i="107"/>
  <c r="D16" i="108"/>
  <c r="D60" i="108"/>
  <c r="D82" i="108"/>
  <c r="D38" i="108"/>
  <c r="F60" i="108"/>
  <c r="F82" i="108"/>
  <c r="F38" i="108"/>
  <c r="J213" i="107"/>
  <c r="F16" i="108"/>
  <c r="G38" i="108"/>
  <c r="G16" i="108"/>
  <c r="L213" i="107"/>
  <c r="G82" i="108"/>
  <c r="G60" i="108"/>
  <c r="I82" i="108"/>
  <c r="P213" i="107"/>
  <c r="I60" i="108"/>
  <c r="I16" i="108"/>
  <c r="I38" i="108"/>
  <c r="F34" i="110"/>
  <c r="F42" i="110"/>
  <c r="F38" i="110"/>
  <c r="F40" i="110"/>
  <c r="F29" i="110"/>
  <c r="F8" i="110"/>
  <c r="F14" i="110"/>
  <c r="F22" i="110"/>
  <c r="J12" i="108"/>
  <c r="R209" i="107"/>
  <c r="J78" i="108"/>
  <c r="J56" i="108"/>
  <c r="R56" i="108" s="1"/>
  <c r="J34" i="108"/>
  <c r="H209" i="107"/>
  <c r="E12" i="108"/>
  <c r="E78" i="108"/>
  <c r="E56" i="108"/>
  <c r="E34" i="108"/>
  <c r="D78" i="108"/>
  <c r="D56" i="108"/>
  <c r="D34" i="108"/>
  <c r="D12" i="108"/>
  <c r="F209" i="107"/>
  <c r="F12" i="108"/>
  <c r="J209" i="107"/>
  <c r="F78" i="108"/>
  <c r="F56" i="108"/>
  <c r="F34" i="108"/>
  <c r="L209" i="107"/>
  <c r="G12" i="108"/>
  <c r="G78" i="108"/>
  <c r="G56" i="108"/>
  <c r="G34" i="108"/>
  <c r="P209" i="107"/>
  <c r="I12" i="108"/>
  <c r="I78" i="108"/>
  <c r="I56" i="108"/>
  <c r="I34" i="108"/>
  <c r="G43" i="108"/>
  <c r="L218" i="107"/>
  <c r="G65" i="108"/>
  <c r="G87" i="108"/>
  <c r="G21" i="108"/>
  <c r="E87" i="108"/>
  <c r="E21" i="108"/>
  <c r="E43" i="108"/>
  <c r="H218" i="107"/>
  <c r="E65" i="108"/>
  <c r="R218" i="107"/>
  <c r="J21" i="108"/>
  <c r="J43" i="108"/>
  <c r="J65" i="108"/>
  <c r="R65" i="108" s="1"/>
  <c r="J87" i="108"/>
  <c r="H65" i="108"/>
  <c r="H87" i="108"/>
  <c r="N218" i="107"/>
  <c r="H21" i="108"/>
  <c r="H43" i="108"/>
  <c r="J218" i="107"/>
  <c r="F21" i="108"/>
  <c r="F43" i="108"/>
  <c r="F65" i="108"/>
  <c r="F87" i="108"/>
  <c r="D65" i="108"/>
  <c r="D87" i="108"/>
  <c r="F218" i="107"/>
  <c r="D21" i="108"/>
  <c r="D43" i="108"/>
  <c r="G13" i="108"/>
  <c r="G79" i="108"/>
  <c r="G57" i="108"/>
  <c r="L210" i="107"/>
  <c r="G35" i="108"/>
  <c r="J79" i="108"/>
  <c r="J35" i="108"/>
  <c r="J57" i="108"/>
  <c r="R57" i="108" s="1"/>
  <c r="J13" i="108"/>
  <c r="R210" i="107"/>
  <c r="E13" i="108"/>
  <c r="E57" i="108"/>
  <c r="E79" i="108"/>
  <c r="E35" i="108"/>
  <c r="H210" i="107"/>
  <c r="D57" i="108"/>
  <c r="F210" i="107"/>
  <c r="D35" i="108"/>
  <c r="D13" i="108"/>
  <c r="D79" i="108"/>
  <c r="I13" i="108"/>
  <c r="P210" i="107"/>
  <c r="I79" i="108"/>
  <c r="I35" i="108"/>
  <c r="I57" i="108"/>
  <c r="F79" i="108"/>
  <c r="F35" i="108"/>
  <c r="J210" i="107"/>
  <c r="F57" i="108"/>
  <c r="F13" i="108"/>
  <c r="J31" i="108"/>
  <c r="R206" i="107"/>
  <c r="J9" i="108"/>
  <c r="J75" i="108"/>
  <c r="J53" i="108"/>
  <c r="E53" i="108"/>
  <c r="E9" i="108"/>
  <c r="E31" i="108"/>
  <c r="H206" i="107"/>
  <c r="E75" i="108"/>
  <c r="L206" i="107"/>
  <c r="G75" i="108"/>
  <c r="G53" i="108"/>
  <c r="G9" i="108"/>
  <c r="G31" i="108"/>
  <c r="H75" i="108"/>
  <c r="H53" i="108"/>
  <c r="H31" i="108"/>
  <c r="N206" i="107"/>
  <c r="H9" i="108"/>
  <c r="D75" i="108"/>
  <c r="D53" i="108"/>
  <c r="D31" i="108"/>
  <c r="F206" i="107"/>
  <c r="D9" i="108"/>
  <c r="F31" i="108"/>
  <c r="J206" i="107"/>
  <c r="F9" i="108"/>
  <c r="F75" i="108"/>
  <c r="F53" i="108"/>
  <c r="H72" i="108"/>
  <c r="H50" i="108"/>
  <c r="H28" i="108"/>
  <c r="H6" i="108"/>
  <c r="N203" i="107"/>
  <c r="F6" i="108"/>
  <c r="J203" i="107"/>
  <c r="F72" i="108"/>
  <c r="F50" i="108"/>
  <c r="F28" i="108"/>
  <c r="H203" i="107"/>
  <c r="E72" i="108"/>
  <c r="E50" i="108"/>
  <c r="E28" i="108"/>
  <c r="E6" i="108"/>
  <c r="L203" i="107"/>
  <c r="G6" i="108"/>
  <c r="G72" i="108"/>
  <c r="G50" i="108"/>
  <c r="G28" i="108"/>
  <c r="D72" i="108"/>
  <c r="D50" i="108"/>
  <c r="D28" i="108"/>
  <c r="D6" i="108"/>
  <c r="F203" i="107"/>
  <c r="J6" i="108"/>
  <c r="R203" i="107"/>
  <c r="J72" i="108"/>
  <c r="R72" i="108" s="1"/>
  <c r="J50" i="108"/>
  <c r="J28" i="108"/>
  <c r="J37" i="108"/>
  <c r="J15" i="108"/>
  <c r="R15" i="108" s="1"/>
  <c r="J59" i="108"/>
  <c r="R212" i="107"/>
  <c r="J81" i="108"/>
  <c r="E15" i="108"/>
  <c r="E59" i="108"/>
  <c r="E81" i="108"/>
  <c r="H212" i="107"/>
  <c r="E37" i="108"/>
  <c r="F37" i="108"/>
  <c r="J212" i="107"/>
  <c r="F81" i="108"/>
  <c r="F59" i="108"/>
  <c r="F15" i="108"/>
  <c r="G59" i="108"/>
  <c r="L212" i="107"/>
  <c r="G37" i="108"/>
  <c r="G81" i="108"/>
  <c r="G15" i="108"/>
  <c r="F212" i="107"/>
  <c r="D81" i="108"/>
  <c r="D15" i="108"/>
  <c r="D37" i="108"/>
  <c r="D59" i="108"/>
  <c r="I15" i="108"/>
  <c r="P212" i="107"/>
  <c r="I37" i="108"/>
  <c r="I59" i="108"/>
  <c r="I81" i="108"/>
  <c r="D80" i="108"/>
  <c r="D36" i="108"/>
  <c r="D58" i="108"/>
  <c r="D14" i="108"/>
  <c r="F211" i="107"/>
  <c r="I14" i="108"/>
  <c r="P211" i="107"/>
  <c r="I80" i="108"/>
  <c r="I36" i="108"/>
  <c r="I58" i="108"/>
  <c r="G14" i="108"/>
  <c r="G80" i="108"/>
  <c r="L211" i="107"/>
  <c r="G58" i="108"/>
  <c r="G36" i="108"/>
  <c r="F58" i="108"/>
  <c r="F80" i="108"/>
  <c r="F36" i="108"/>
  <c r="F14" i="108"/>
  <c r="J211" i="107"/>
  <c r="J58" i="108"/>
  <c r="J80" i="108"/>
  <c r="J36" i="108"/>
  <c r="J14" i="108"/>
  <c r="R14" i="108" s="1"/>
  <c r="R211" i="107"/>
  <c r="E14" i="108"/>
  <c r="H211" i="107"/>
  <c r="E80" i="108"/>
  <c r="E36" i="108"/>
  <c r="E58" i="108"/>
  <c r="BD26" i="106"/>
  <c r="BE26" i="106" s="1"/>
  <c r="R83" i="108" l="1"/>
  <c r="R85" i="108"/>
  <c r="R36" i="108"/>
  <c r="R37" i="108"/>
  <c r="R31" i="108"/>
  <c r="R43" i="108"/>
  <c r="R78" i="108"/>
  <c r="R67" i="108"/>
  <c r="AM129" i="121" s="1"/>
  <c r="R77" i="108"/>
  <c r="R32" i="108"/>
  <c r="R76" i="108"/>
  <c r="R80" i="108"/>
  <c r="R28" i="108"/>
  <c r="R6" i="108"/>
  <c r="R75" i="108"/>
  <c r="R79" i="108"/>
  <c r="R21" i="108"/>
  <c r="R82" i="108"/>
  <c r="R60" i="108"/>
  <c r="R55" i="108"/>
  <c r="R30" i="108"/>
  <c r="R74" i="108"/>
  <c r="R66" i="108"/>
  <c r="R41" i="108"/>
  <c r="R44" i="108"/>
  <c r="R63" i="108"/>
  <c r="R88" i="108"/>
  <c r="R62" i="108"/>
  <c r="R7" i="108"/>
  <c r="R81" i="108"/>
  <c r="R53" i="108"/>
  <c r="R35" i="108"/>
  <c r="R38" i="108"/>
  <c r="R61" i="108"/>
  <c r="R29" i="108"/>
  <c r="R11" i="108"/>
  <c r="AM117" i="113" s="1"/>
  <c r="R52" i="108"/>
  <c r="R64" i="108"/>
  <c r="R58" i="108"/>
  <c r="R59" i="108"/>
  <c r="R50" i="108"/>
  <c r="R9" i="108"/>
  <c r="R13" i="108"/>
  <c r="R87" i="108"/>
  <c r="R34" i="108"/>
  <c r="R12" i="108"/>
  <c r="R16" i="108"/>
  <c r="R73" i="108"/>
  <c r="R54" i="108"/>
  <c r="R17" i="108"/>
  <c r="R22" i="108"/>
  <c r="R40" i="108"/>
  <c r="AM124" i="113" s="1"/>
  <c r="R45" i="108"/>
  <c r="R39" i="108"/>
  <c r="R89" i="108"/>
  <c r="R51" i="108"/>
  <c r="AM113" i="113" s="1"/>
  <c r="AL125" i="121"/>
  <c r="N17" i="120" s="1"/>
  <c r="AL112" i="121"/>
  <c r="N4" i="120" s="1"/>
  <c r="AL113" i="121"/>
  <c r="N5" i="120" s="1"/>
  <c r="AL124" i="121"/>
  <c r="N16" i="120" s="1"/>
  <c r="AL114" i="121"/>
  <c r="N6" i="120" s="1"/>
  <c r="AL120" i="121"/>
  <c r="N12" i="120" s="1"/>
  <c r="J11" i="110"/>
  <c r="R42" i="108"/>
  <c r="AL123" i="121"/>
  <c r="N15" i="120" s="1"/>
  <c r="AL119" i="121"/>
  <c r="N11" i="120" s="1"/>
  <c r="AL117" i="121"/>
  <c r="N9" i="120" s="1"/>
  <c r="AL129" i="121"/>
  <c r="N21" i="120" s="1"/>
  <c r="AL126" i="121"/>
  <c r="N18" i="120" s="1"/>
  <c r="AM117" i="121"/>
  <c r="AL118" i="121"/>
  <c r="N10" i="120" s="1"/>
  <c r="G100" i="113"/>
  <c r="AL122" i="121"/>
  <c r="N14" i="120" s="1"/>
  <c r="AL116" i="121"/>
  <c r="N8" i="120" s="1"/>
  <c r="G94" i="113"/>
  <c r="AL121" i="121"/>
  <c r="N13" i="120" s="1"/>
  <c r="AL115" i="121"/>
  <c r="N7" i="120" s="1"/>
  <c r="G92" i="113"/>
  <c r="AL127" i="121"/>
  <c r="N19" i="120" s="1"/>
  <c r="AL128" i="121"/>
  <c r="N20" i="120" s="1"/>
  <c r="G98" i="108"/>
  <c r="G98" i="113"/>
  <c r="J5" i="110"/>
  <c r="G102" i="108"/>
  <c r="G102" i="113"/>
  <c r="G96" i="108"/>
  <c r="G96" i="113"/>
  <c r="R53" i="113"/>
  <c r="R52" i="113"/>
  <c r="R74" i="113"/>
  <c r="R85" i="113"/>
  <c r="R72" i="113"/>
  <c r="R50" i="113"/>
  <c r="R8" i="113"/>
  <c r="R17" i="113"/>
  <c r="R29" i="113"/>
  <c r="R37" i="113"/>
  <c r="R84" i="113"/>
  <c r="R54" i="113"/>
  <c r="R75" i="113"/>
  <c r="R86" i="113"/>
  <c r="R81" i="113"/>
  <c r="R56" i="113"/>
  <c r="R9" i="113"/>
  <c r="R18" i="113"/>
  <c r="R30" i="113"/>
  <c r="R38" i="113"/>
  <c r="R16" i="113"/>
  <c r="R11" i="113"/>
  <c r="R76" i="113"/>
  <c r="R87" i="113"/>
  <c r="R51" i="113"/>
  <c r="R60" i="113"/>
  <c r="R10" i="113"/>
  <c r="R19" i="113"/>
  <c r="R31" i="113"/>
  <c r="R39" i="113"/>
  <c r="R28" i="113"/>
  <c r="R44" i="113"/>
  <c r="R77" i="113"/>
  <c r="R88" i="113"/>
  <c r="R57" i="113"/>
  <c r="R66" i="113"/>
  <c r="R12" i="113"/>
  <c r="R20" i="113"/>
  <c r="R32" i="113"/>
  <c r="R40" i="113"/>
  <c r="R7" i="113"/>
  <c r="R55" i="113"/>
  <c r="R78" i="113"/>
  <c r="R89" i="113"/>
  <c r="R61" i="113"/>
  <c r="R79" i="113"/>
  <c r="R13" i="113"/>
  <c r="R21" i="113"/>
  <c r="R33" i="113"/>
  <c r="R41" i="113"/>
  <c r="R6" i="113"/>
  <c r="R80" i="113"/>
  <c r="R59" i="113"/>
  <c r="R82" i="113"/>
  <c r="R43" i="113"/>
  <c r="R64" i="113"/>
  <c r="R45" i="113"/>
  <c r="R14" i="113"/>
  <c r="R22" i="113"/>
  <c r="R34" i="113"/>
  <c r="R42" i="113"/>
  <c r="R67" i="113"/>
  <c r="R36" i="113"/>
  <c r="R63" i="113"/>
  <c r="R83" i="113"/>
  <c r="R58" i="113"/>
  <c r="R73" i="113"/>
  <c r="R65" i="113"/>
  <c r="R15" i="113"/>
  <c r="R23" i="113"/>
  <c r="R35" i="113"/>
  <c r="R62" i="113"/>
  <c r="AV128" i="108"/>
  <c r="P14" i="104" s="1"/>
  <c r="J8" i="110"/>
  <c r="G94" i="108"/>
  <c r="J14" i="110"/>
  <c r="G100" i="108"/>
  <c r="S113" i="108"/>
  <c r="S114" i="108"/>
  <c r="S115" i="108"/>
  <c r="S116" i="108"/>
  <c r="S117" i="108"/>
  <c r="S118" i="108"/>
  <c r="S119" i="108"/>
  <c r="S120" i="108"/>
  <c r="S121" i="108"/>
  <c r="S122" i="108"/>
  <c r="S123" i="108"/>
  <c r="S124" i="108"/>
  <c r="S125" i="108"/>
  <c r="S126" i="108"/>
  <c r="S127" i="108"/>
  <c r="S128" i="108"/>
  <c r="S129" i="108"/>
  <c r="S112" i="108"/>
  <c r="O51" i="108"/>
  <c r="O52" i="108"/>
  <c r="O53" i="108"/>
  <c r="O54" i="108"/>
  <c r="O55" i="108"/>
  <c r="O56" i="108"/>
  <c r="O57" i="108"/>
  <c r="O58" i="108"/>
  <c r="O59" i="108"/>
  <c r="O60" i="108"/>
  <c r="O61" i="108"/>
  <c r="O62" i="108"/>
  <c r="O63" i="108"/>
  <c r="O64" i="108"/>
  <c r="O65" i="108"/>
  <c r="O66" i="108"/>
  <c r="O67" i="108"/>
  <c r="O50" i="108"/>
  <c r="M51" i="108"/>
  <c r="M52" i="108"/>
  <c r="M53" i="108"/>
  <c r="M54" i="108"/>
  <c r="M55" i="108"/>
  <c r="M56" i="108"/>
  <c r="M57" i="108"/>
  <c r="M58" i="108"/>
  <c r="M59" i="108"/>
  <c r="M60" i="108"/>
  <c r="M61" i="108"/>
  <c r="M62" i="108"/>
  <c r="M63" i="108"/>
  <c r="M64" i="108"/>
  <c r="M65" i="108"/>
  <c r="M66" i="108"/>
  <c r="M67" i="108"/>
  <c r="M50" i="108"/>
  <c r="O23" i="108"/>
  <c r="O22" i="108"/>
  <c r="O21" i="108"/>
  <c r="O20" i="108"/>
  <c r="O19" i="108"/>
  <c r="O18" i="108"/>
  <c r="O17" i="108"/>
  <c r="O16" i="108"/>
  <c r="O15" i="108"/>
  <c r="O14" i="108"/>
  <c r="O13" i="108"/>
  <c r="O12" i="108"/>
  <c r="O11" i="108"/>
  <c r="O10" i="108"/>
  <c r="O9" i="108"/>
  <c r="O8" i="108"/>
  <c r="O7" i="108"/>
  <c r="O6" i="108"/>
  <c r="M7" i="108"/>
  <c r="M8" i="108"/>
  <c r="M9" i="108"/>
  <c r="M10" i="108"/>
  <c r="M11" i="108"/>
  <c r="M12" i="108"/>
  <c r="M13" i="108"/>
  <c r="M14" i="108"/>
  <c r="M15" i="108"/>
  <c r="M16" i="108"/>
  <c r="M17" i="108"/>
  <c r="M18" i="108"/>
  <c r="M19" i="108"/>
  <c r="M20" i="108"/>
  <c r="M21" i="108"/>
  <c r="M22" i="108"/>
  <c r="M23" i="108"/>
  <c r="M6" i="108"/>
  <c r="AC39" i="104"/>
  <c r="T39" i="104"/>
  <c r="J10" i="104"/>
  <c r="J4" i="104"/>
  <c r="AM120" i="121" l="1"/>
  <c r="AM128" i="121"/>
  <c r="AM119" i="121"/>
  <c r="AM120" i="113"/>
  <c r="AV120" i="108"/>
  <c r="AM119" i="113"/>
  <c r="AM128" i="113"/>
  <c r="AM124" i="121"/>
  <c r="AN124" i="121" s="1"/>
  <c r="AM123" i="113"/>
  <c r="AM118" i="113"/>
  <c r="AM115" i="113"/>
  <c r="AM121" i="113"/>
  <c r="AV125" i="108"/>
  <c r="P20" i="104" s="1"/>
  <c r="AV122" i="108"/>
  <c r="P11" i="104" s="1"/>
  <c r="AM116" i="121"/>
  <c r="AN116" i="121" s="1"/>
  <c r="AV127" i="108"/>
  <c r="P13" i="104" s="1"/>
  <c r="AV124" i="108"/>
  <c r="P19" i="104" s="1"/>
  <c r="AV129" i="108"/>
  <c r="AV119" i="108"/>
  <c r="P9" i="104" s="1"/>
  <c r="AM129" i="113"/>
  <c r="AM113" i="121"/>
  <c r="AN113" i="121" s="1"/>
  <c r="AM115" i="121"/>
  <c r="AN115" i="121" s="1"/>
  <c r="AM126" i="121"/>
  <c r="AN126" i="121" s="1"/>
  <c r="AM122" i="121"/>
  <c r="AN122" i="121" s="1"/>
  <c r="AM127" i="121"/>
  <c r="AN127" i="121" s="1"/>
  <c r="AV117" i="108"/>
  <c r="AM125" i="113"/>
  <c r="AM123" i="121"/>
  <c r="AN123" i="121" s="1"/>
  <c r="AM114" i="121"/>
  <c r="AM122" i="113"/>
  <c r="AM112" i="121"/>
  <c r="AN112" i="121" s="1"/>
  <c r="AM116" i="113"/>
  <c r="AV114" i="108"/>
  <c r="P6" i="104" s="1"/>
  <c r="AM114" i="113"/>
  <c r="AM121" i="121"/>
  <c r="AN121" i="121" s="1"/>
  <c r="AV121" i="108"/>
  <c r="P10" i="104" s="1"/>
  <c r="AM127" i="113"/>
  <c r="AV112" i="108"/>
  <c r="P4" i="104" s="1"/>
  <c r="AV118" i="108"/>
  <c r="P22" i="104" s="1"/>
  <c r="AV116" i="108"/>
  <c r="P8" i="104" s="1"/>
  <c r="AM126" i="113"/>
  <c r="AM118" i="121"/>
  <c r="AN118" i="121" s="1"/>
  <c r="AM125" i="121"/>
  <c r="AN125" i="121" s="1"/>
  <c r="AV123" i="108"/>
  <c r="P18" i="104" s="1"/>
  <c r="AV113" i="108"/>
  <c r="AV126" i="108"/>
  <c r="P12" i="104" s="1"/>
  <c r="AV115" i="108"/>
  <c r="P7" i="104" s="1"/>
  <c r="AM112" i="113"/>
  <c r="D13" i="90"/>
  <c r="N23" i="120"/>
  <c r="G13" i="90"/>
  <c r="AN120" i="121"/>
  <c r="AN117" i="121"/>
  <c r="AN119" i="121"/>
  <c r="AN128" i="121"/>
  <c r="AN129" i="121"/>
  <c r="L87" i="121"/>
  <c r="L12" i="121"/>
  <c r="L20" i="121"/>
  <c r="L52" i="121"/>
  <c r="L40" i="121"/>
  <c r="L60" i="121"/>
  <c r="L32" i="121"/>
  <c r="L7" i="121"/>
  <c r="L64" i="121"/>
  <c r="L82" i="121"/>
  <c r="L74" i="121"/>
  <c r="L31" i="121"/>
  <c r="L28" i="121"/>
  <c r="L79" i="121"/>
  <c r="L13" i="121"/>
  <c r="L77" i="121"/>
  <c r="L41" i="121"/>
  <c r="L37" i="121"/>
  <c r="L76" i="121"/>
  <c r="L19" i="121"/>
  <c r="L83" i="121"/>
  <c r="L80" i="121"/>
  <c r="L34" i="121"/>
  <c r="L59" i="121"/>
  <c r="L16" i="121"/>
  <c r="L45" i="121"/>
  <c r="L17" i="121"/>
  <c r="L18" i="121"/>
  <c r="L84" i="121"/>
  <c r="L38" i="121"/>
  <c r="L30" i="121"/>
  <c r="L66" i="121"/>
  <c r="L61" i="121"/>
  <c r="L42" i="121"/>
  <c r="L63" i="121"/>
  <c r="L43" i="121"/>
  <c r="L29" i="121"/>
  <c r="L57" i="121"/>
  <c r="L44" i="121"/>
  <c r="L62" i="121"/>
  <c r="L8" i="121"/>
  <c r="L51" i="121"/>
  <c r="L35" i="121"/>
  <c r="L78" i="121"/>
  <c r="L22" i="121"/>
  <c r="L50" i="121"/>
  <c r="L56" i="121"/>
  <c r="L33" i="121"/>
  <c r="L15" i="121"/>
  <c r="L10" i="121"/>
  <c r="L85" i="121"/>
  <c r="L36" i="121"/>
  <c r="L58" i="121"/>
  <c r="L14" i="121"/>
  <c r="L53" i="121"/>
  <c r="L86" i="121"/>
  <c r="L65" i="121"/>
  <c r="L89" i="121"/>
  <c r="L55" i="121"/>
  <c r="L39" i="121"/>
  <c r="L81" i="121"/>
  <c r="L21" i="121"/>
  <c r="L67" i="121"/>
  <c r="L23" i="121"/>
  <c r="L54" i="121"/>
  <c r="L73" i="121"/>
  <c r="L6" i="121"/>
  <c r="L9" i="121"/>
  <c r="L72" i="121"/>
  <c r="L88" i="121"/>
  <c r="L75" i="121"/>
  <c r="L11" i="121"/>
  <c r="AL131" i="121"/>
  <c r="L55" i="113"/>
  <c r="E117" i="113" s="1"/>
  <c r="L52" i="113"/>
  <c r="N52" i="113" s="1"/>
  <c r="L89" i="113"/>
  <c r="H129" i="113" s="1"/>
  <c r="AL115" i="113"/>
  <c r="AN115" i="113" s="1"/>
  <c r="L40" i="113"/>
  <c r="N40" i="113" s="1"/>
  <c r="L12" i="113"/>
  <c r="N12" i="113" s="1"/>
  <c r="L33" i="113"/>
  <c r="G117" i="113" s="1"/>
  <c r="L78" i="113"/>
  <c r="H118" i="113" s="1"/>
  <c r="L35" i="113"/>
  <c r="N35" i="113" s="1"/>
  <c r="L76" i="113"/>
  <c r="N76" i="113" s="1"/>
  <c r="L41" i="113"/>
  <c r="N41" i="113" s="1"/>
  <c r="L73" i="113"/>
  <c r="N73" i="113" s="1"/>
  <c r="L51" i="113"/>
  <c r="E113" i="113" s="1"/>
  <c r="L83" i="113"/>
  <c r="H123" i="113" s="1"/>
  <c r="L65" i="113"/>
  <c r="N65" i="113" s="1"/>
  <c r="L7" i="113"/>
  <c r="D113" i="113" s="1"/>
  <c r="L17" i="113"/>
  <c r="D123" i="113" s="1"/>
  <c r="L32" i="113"/>
  <c r="G116" i="113" s="1"/>
  <c r="L23" i="113"/>
  <c r="N23" i="113" s="1"/>
  <c r="L39" i="113"/>
  <c r="N39" i="113" s="1"/>
  <c r="L42" i="113"/>
  <c r="N42" i="113" s="1"/>
  <c r="L19" i="113"/>
  <c r="D125" i="113" s="1"/>
  <c r="L21" i="113"/>
  <c r="D127" i="113" s="1"/>
  <c r="L56" i="113"/>
  <c r="E118" i="113" s="1"/>
  <c r="L45" i="113"/>
  <c r="N45" i="113" s="1"/>
  <c r="L64" i="113"/>
  <c r="N64" i="113" s="1"/>
  <c r="AL112" i="113"/>
  <c r="P4" i="112" s="1"/>
  <c r="L20" i="113"/>
  <c r="N20" i="113" s="1"/>
  <c r="L57" i="113"/>
  <c r="N57" i="113" s="1"/>
  <c r="L87" i="113"/>
  <c r="N87" i="113" s="1"/>
  <c r="L67" i="113"/>
  <c r="E129" i="113" s="1"/>
  <c r="L30" i="113"/>
  <c r="G114" i="113" s="1"/>
  <c r="L88" i="113"/>
  <c r="N88" i="113" s="1"/>
  <c r="L74" i="113"/>
  <c r="H114" i="113" s="1"/>
  <c r="L13" i="113"/>
  <c r="N13" i="113" s="1"/>
  <c r="L37" i="113"/>
  <c r="N37" i="113" s="1"/>
  <c r="L50" i="113"/>
  <c r="E112" i="113" s="1"/>
  <c r="L82" i="113"/>
  <c r="N82" i="113" s="1"/>
  <c r="L14" i="113"/>
  <c r="N14" i="113" s="1"/>
  <c r="L44" i="113"/>
  <c r="N44" i="113" s="1"/>
  <c r="L43" i="113"/>
  <c r="N43" i="113" s="1"/>
  <c r="L80" i="113"/>
  <c r="N80" i="113" s="1"/>
  <c r="L15" i="113"/>
  <c r="N15" i="113" s="1"/>
  <c r="L11" i="113"/>
  <c r="D117" i="113" s="1"/>
  <c r="L29" i="113"/>
  <c r="N29" i="113" s="1"/>
  <c r="L59" i="113"/>
  <c r="E121" i="113" s="1"/>
  <c r="L10" i="113"/>
  <c r="N10" i="113" s="1"/>
  <c r="L16" i="113"/>
  <c r="D122" i="113" s="1"/>
  <c r="L6" i="113"/>
  <c r="N6" i="113" s="1"/>
  <c r="L34" i="113"/>
  <c r="G118" i="113" s="1"/>
  <c r="L63" i="113"/>
  <c r="N63" i="113" s="1"/>
  <c r="L58" i="113"/>
  <c r="N58" i="113" s="1"/>
  <c r="L22" i="113"/>
  <c r="N22" i="113" s="1"/>
  <c r="L84" i="113"/>
  <c r="N84" i="113" s="1"/>
  <c r="L62" i="113"/>
  <c r="E124" i="113" s="1"/>
  <c r="L81" i="113"/>
  <c r="N81" i="113" s="1"/>
  <c r="L61" i="113"/>
  <c r="E123" i="113" s="1"/>
  <c r="L72" i="113"/>
  <c r="H112" i="113" s="1"/>
  <c r="L66" i="113"/>
  <c r="E128" i="113" s="1"/>
  <c r="L38" i="113"/>
  <c r="G122" i="113" s="1"/>
  <c r="L36" i="113"/>
  <c r="G120" i="113" s="1"/>
  <c r="L86" i="113"/>
  <c r="H126" i="113" s="1"/>
  <c r="L79" i="113"/>
  <c r="N79" i="113" s="1"/>
  <c r="L85" i="113"/>
  <c r="N85" i="113" s="1"/>
  <c r="L8" i="113"/>
  <c r="N8" i="113" s="1"/>
  <c r="L54" i="113"/>
  <c r="E116" i="113" s="1"/>
  <c r="L53" i="113"/>
  <c r="N53" i="113" s="1"/>
  <c r="L60" i="113"/>
  <c r="N60" i="113" s="1"/>
  <c r="L75" i="113"/>
  <c r="N75" i="113" s="1"/>
  <c r="L77" i="113"/>
  <c r="N77" i="113" s="1"/>
  <c r="L28" i="113"/>
  <c r="N28" i="113" s="1"/>
  <c r="L31" i="113"/>
  <c r="G115" i="113" s="1"/>
  <c r="L18" i="113"/>
  <c r="N18" i="113" s="1"/>
  <c r="L9" i="113"/>
  <c r="N9" i="113" s="1"/>
  <c r="AL124" i="113"/>
  <c r="P19" i="112" s="1"/>
  <c r="AL125" i="113"/>
  <c r="P20" i="112" s="1"/>
  <c r="AL128" i="113"/>
  <c r="AL116" i="113"/>
  <c r="D126" i="113"/>
  <c r="AL120" i="113"/>
  <c r="AL113" i="113"/>
  <c r="AL127" i="113"/>
  <c r="AL123" i="113"/>
  <c r="AL119" i="113"/>
  <c r="AL114" i="113"/>
  <c r="AL129" i="113"/>
  <c r="AL126" i="113"/>
  <c r="AL117" i="113"/>
  <c r="AL121" i="113"/>
  <c r="AL118" i="113"/>
  <c r="AL122" i="113"/>
  <c r="P15" i="104"/>
  <c r="P23" i="104"/>
  <c r="P17" i="104"/>
  <c r="L72" i="108"/>
  <c r="D21" i="109"/>
  <c r="J23" i="104" s="1"/>
  <c r="D20" i="109"/>
  <c r="J22" i="104" s="1"/>
  <c r="D19" i="109"/>
  <c r="J19" i="104" s="1"/>
  <c r="D18" i="109"/>
  <c r="J17" i="104" s="1"/>
  <c r="D17" i="109"/>
  <c r="J20" i="104" s="1"/>
  <c r="D16" i="109"/>
  <c r="J18" i="104" s="1"/>
  <c r="D15" i="109"/>
  <c r="J12" i="104" s="1"/>
  <c r="D14" i="109"/>
  <c r="J6" i="104" s="1"/>
  <c r="D13" i="109"/>
  <c r="J8" i="104" s="1"/>
  <c r="D12" i="109"/>
  <c r="J13" i="104" s="1"/>
  <c r="D11" i="109"/>
  <c r="J15" i="104" s="1"/>
  <c r="D10" i="109"/>
  <c r="J14" i="104" s="1"/>
  <c r="D9" i="109"/>
  <c r="J7" i="104" s="1"/>
  <c r="D8" i="109"/>
  <c r="D7" i="109"/>
  <c r="J11" i="104" s="1"/>
  <c r="D6" i="109"/>
  <c r="J9" i="104" s="1"/>
  <c r="D5" i="109"/>
  <c r="J5" i="104" s="1"/>
  <c r="D4" i="109"/>
  <c r="AM131" i="113" l="1"/>
  <c r="P7" i="112"/>
  <c r="D129" i="113"/>
  <c r="AM131" i="121"/>
  <c r="AN114" i="121"/>
  <c r="AN131" i="121" s="1"/>
  <c r="AV131" i="108"/>
  <c r="G125" i="113"/>
  <c r="P5" i="104"/>
  <c r="G124" i="113"/>
  <c r="D119" i="113"/>
  <c r="N89" i="113"/>
  <c r="AN112" i="113"/>
  <c r="D121" i="113"/>
  <c r="F121" i="113" s="1"/>
  <c r="N66" i="113"/>
  <c r="E125" i="113"/>
  <c r="E114" i="113"/>
  <c r="N32" i="113"/>
  <c r="N74" i="113"/>
  <c r="E126" i="113"/>
  <c r="F126" i="113" s="1"/>
  <c r="H120" i="113"/>
  <c r="I120" i="113" s="1"/>
  <c r="H116" i="113"/>
  <c r="I116" i="113" s="1"/>
  <c r="N73" i="121"/>
  <c r="H113" i="121"/>
  <c r="G129" i="113"/>
  <c r="I129" i="113" s="1"/>
  <c r="G119" i="113"/>
  <c r="D115" i="121"/>
  <c r="N9" i="121"/>
  <c r="G123" i="121"/>
  <c r="N39" i="121"/>
  <c r="N36" i="121"/>
  <c r="G120" i="121"/>
  <c r="N78" i="121"/>
  <c r="H118" i="121"/>
  <c r="G127" i="121"/>
  <c r="N43" i="121"/>
  <c r="D124" i="121"/>
  <c r="N18" i="121"/>
  <c r="D125" i="121"/>
  <c r="N19" i="121"/>
  <c r="N31" i="121"/>
  <c r="G115" i="121"/>
  <c r="E114" i="121"/>
  <c r="N52" i="121"/>
  <c r="G127" i="113"/>
  <c r="N6" i="121"/>
  <c r="D112" i="121"/>
  <c r="E117" i="121"/>
  <c r="N55" i="121"/>
  <c r="H125" i="121"/>
  <c r="N85" i="121"/>
  <c r="G119" i="121"/>
  <c r="N35" i="121"/>
  <c r="N63" i="121"/>
  <c r="E125" i="121"/>
  <c r="D123" i="121"/>
  <c r="N17" i="121"/>
  <c r="H116" i="121"/>
  <c r="N76" i="121"/>
  <c r="N74" i="121"/>
  <c r="H114" i="121"/>
  <c r="D126" i="121"/>
  <c r="N20" i="121"/>
  <c r="H129" i="121"/>
  <c r="N89" i="121"/>
  <c r="D116" i="121"/>
  <c r="N10" i="121"/>
  <c r="E113" i="121"/>
  <c r="N51" i="121"/>
  <c r="G126" i="121"/>
  <c r="N42" i="121"/>
  <c r="G129" i="121"/>
  <c r="N45" i="121"/>
  <c r="G121" i="121"/>
  <c r="N37" i="121"/>
  <c r="H122" i="121"/>
  <c r="N82" i="121"/>
  <c r="D118" i="121"/>
  <c r="N12" i="121"/>
  <c r="N34" i="113"/>
  <c r="N54" i="121"/>
  <c r="E116" i="121"/>
  <c r="F116" i="121" s="1"/>
  <c r="E127" i="121"/>
  <c r="N65" i="121"/>
  <c r="D121" i="121"/>
  <c r="N15" i="121"/>
  <c r="D114" i="121"/>
  <c r="N8" i="121"/>
  <c r="E123" i="121"/>
  <c r="N61" i="121"/>
  <c r="N16" i="121"/>
  <c r="D122" i="121"/>
  <c r="G125" i="121"/>
  <c r="N41" i="121"/>
  <c r="E126" i="121"/>
  <c r="N64" i="121"/>
  <c r="H127" i="121"/>
  <c r="N87" i="121"/>
  <c r="N11" i="121"/>
  <c r="D117" i="121"/>
  <c r="D129" i="121"/>
  <c r="N23" i="121"/>
  <c r="N86" i="121"/>
  <c r="H126" i="121"/>
  <c r="N33" i="121"/>
  <c r="G117" i="121"/>
  <c r="E124" i="121"/>
  <c r="N62" i="121"/>
  <c r="E128" i="121"/>
  <c r="N66" i="121"/>
  <c r="E121" i="121"/>
  <c r="N59" i="121"/>
  <c r="N77" i="121"/>
  <c r="H117" i="121"/>
  <c r="D113" i="121"/>
  <c r="N7" i="121"/>
  <c r="N55" i="113"/>
  <c r="N75" i="121"/>
  <c r="H115" i="121"/>
  <c r="E129" i="121"/>
  <c r="N67" i="121"/>
  <c r="E115" i="121"/>
  <c r="N53" i="121"/>
  <c r="E118" i="121"/>
  <c r="N56" i="121"/>
  <c r="G128" i="121"/>
  <c r="N44" i="121"/>
  <c r="G114" i="121"/>
  <c r="N30" i="121"/>
  <c r="G118" i="121"/>
  <c r="I118" i="121" s="1"/>
  <c r="N34" i="121"/>
  <c r="D119" i="121"/>
  <c r="N13" i="121"/>
  <c r="G116" i="121"/>
  <c r="N32" i="121"/>
  <c r="H128" i="113"/>
  <c r="N17" i="113"/>
  <c r="H128" i="121"/>
  <c r="N88" i="121"/>
  <c r="D127" i="121"/>
  <c r="N21" i="121"/>
  <c r="N14" i="121"/>
  <c r="D120" i="121"/>
  <c r="E112" i="121"/>
  <c r="N50" i="121"/>
  <c r="N57" i="121"/>
  <c r="E119" i="121"/>
  <c r="G122" i="121"/>
  <c r="I122" i="121" s="1"/>
  <c r="N38" i="121"/>
  <c r="H120" i="121"/>
  <c r="N80" i="121"/>
  <c r="H119" i="121"/>
  <c r="N79" i="121"/>
  <c r="E122" i="121"/>
  <c r="N60" i="121"/>
  <c r="N72" i="121"/>
  <c r="H112" i="121"/>
  <c r="H121" i="121"/>
  <c r="N81" i="121"/>
  <c r="E120" i="121"/>
  <c r="N58" i="121"/>
  <c r="D128" i="121"/>
  <c r="N22" i="121"/>
  <c r="N29" i="121"/>
  <c r="G113" i="121"/>
  <c r="H124" i="121"/>
  <c r="N84" i="121"/>
  <c r="H123" i="121"/>
  <c r="N83" i="121"/>
  <c r="N28" i="121"/>
  <c r="G112" i="121"/>
  <c r="G124" i="121"/>
  <c r="N40" i="121"/>
  <c r="D118" i="113"/>
  <c r="F118" i="113" s="1"/>
  <c r="G126" i="113"/>
  <c r="I126" i="113" s="1"/>
  <c r="E119" i="113"/>
  <c r="N50" i="113"/>
  <c r="N51" i="113"/>
  <c r="E127" i="113"/>
  <c r="F127" i="113" s="1"/>
  <c r="G121" i="113"/>
  <c r="N11" i="113"/>
  <c r="N78" i="113"/>
  <c r="N72" i="113"/>
  <c r="N54" i="113"/>
  <c r="N83" i="113"/>
  <c r="D128" i="113"/>
  <c r="F128" i="113" s="1"/>
  <c r="D112" i="113"/>
  <c r="F112" i="113" s="1"/>
  <c r="G113" i="113"/>
  <c r="N36" i="113"/>
  <c r="E115" i="113"/>
  <c r="N67" i="113"/>
  <c r="H115" i="113"/>
  <c r="I115" i="113" s="1"/>
  <c r="E122" i="113"/>
  <c r="F122" i="113" s="1"/>
  <c r="N33" i="113"/>
  <c r="D120" i="113"/>
  <c r="N21" i="113"/>
  <c r="H119" i="113"/>
  <c r="N62" i="113"/>
  <c r="D116" i="113"/>
  <c r="F116" i="113" s="1"/>
  <c r="N56" i="113"/>
  <c r="N61" i="113"/>
  <c r="N7" i="113"/>
  <c r="N30" i="113"/>
  <c r="D124" i="113"/>
  <c r="F124" i="113" s="1"/>
  <c r="AN124" i="113"/>
  <c r="F117" i="113"/>
  <c r="H127" i="113"/>
  <c r="E120" i="113"/>
  <c r="G123" i="113"/>
  <c r="I123" i="113" s="1"/>
  <c r="H113" i="113"/>
  <c r="N38" i="113"/>
  <c r="H124" i="113"/>
  <c r="N86" i="113"/>
  <c r="N59" i="113"/>
  <c r="N19" i="113"/>
  <c r="D115" i="113"/>
  <c r="G128" i="113"/>
  <c r="G112" i="113"/>
  <c r="I112" i="113" s="1"/>
  <c r="F113" i="113"/>
  <c r="D114" i="113"/>
  <c r="H117" i="113"/>
  <c r="I117" i="113" s="1"/>
  <c r="N16" i="113"/>
  <c r="H122" i="113"/>
  <c r="I122" i="113" s="1"/>
  <c r="H125" i="113"/>
  <c r="I125" i="113" s="1"/>
  <c r="N31" i="113"/>
  <c r="H121" i="113"/>
  <c r="I114" i="113"/>
  <c r="F129" i="113"/>
  <c r="AN125" i="113"/>
  <c r="AN122" i="113"/>
  <c r="P11" i="112"/>
  <c r="AN126" i="113"/>
  <c r="P12" i="112"/>
  <c r="AN129" i="113"/>
  <c r="P15" i="112"/>
  <c r="I118" i="113"/>
  <c r="AN119" i="113"/>
  <c r="P9" i="112"/>
  <c r="AN118" i="113"/>
  <c r="P22" i="112"/>
  <c r="F125" i="113"/>
  <c r="AN128" i="113"/>
  <c r="P14" i="112"/>
  <c r="B13" i="90" s="1"/>
  <c r="AN117" i="113"/>
  <c r="P17" i="112"/>
  <c r="AN121" i="113"/>
  <c r="P10" i="112"/>
  <c r="AN120" i="113"/>
  <c r="P23" i="112"/>
  <c r="AN123" i="113"/>
  <c r="P18" i="112"/>
  <c r="F123" i="113"/>
  <c r="AN127" i="113"/>
  <c r="P13" i="112"/>
  <c r="AL131" i="113"/>
  <c r="AN114" i="113"/>
  <c r="P6" i="112"/>
  <c r="AN113" i="113"/>
  <c r="P5" i="112"/>
  <c r="AN116" i="113"/>
  <c r="P8" i="112"/>
  <c r="D23" i="109"/>
  <c r="D30" i="109" s="1"/>
  <c r="AQ129" i="108"/>
  <c r="AN129" i="108"/>
  <c r="AQ128" i="108"/>
  <c r="AN128" i="108"/>
  <c r="AQ127" i="108"/>
  <c r="AN127" i="108"/>
  <c r="AQ126" i="108"/>
  <c r="AN126" i="108"/>
  <c r="AQ125" i="108"/>
  <c r="AN125" i="108"/>
  <c r="AQ124" i="108"/>
  <c r="AN124" i="108"/>
  <c r="AQ123" i="108"/>
  <c r="AN123" i="108"/>
  <c r="AQ122" i="108"/>
  <c r="AN122" i="108"/>
  <c r="AQ121" i="108"/>
  <c r="AN121" i="108"/>
  <c r="AN120" i="108"/>
  <c r="AQ119" i="108"/>
  <c r="AN119" i="108"/>
  <c r="AQ118" i="108"/>
  <c r="AN118" i="108"/>
  <c r="AQ117" i="108"/>
  <c r="AN117" i="108"/>
  <c r="AQ116" i="108"/>
  <c r="AN116" i="108"/>
  <c r="AQ115" i="108"/>
  <c r="AN115" i="108"/>
  <c r="AQ114" i="108"/>
  <c r="AN114" i="108"/>
  <c r="AQ113" i="108"/>
  <c r="AN113" i="108"/>
  <c r="AQ112" i="108"/>
  <c r="AN112" i="108"/>
  <c r="O111" i="108"/>
  <c r="N111" i="108"/>
  <c r="L111" i="108"/>
  <c r="K111" i="108"/>
  <c r="H111" i="108"/>
  <c r="G111" i="108"/>
  <c r="E111" i="108"/>
  <c r="D111" i="108"/>
  <c r="O89" i="108"/>
  <c r="M89" i="108"/>
  <c r="O129" i="108" s="1"/>
  <c r="O88" i="108"/>
  <c r="M88" i="108"/>
  <c r="O128" i="108" s="1"/>
  <c r="O87" i="108"/>
  <c r="M87" i="108"/>
  <c r="O127" i="108" s="1"/>
  <c r="O86" i="108"/>
  <c r="M86" i="108"/>
  <c r="O126" i="108" s="1"/>
  <c r="O85" i="108"/>
  <c r="M85" i="108"/>
  <c r="O125" i="108" s="1"/>
  <c r="O84" i="108"/>
  <c r="M84" i="108"/>
  <c r="O124" i="108" s="1"/>
  <c r="O83" i="108"/>
  <c r="M83" i="108"/>
  <c r="O123" i="108" s="1"/>
  <c r="O82" i="108"/>
  <c r="M82" i="108"/>
  <c r="O122" i="108" s="1"/>
  <c r="O81" i="108"/>
  <c r="M81" i="108"/>
  <c r="O121" i="108" s="1"/>
  <c r="O80" i="108"/>
  <c r="M80" i="108"/>
  <c r="O120" i="108" s="1"/>
  <c r="O79" i="108"/>
  <c r="M79" i="108"/>
  <c r="O119" i="108" s="1"/>
  <c r="O78" i="108"/>
  <c r="M78" i="108"/>
  <c r="O118" i="108" s="1"/>
  <c r="O77" i="108"/>
  <c r="M77" i="108"/>
  <c r="O117" i="108" s="1"/>
  <c r="O76" i="108"/>
  <c r="M76" i="108"/>
  <c r="O116" i="108" s="1"/>
  <c r="O75" i="108"/>
  <c r="M75" i="108"/>
  <c r="O115" i="108" s="1"/>
  <c r="O74" i="108"/>
  <c r="M74" i="108"/>
  <c r="O114" i="108" s="1"/>
  <c r="O73" i="108"/>
  <c r="M73" i="108"/>
  <c r="O113" i="108" s="1"/>
  <c r="O72" i="108"/>
  <c r="M72" i="108"/>
  <c r="O112" i="108" s="1"/>
  <c r="O45" i="108"/>
  <c r="M45" i="108"/>
  <c r="N129" i="108" s="1"/>
  <c r="O44" i="108"/>
  <c r="M44" i="108"/>
  <c r="N128" i="108" s="1"/>
  <c r="O43" i="108"/>
  <c r="M43" i="108"/>
  <c r="N127" i="108" s="1"/>
  <c r="O42" i="108"/>
  <c r="M42" i="108"/>
  <c r="N126" i="108" s="1"/>
  <c r="O41" i="108"/>
  <c r="M41" i="108"/>
  <c r="N125" i="108" s="1"/>
  <c r="O40" i="108"/>
  <c r="M40" i="108"/>
  <c r="N124" i="108" s="1"/>
  <c r="O39" i="108"/>
  <c r="M39" i="108"/>
  <c r="N123" i="108" s="1"/>
  <c r="O38" i="108"/>
  <c r="M38" i="108"/>
  <c r="N122" i="108" s="1"/>
  <c r="O37" i="108"/>
  <c r="M37" i="108"/>
  <c r="N121" i="108" s="1"/>
  <c r="O36" i="108"/>
  <c r="M36" i="108"/>
  <c r="N120" i="108" s="1"/>
  <c r="O35" i="108"/>
  <c r="M35" i="108"/>
  <c r="N119" i="108" s="1"/>
  <c r="O34" i="108"/>
  <c r="M34" i="108"/>
  <c r="N118" i="108" s="1"/>
  <c r="O33" i="108"/>
  <c r="M33" i="108"/>
  <c r="N117" i="108" s="1"/>
  <c r="O32" i="108"/>
  <c r="M32" i="108"/>
  <c r="N116" i="108" s="1"/>
  <c r="O31" i="108"/>
  <c r="M31" i="108"/>
  <c r="N115" i="108" s="1"/>
  <c r="O30" i="108"/>
  <c r="M30" i="108"/>
  <c r="N114" i="108" s="1"/>
  <c r="O29" i="108"/>
  <c r="M29" i="108"/>
  <c r="N113" i="108" s="1"/>
  <c r="O28" i="108"/>
  <c r="M28" i="108"/>
  <c r="N112" i="108" s="1"/>
  <c r="K129" i="108"/>
  <c r="K128" i="108"/>
  <c r="K126" i="108"/>
  <c r="K125" i="108"/>
  <c r="K122" i="108"/>
  <c r="K120" i="108"/>
  <c r="F11" i="105"/>
  <c r="F10" i="105"/>
  <c r="R173" i="107"/>
  <c r="W172" i="107"/>
  <c r="U172" i="107"/>
  <c r="T172" i="107"/>
  <c r="S172" i="107"/>
  <c r="Q172" i="107"/>
  <c r="O172" i="107"/>
  <c r="N172" i="107"/>
  <c r="V172" i="107" s="1"/>
  <c r="M172" i="107"/>
  <c r="L172" i="107"/>
  <c r="K172" i="107"/>
  <c r="J172" i="107"/>
  <c r="R172" i="107" s="1"/>
  <c r="I172" i="107"/>
  <c r="W171" i="107"/>
  <c r="V171" i="107"/>
  <c r="S171" i="107"/>
  <c r="R171" i="107"/>
  <c r="O171" i="107"/>
  <c r="N171" i="107"/>
  <c r="M171" i="107"/>
  <c r="U171" i="107" s="1"/>
  <c r="L171" i="107"/>
  <c r="T171" i="107" s="1"/>
  <c r="K171" i="107"/>
  <c r="J171" i="107"/>
  <c r="I171" i="107"/>
  <c r="Q171" i="107" s="1"/>
  <c r="U170" i="107"/>
  <c r="T170" i="107"/>
  <c r="S170" i="107"/>
  <c r="Q170" i="107"/>
  <c r="O170" i="107"/>
  <c r="W170" i="107" s="1"/>
  <c r="N170" i="107"/>
  <c r="V170" i="107" s="1"/>
  <c r="M170" i="107"/>
  <c r="L170" i="107"/>
  <c r="K170" i="107"/>
  <c r="J170" i="107"/>
  <c r="R170" i="107" s="1"/>
  <c r="I170" i="107"/>
  <c r="R169" i="107"/>
  <c r="O168" i="107"/>
  <c r="W168" i="107" s="1"/>
  <c r="M167" i="107"/>
  <c r="U167" i="107" s="1"/>
  <c r="K166" i="107"/>
  <c r="S166" i="107" s="1"/>
  <c r="W164" i="107"/>
  <c r="U164" i="107"/>
  <c r="T164" i="107"/>
  <c r="S164" i="107"/>
  <c r="Q164" i="107"/>
  <c r="O164" i="107"/>
  <c r="N164" i="107"/>
  <c r="V164" i="107" s="1"/>
  <c r="M164" i="107"/>
  <c r="L164" i="107"/>
  <c r="K164" i="107"/>
  <c r="J164" i="107"/>
  <c r="R164" i="107" s="1"/>
  <c r="I164" i="107"/>
  <c r="K162" i="107"/>
  <c r="S162" i="107" s="1"/>
  <c r="Q156" i="107"/>
  <c r="O156" i="107"/>
  <c r="M156" i="107"/>
  <c r="K156" i="107"/>
  <c r="I156" i="107"/>
  <c r="G156" i="107"/>
  <c r="E156" i="107"/>
  <c r="Q155" i="107"/>
  <c r="O155" i="107"/>
  <c r="M155" i="107"/>
  <c r="K155" i="107"/>
  <c r="I155" i="107"/>
  <c r="G155" i="107"/>
  <c r="E155" i="107"/>
  <c r="Q154" i="107"/>
  <c r="O154" i="107"/>
  <c r="M154" i="107"/>
  <c r="K154" i="107"/>
  <c r="I154" i="107"/>
  <c r="G154" i="107"/>
  <c r="E154" i="107"/>
  <c r="Q153" i="107"/>
  <c r="O153" i="107"/>
  <c r="M153" i="107"/>
  <c r="K153" i="107"/>
  <c r="I153" i="107"/>
  <c r="G153" i="107"/>
  <c r="E153" i="107"/>
  <c r="Q152" i="107"/>
  <c r="P152" i="107"/>
  <c r="O152" i="107"/>
  <c r="M152" i="107"/>
  <c r="K152" i="107"/>
  <c r="I152" i="107"/>
  <c r="G152" i="107"/>
  <c r="E152" i="107"/>
  <c r="Q151" i="107"/>
  <c r="P151" i="107"/>
  <c r="O151" i="107"/>
  <c r="M151" i="107"/>
  <c r="K151" i="107"/>
  <c r="I151" i="107"/>
  <c r="G151" i="107"/>
  <c r="E151" i="107"/>
  <c r="Q150" i="107"/>
  <c r="P150" i="107"/>
  <c r="O150" i="107"/>
  <c r="M150" i="107"/>
  <c r="K150" i="107"/>
  <c r="I150" i="107"/>
  <c r="G150" i="107"/>
  <c r="E150" i="107"/>
  <c r="Q149" i="107"/>
  <c r="O149" i="107"/>
  <c r="M149" i="107"/>
  <c r="K149" i="107"/>
  <c r="I149" i="107"/>
  <c r="G149" i="107"/>
  <c r="E149" i="107"/>
  <c r="Q148" i="107"/>
  <c r="O148" i="107"/>
  <c r="M148" i="107"/>
  <c r="K148" i="107"/>
  <c r="I148" i="107"/>
  <c r="G148" i="107"/>
  <c r="E148" i="107"/>
  <c r="R147" i="107"/>
  <c r="Q147" i="107"/>
  <c r="O147" i="107"/>
  <c r="M147" i="107"/>
  <c r="K147" i="107"/>
  <c r="I147" i="107"/>
  <c r="G147" i="107"/>
  <c r="E147" i="107"/>
  <c r="Q146" i="107"/>
  <c r="O146" i="107"/>
  <c r="M146" i="107"/>
  <c r="K146" i="107"/>
  <c r="I146" i="107"/>
  <c r="G146" i="107"/>
  <c r="E146" i="107"/>
  <c r="Q145" i="107"/>
  <c r="O145" i="107"/>
  <c r="M145" i="107"/>
  <c r="K145" i="107"/>
  <c r="I145" i="107"/>
  <c r="G145" i="107"/>
  <c r="E145" i="107"/>
  <c r="Q144" i="107"/>
  <c r="P144" i="107"/>
  <c r="O144" i="107"/>
  <c r="M144" i="107"/>
  <c r="K144" i="107"/>
  <c r="I144" i="107"/>
  <c r="G144" i="107"/>
  <c r="E144" i="107"/>
  <c r="Q143" i="107"/>
  <c r="O143" i="107"/>
  <c r="M143" i="107"/>
  <c r="K143" i="107"/>
  <c r="I143" i="107"/>
  <c r="G143" i="107"/>
  <c r="E143" i="107"/>
  <c r="Q142" i="107"/>
  <c r="P142" i="107"/>
  <c r="O142" i="107"/>
  <c r="M142" i="107"/>
  <c r="K142" i="107"/>
  <c r="I142" i="107"/>
  <c r="G142" i="107"/>
  <c r="E142" i="107"/>
  <c r="Q141" i="107"/>
  <c r="O141" i="107"/>
  <c r="M141" i="107"/>
  <c r="K141" i="107"/>
  <c r="I141" i="107"/>
  <c r="G141" i="107"/>
  <c r="E141" i="107"/>
  <c r="Q140" i="107"/>
  <c r="O140" i="107"/>
  <c r="M140" i="107"/>
  <c r="K140" i="107"/>
  <c r="I140" i="107"/>
  <c r="G140" i="107"/>
  <c r="E140" i="107"/>
  <c r="D140" i="107"/>
  <c r="Q139" i="107"/>
  <c r="O139" i="107"/>
  <c r="M139" i="107"/>
  <c r="K139" i="107"/>
  <c r="J139" i="107"/>
  <c r="I139" i="107"/>
  <c r="G139" i="107"/>
  <c r="E139" i="107"/>
  <c r="R134" i="107"/>
  <c r="P134" i="107"/>
  <c r="P156" i="107" s="1"/>
  <c r="J134" i="107"/>
  <c r="H134" i="107"/>
  <c r="D134" i="107"/>
  <c r="R133" i="107"/>
  <c r="P133" i="107"/>
  <c r="J133" i="107"/>
  <c r="K175" i="107" s="1"/>
  <c r="S175" i="107" s="1"/>
  <c r="H133" i="107"/>
  <c r="D133" i="107"/>
  <c r="R132" i="107"/>
  <c r="P132" i="107"/>
  <c r="N174" i="107" s="1"/>
  <c r="V174" i="107" s="1"/>
  <c r="J132" i="107"/>
  <c r="H132" i="107"/>
  <c r="J174" i="107" s="1"/>
  <c r="R174" i="107" s="1"/>
  <c r="D132" i="107"/>
  <c r="N132" i="107" s="1"/>
  <c r="R131" i="107"/>
  <c r="P131" i="107"/>
  <c r="J131" i="107"/>
  <c r="H131" i="107"/>
  <c r="J173" i="107" s="1"/>
  <c r="D131" i="107"/>
  <c r="N131" i="107" s="1"/>
  <c r="D130" i="107"/>
  <c r="D152" i="107" s="1"/>
  <c r="D129" i="107"/>
  <c r="D128" i="107"/>
  <c r="R127" i="107"/>
  <c r="P127" i="107"/>
  <c r="N127" i="107"/>
  <c r="J127" i="107"/>
  <c r="H127" i="107"/>
  <c r="J169" i="107" s="1"/>
  <c r="F127" i="107"/>
  <c r="D127" i="107"/>
  <c r="L127" i="107" s="1"/>
  <c r="R126" i="107"/>
  <c r="P126" i="107"/>
  <c r="P148" i="107" s="1"/>
  <c r="N126" i="107"/>
  <c r="M168" i="107" s="1"/>
  <c r="U168" i="107" s="1"/>
  <c r="J126" i="107"/>
  <c r="K168" i="107" s="1"/>
  <c r="S168" i="107" s="1"/>
  <c r="H126" i="107"/>
  <c r="F126" i="107"/>
  <c r="I168" i="107" s="1"/>
  <c r="Q168" i="107" s="1"/>
  <c r="D126" i="107"/>
  <c r="L126" i="107" s="1"/>
  <c r="R125" i="107"/>
  <c r="O167" i="107" s="1"/>
  <c r="W167" i="107" s="1"/>
  <c r="P125" i="107"/>
  <c r="N125" i="107"/>
  <c r="J125" i="107"/>
  <c r="K167" i="107" s="1"/>
  <c r="S167" i="107" s="1"/>
  <c r="H125" i="107"/>
  <c r="F125" i="107"/>
  <c r="I167" i="107" s="1"/>
  <c r="Q167" i="107" s="1"/>
  <c r="D125" i="107"/>
  <c r="R124" i="107"/>
  <c r="O166" i="107" s="1"/>
  <c r="W166" i="107" s="1"/>
  <c r="P124" i="107"/>
  <c r="N166" i="107" s="1"/>
  <c r="V166" i="107" s="1"/>
  <c r="N124" i="107"/>
  <c r="J124" i="107"/>
  <c r="H124" i="107"/>
  <c r="J166" i="107" s="1"/>
  <c r="R166" i="107" s="1"/>
  <c r="F124" i="107"/>
  <c r="D124" i="107"/>
  <c r="L124" i="107" s="1"/>
  <c r="L166" i="107" s="1"/>
  <c r="T166" i="107" s="1"/>
  <c r="R123" i="107"/>
  <c r="P123" i="107"/>
  <c r="N123" i="107"/>
  <c r="J123" i="107"/>
  <c r="H123" i="107"/>
  <c r="J165" i="107" s="1"/>
  <c r="R165" i="107" s="1"/>
  <c r="F123" i="107"/>
  <c r="D123" i="107"/>
  <c r="L123" i="107" s="1"/>
  <c r="D122" i="107"/>
  <c r="R121" i="107"/>
  <c r="O163" i="107" s="1"/>
  <c r="W163" i="107" s="1"/>
  <c r="P121" i="107"/>
  <c r="J121" i="107"/>
  <c r="H121" i="107"/>
  <c r="D121" i="107"/>
  <c r="R120" i="107"/>
  <c r="P120" i="107"/>
  <c r="N162" i="107" s="1"/>
  <c r="V162" i="107" s="1"/>
  <c r="J120" i="107"/>
  <c r="H120" i="107"/>
  <c r="J162" i="107" s="1"/>
  <c r="R162" i="107" s="1"/>
  <c r="D120" i="107"/>
  <c r="N120" i="107" s="1"/>
  <c r="R119" i="107"/>
  <c r="P119" i="107"/>
  <c r="J119" i="107"/>
  <c r="H119" i="107"/>
  <c r="D119" i="107"/>
  <c r="N119" i="107" s="1"/>
  <c r="R118" i="107"/>
  <c r="P118" i="107"/>
  <c r="N160" i="107" s="1"/>
  <c r="V160" i="107" s="1"/>
  <c r="J118" i="107"/>
  <c r="H118" i="107"/>
  <c r="D118" i="107"/>
  <c r="N118" i="107" s="1"/>
  <c r="R117" i="107"/>
  <c r="O159" i="107" s="1"/>
  <c r="W159" i="107" s="1"/>
  <c r="P117" i="107"/>
  <c r="J117" i="107"/>
  <c r="K159" i="107" s="1"/>
  <c r="S159" i="107" s="1"/>
  <c r="H117" i="107"/>
  <c r="D117" i="107"/>
  <c r="N117" i="107" s="1"/>
  <c r="M159" i="107" s="1"/>
  <c r="U159" i="107" s="1"/>
  <c r="K111" i="107"/>
  <c r="E110" i="107"/>
  <c r="E111" i="107" s="1"/>
  <c r="K112" i="107" s="1"/>
  <c r="K109" i="107"/>
  <c r="J109" i="107"/>
  <c r="I109" i="107"/>
  <c r="H109" i="107"/>
  <c r="G109" i="107"/>
  <c r="F109" i="107"/>
  <c r="K107" i="107"/>
  <c r="K106" i="107"/>
  <c r="H106" i="107"/>
  <c r="H107" i="107" s="1"/>
  <c r="G106" i="107"/>
  <c r="G107" i="107" s="1"/>
  <c r="E106" i="107"/>
  <c r="I107" i="107" s="1"/>
  <c r="K105" i="107"/>
  <c r="J105" i="107"/>
  <c r="J106" i="107" s="1"/>
  <c r="J107" i="107" s="1"/>
  <c r="H105" i="107"/>
  <c r="G105" i="107"/>
  <c r="F105" i="107"/>
  <c r="E105" i="107"/>
  <c r="I105" i="107" s="1"/>
  <c r="K104" i="107"/>
  <c r="J104" i="107"/>
  <c r="I104" i="107"/>
  <c r="H104" i="107"/>
  <c r="G104" i="107"/>
  <c r="F104" i="107"/>
  <c r="K101" i="107"/>
  <c r="E100" i="107"/>
  <c r="K99" i="107"/>
  <c r="J99" i="107"/>
  <c r="I99" i="107"/>
  <c r="H99" i="107"/>
  <c r="G99" i="107"/>
  <c r="F99" i="107"/>
  <c r="K96" i="107"/>
  <c r="I95" i="107"/>
  <c r="I96" i="107" s="1"/>
  <c r="H95" i="107"/>
  <c r="H96" i="107" s="1"/>
  <c r="E95" i="107"/>
  <c r="K94" i="107"/>
  <c r="J94" i="107"/>
  <c r="I94" i="107"/>
  <c r="H94" i="107"/>
  <c r="G94" i="107"/>
  <c r="F94" i="107"/>
  <c r="H92" i="107"/>
  <c r="K91" i="107"/>
  <c r="E91" i="107"/>
  <c r="I92" i="107" s="1"/>
  <c r="K90" i="107"/>
  <c r="H90" i="107"/>
  <c r="H91" i="107" s="1"/>
  <c r="G90" i="107"/>
  <c r="G91" i="107" s="1"/>
  <c r="G92" i="107" s="1"/>
  <c r="F90" i="107"/>
  <c r="E90" i="107"/>
  <c r="K89" i="107"/>
  <c r="J89" i="107"/>
  <c r="J90" i="107" s="1"/>
  <c r="J91" i="107" s="1"/>
  <c r="J92" i="107" s="1"/>
  <c r="I89" i="107"/>
  <c r="H89" i="107"/>
  <c r="G89" i="107"/>
  <c r="F89" i="107"/>
  <c r="K86" i="107"/>
  <c r="I85" i="107"/>
  <c r="I86" i="107" s="1"/>
  <c r="E85" i="107"/>
  <c r="K85" i="107" s="1"/>
  <c r="K84" i="107"/>
  <c r="J84" i="107"/>
  <c r="I84" i="107"/>
  <c r="H84" i="107"/>
  <c r="G84" i="107"/>
  <c r="F84" i="107"/>
  <c r="K81" i="107"/>
  <c r="E81" i="107"/>
  <c r="H80" i="107"/>
  <c r="H81" i="107" s="1"/>
  <c r="F80" i="107"/>
  <c r="F81" i="107" s="1"/>
  <c r="E80" i="107"/>
  <c r="K79" i="107"/>
  <c r="J79" i="107"/>
  <c r="I79" i="107"/>
  <c r="I80" i="107" s="1"/>
  <c r="I81" i="107" s="1"/>
  <c r="I82" i="107" s="1"/>
  <c r="H79" i="107"/>
  <c r="G79" i="107"/>
  <c r="F79" i="107"/>
  <c r="K76" i="107"/>
  <c r="H76" i="107"/>
  <c r="H77" i="107" s="1"/>
  <c r="E76" i="107"/>
  <c r="I77" i="107" s="1"/>
  <c r="K75" i="107"/>
  <c r="J75" i="107"/>
  <c r="J76" i="107" s="1"/>
  <c r="J77" i="107" s="1"/>
  <c r="H75" i="107"/>
  <c r="G75" i="107"/>
  <c r="G76" i="107" s="1"/>
  <c r="G77" i="107" s="1"/>
  <c r="F75" i="107"/>
  <c r="E75" i="107"/>
  <c r="I75" i="107" s="1"/>
  <c r="K74" i="107"/>
  <c r="J74" i="107"/>
  <c r="I74" i="107"/>
  <c r="H74" i="107"/>
  <c r="G74" i="107"/>
  <c r="F74" i="107"/>
  <c r="K71" i="107"/>
  <c r="K72" i="107" s="1"/>
  <c r="E71" i="107"/>
  <c r="I72" i="107" s="1"/>
  <c r="H70" i="107"/>
  <c r="H71" i="107" s="1"/>
  <c r="H72" i="107" s="1"/>
  <c r="F70" i="107"/>
  <c r="E70" i="107"/>
  <c r="K69" i="107"/>
  <c r="J69" i="107"/>
  <c r="I69" i="107"/>
  <c r="I70" i="107" s="1"/>
  <c r="H69" i="107"/>
  <c r="G69" i="107"/>
  <c r="F69" i="107"/>
  <c r="K66" i="107"/>
  <c r="G65" i="107"/>
  <c r="G66" i="107" s="1"/>
  <c r="E65" i="107"/>
  <c r="K65" i="107" s="1"/>
  <c r="K64" i="107"/>
  <c r="J64" i="107"/>
  <c r="I64" i="107"/>
  <c r="H64" i="107"/>
  <c r="G64" i="107"/>
  <c r="F64" i="107"/>
  <c r="E61" i="107"/>
  <c r="I62" i="107" s="1"/>
  <c r="J60" i="107"/>
  <c r="J61" i="107" s="1"/>
  <c r="F60" i="107"/>
  <c r="E60" i="107"/>
  <c r="K59" i="107"/>
  <c r="J59" i="107"/>
  <c r="I59" i="107"/>
  <c r="H59" i="107"/>
  <c r="G59" i="107"/>
  <c r="F59" i="107"/>
  <c r="P48" i="107"/>
  <c r="N48" i="107"/>
  <c r="L48" i="107"/>
  <c r="J48" i="107"/>
  <c r="H48" i="107"/>
  <c r="F48" i="107"/>
  <c r="V47" i="107"/>
  <c r="Q47" i="107"/>
  <c r="K47" i="107"/>
  <c r="I47" i="107"/>
  <c r="E47" i="107"/>
  <c r="O47" i="107" s="1"/>
  <c r="V46" i="107"/>
  <c r="Q46" i="107"/>
  <c r="O46" i="107"/>
  <c r="K46" i="107"/>
  <c r="I46" i="107"/>
  <c r="G46" i="107"/>
  <c r="S46" i="107" s="1"/>
  <c r="E46" i="107"/>
  <c r="M46" i="107" s="1"/>
  <c r="V45" i="107"/>
  <c r="O45" i="107"/>
  <c r="M45" i="107"/>
  <c r="G45" i="107"/>
  <c r="E45" i="107"/>
  <c r="V44" i="107"/>
  <c r="K44" i="107"/>
  <c r="E44" i="107"/>
  <c r="M44" i="107" s="1"/>
  <c r="V43" i="107"/>
  <c r="Q43" i="107"/>
  <c r="N152" i="107" s="1"/>
  <c r="K43" i="107"/>
  <c r="J152" i="107" s="1"/>
  <c r="I43" i="107"/>
  <c r="H152" i="107" s="1"/>
  <c r="E43" i="107"/>
  <c r="O43" i="107" s="1"/>
  <c r="R152" i="107" s="1"/>
  <c r="V42" i="107"/>
  <c r="Q42" i="107"/>
  <c r="N151" i="107" s="1"/>
  <c r="O42" i="107"/>
  <c r="R151" i="107" s="1"/>
  <c r="K42" i="107"/>
  <c r="J151" i="107" s="1"/>
  <c r="I42" i="107"/>
  <c r="H151" i="107" s="1"/>
  <c r="G42" i="107"/>
  <c r="E42" i="107"/>
  <c r="M42" i="107" s="1"/>
  <c r="L151" i="107" s="1"/>
  <c r="V41" i="107"/>
  <c r="M41" i="107"/>
  <c r="L150" i="107" s="1"/>
  <c r="E41" i="107"/>
  <c r="O41" i="107" s="1"/>
  <c r="R150" i="107" s="1"/>
  <c r="V40" i="107"/>
  <c r="E40" i="107"/>
  <c r="V39" i="107"/>
  <c r="Q39" i="107"/>
  <c r="K39" i="107"/>
  <c r="J148" i="107" s="1"/>
  <c r="I39" i="107"/>
  <c r="E39" i="107"/>
  <c r="D148" i="107" s="1"/>
  <c r="V38" i="107"/>
  <c r="Q38" i="107"/>
  <c r="O38" i="107"/>
  <c r="K38" i="107"/>
  <c r="I38" i="107"/>
  <c r="G38" i="107"/>
  <c r="E38" i="107"/>
  <c r="M38" i="107" s="1"/>
  <c r="V37" i="107"/>
  <c r="O37" i="107"/>
  <c r="G37" i="107"/>
  <c r="E37" i="107"/>
  <c r="M37" i="107" s="1"/>
  <c r="V36" i="107"/>
  <c r="M36" i="107"/>
  <c r="K36" i="107"/>
  <c r="E36" i="107"/>
  <c r="V35" i="107"/>
  <c r="Q35" i="107"/>
  <c r="N144" i="107" s="1"/>
  <c r="K35" i="107"/>
  <c r="J144" i="107" s="1"/>
  <c r="I35" i="107"/>
  <c r="H144" i="107" s="1"/>
  <c r="E35" i="107"/>
  <c r="O35" i="107" s="1"/>
  <c r="R144" i="107" s="1"/>
  <c r="V34" i="107"/>
  <c r="Q34" i="107"/>
  <c r="O34" i="107"/>
  <c r="K34" i="107"/>
  <c r="I34" i="107"/>
  <c r="G34" i="107"/>
  <c r="E34" i="107"/>
  <c r="M34" i="107" s="1"/>
  <c r="V33" i="107"/>
  <c r="E33" i="107"/>
  <c r="V32" i="107"/>
  <c r="M32" i="107"/>
  <c r="E32" i="107"/>
  <c r="V31" i="107"/>
  <c r="Q31" i="107"/>
  <c r="K31" i="107"/>
  <c r="I31" i="107"/>
  <c r="E31" i="107"/>
  <c r="O31" i="107" s="1"/>
  <c r="V30" i="107"/>
  <c r="Q30" i="107"/>
  <c r="N139" i="107" s="1"/>
  <c r="O30" i="107"/>
  <c r="K30" i="107"/>
  <c r="I30" i="107"/>
  <c r="G30" i="107"/>
  <c r="S30" i="107" s="1"/>
  <c r="E30" i="107"/>
  <c r="M30" i="107" s="1"/>
  <c r="N24" i="107"/>
  <c r="L24" i="107"/>
  <c r="J24" i="107"/>
  <c r="H24" i="107"/>
  <c r="F24" i="107"/>
  <c r="O23" i="107"/>
  <c r="M23" i="107"/>
  <c r="G23" i="107"/>
  <c r="E23" i="107"/>
  <c r="M22" i="107"/>
  <c r="E22" i="107"/>
  <c r="K21" i="107"/>
  <c r="I21" i="107"/>
  <c r="E21" i="107"/>
  <c r="O21" i="107" s="1"/>
  <c r="O20" i="107"/>
  <c r="K20" i="107"/>
  <c r="I20" i="107"/>
  <c r="G20" i="107"/>
  <c r="E20" i="107"/>
  <c r="M20" i="107" s="1"/>
  <c r="E19" i="107"/>
  <c r="M18" i="107"/>
  <c r="K18" i="107"/>
  <c r="E18" i="107"/>
  <c r="K17" i="107"/>
  <c r="I17" i="107"/>
  <c r="E17" i="107"/>
  <c r="O17" i="107" s="1"/>
  <c r="O16" i="107"/>
  <c r="K16" i="107"/>
  <c r="I16" i="107"/>
  <c r="G16" i="107"/>
  <c r="Q16" i="107" s="1"/>
  <c r="E16" i="107"/>
  <c r="M16" i="107" s="1"/>
  <c r="O15" i="107"/>
  <c r="G15" i="107"/>
  <c r="E15" i="107"/>
  <c r="M15" i="107" s="1"/>
  <c r="E14" i="107"/>
  <c r="K13" i="107"/>
  <c r="I13" i="107"/>
  <c r="E13" i="107"/>
  <c r="O13" i="107" s="1"/>
  <c r="O12" i="107"/>
  <c r="K12" i="107"/>
  <c r="I12" i="107"/>
  <c r="G12" i="107"/>
  <c r="E12" i="107"/>
  <c r="M12" i="107" s="1"/>
  <c r="M11" i="107"/>
  <c r="E11" i="107"/>
  <c r="O11" i="107" s="1"/>
  <c r="K10" i="107"/>
  <c r="E10" i="107"/>
  <c r="M10" i="107" s="1"/>
  <c r="K9" i="107"/>
  <c r="I9" i="107"/>
  <c r="E9" i="107"/>
  <c r="O9" i="107" s="1"/>
  <c r="O8" i="107"/>
  <c r="K8" i="107"/>
  <c r="I8" i="107"/>
  <c r="G8" i="107"/>
  <c r="Q8" i="107" s="1"/>
  <c r="E8" i="107"/>
  <c r="M8" i="107" s="1"/>
  <c r="O7" i="107"/>
  <c r="M7" i="107"/>
  <c r="G7" i="107"/>
  <c r="E7" i="107"/>
  <c r="M6" i="107"/>
  <c r="E6" i="107"/>
  <c r="K5" i="107"/>
  <c r="I5" i="107"/>
  <c r="E5" i="107"/>
  <c r="AD64" i="106"/>
  <c r="AC64" i="106"/>
  <c r="AB64" i="106"/>
  <c r="AA64" i="106"/>
  <c r="Z64" i="106"/>
  <c r="AC62" i="106"/>
  <c r="AB62" i="106"/>
  <c r="AA62" i="106"/>
  <c r="F55" i="106"/>
  <c r="G54" i="106"/>
  <c r="G53" i="106"/>
  <c r="G52" i="106"/>
  <c r="AX26" i="106"/>
  <c r="AW26" i="106"/>
  <c r="F7" i="105" s="1"/>
  <c r="AV26" i="106"/>
  <c r="AU26" i="106"/>
  <c r="AQ26" i="106"/>
  <c r="AP26" i="106"/>
  <c r="AO26" i="106"/>
  <c r="AN26" i="106"/>
  <c r="AJ26" i="106"/>
  <c r="AI26" i="106"/>
  <c r="AH26" i="106"/>
  <c r="AG26" i="106"/>
  <c r="Y26" i="106"/>
  <c r="AZ25" i="106"/>
  <c r="AS25" i="106"/>
  <c r="AL25" i="106"/>
  <c r="AA25" i="106"/>
  <c r="AE25" i="106" s="1"/>
  <c r="Y25" i="106"/>
  <c r="AZ24" i="106"/>
  <c r="AS24" i="106"/>
  <c r="AL24" i="106"/>
  <c r="AE24" i="106"/>
  <c r="Z24" i="106"/>
  <c r="Y24" i="106"/>
  <c r="X24" i="106"/>
  <c r="AZ23" i="106"/>
  <c r="AS23" i="106"/>
  <c r="AL23" i="106"/>
  <c r="AA23" i="106"/>
  <c r="Z23" i="106"/>
  <c r="Y23" i="106"/>
  <c r="X23" i="106"/>
  <c r="AZ22" i="106"/>
  <c r="AS22" i="106"/>
  <c r="AL22" i="106"/>
  <c r="AC22" i="106"/>
  <c r="AE22" i="106" s="1"/>
  <c r="V22" i="106"/>
  <c r="Y22" i="106" s="1"/>
  <c r="AZ21" i="106"/>
  <c r="AS21" i="106"/>
  <c r="AL21" i="106"/>
  <c r="AC21" i="106"/>
  <c r="Z21" i="106"/>
  <c r="X21" i="106"/>
  <c r="V21" i="106"/>
  <c r="Y21" i="106" s="1"/>
  <c r="AY20" i="106"/>
  <c r="AZ20" i="106" s="1"/>
  <c r="AR20" i="106"/>
  <c r="AS20" i="106" s="1"/>
  <c r="AK20" i="106"/>
  <c r="AK26" i="106" s="1"/>
  <c r="AD20" i="106"/>
  <c r="AC20" i="106"/>
  <c r="Z20" i="106"/>
  <c r="X20" i="106"/>
  <c r="V20" i="106"/>
  <c r="Y20" i="106" s="1"/>
  <c r="AZ19" i="106"/>
  <c r="AS19" i="106"/>
  <c r="AL19" i="106"/>
  <c r="AA19" i="106"/>
  <c r="AE19" i="106" s="1"/>
  <c r="Y19" i="106"/>
  <c r="AZ18" i="106"/>
  <c r="AS18" i="106"/>
  <c r="AL18" i="106"/>
  <c r="AD18" i="106"/>
  <c r="AD26" i="106" s="1"/>
  <c r="AD66" i="106" s="1"/>
  <c r="AB18" i="106"/>
  <c r="AA18" i="106"/>
  <c r="Y18" i="106"/>
  <c r="X18" i="106"/>
  <c r="AZ17" i="106"/>
  <c r="AS17" i="106"/>
  <c r="AL17" i="106"/>
  <c r="AB17" i="106"/>
  <c r="Z17" i="106"/>
  <c r="Y17" i="106"/>
  <c r="X17" i="106"/>
  <c r="H17" i="106"/>
  <c r="AZ16" i="106"/>
  <c r="AS16" i="106"/>
  <c r="AL16" i="106"/>
  <c r="AE16" i="106"/>
  <c r="Y16" i="106"/>
  <c r="AZ15" i="106"/>
  <c r="AS15" i="106"/>
  <c r="AL15" i="106"/>
  <c r="AC15" i="106"/>
  <c r="Z15" i="106"/>
  <c r="V15" i="106"/>
  <c r="Y15" i="106" s="1"/>
  <c r="AZ14" i="106"/>
  <c r="AS14" i="106"/>
  <c r="AL14" i="106"/>
  <c r="Z14" i="106"/>
  <c r="AE14" i="106" s="1"/>
  <c r="Y14" i="106"/>
  <c r="S14" i="106"/>
  <c r="AZ13" i="106"/>
  <c r="AS13" i="106"/>
  <c r="AL13" i="106"/>
  <c r="AE13" i="106"/>
  <c r="Y13" i="106"/>
  <c r="X13" i="106"/>
  <c r="AZ12" i="106"/>
  <c r="AS12" i="106"/>
  <c r="AL12" i="106"/>
  <c r="Z12" i="106"/>
  <c r="AE12" i="106" s="1"/>
  <c r="Y12" i="106"/>
  <c r="X12" i="106"/>
  <c r="AZ11" i="106"/>
  <c r="AS11" i="106"/>
  <c r="AL11" i="106"/>
  <c r="AE11" i="106"/>
  <c r="Y11" i="106"/>
  <c r="AZ10" i="106"/>
  <c r="AS10" i="106"/>
  <c r="AL10" i="106"/>
  <c r="AC10" i="106"/>
  <c r="AB10" i="106"/>
  <c r="Y10" i="106"/>
  <c r="AZ9" i="106"/>
  <c r="AS9" i="106"/>
  <c r="AL9" i="106"/>
  <c r="AE9" i="106"/>
  <c r="Y9" i="106"/>
  <c r="AZ8" i="106"/>
  <c r="AS8" i="106"/>
  <c r="AL8" i="106"/>
  <c r="AE8" i="106"/>
  <c r="Y8" i="106"/>
  <c r="AZ7" i="106"/>
  <c r="AS7" i="106"/>
  <c r="AL7" i="106"/>
  <c r="AC7" i="106"/>
  <c r="Z7" i="106"/>
  <c r="X7" i="106"/>
  <c r="X26" i="106" s="1"/>
  <c r="V7" i="106"/>
  <c r="Y7" i="106" s="1"/>
  <c r="AA39" i="104"/>
  <c r="X39" i="104"/>
  <c r="D28" i="104"/>
  <c r="G25" i="104"/>
  <c r="B6" i="105" s="1"/>
  <c r="F25" i="104"/>
  <c r="B5" i="105" s="1"/>
  <c r="F114" i="113" l="1"/>
  <c r="F117" i="121"/>
  <c r="I128" i="113"/>
  <c r="F119" i="113"/>
  <c r="I124" i="113"/>
  <c r="I119" i="113"/>
  <c r="R119" i="113" s="1"/>
  <c r="T119" i="113" s="1"/>
  <c r="I127" i="113"/>
  <c r="R127" i="113" s="1"/>
  <c r="T127" i="113" s="1"/>
  <c r="F127" i="121"/>
  <c r="I115" i="121"/>
  <c r="I113" i="121"/>
  <c r="I125" i="121"/>
  <c r="I126" i="121"/>
  <c r="F119" i="121"/>
  <c r="F126" i="121"/>
  <c r="F129" i="121"/>
  <c r="F121" i="121"/>
  <c r="F124" i="121"/>
  <c r="F122" i="121"/>
  <c r="R122" i="121" s="1"/>
  <c r="T122" i="121" s="1"/>
  <c r="I123" i="121"/>
  <c r="I124" i="121"/>
  <c r="F118" i="121"/>
  <c r="H131" i="121"/>
  <c r="I121" i="113"/>
  <c r="R121" i="113" s="1"/>
  <c r="T121" i="113" s="1"/>
  <c r="G131" i="121"/>
  <c r="I112" i="121"/>
  <c r="F113" i="121"/>
  <c r="I127" i="121"/>
  <c r="F115" i="121"/>
  <c r="F128" i="121"/>
  <c r="I128" i="121"/>
  <c r="I117" i="121"/>
  <c r="J117" i="121" s="1"/>
  <c r="H9" i="120" s="1"/>
  <c r="I121" i="121"/>
  <c r="J121" i="121" s="1"/>
  <c r="H13" i="120" s="1"/>
  <c r="I116" i="121"/>
  <c r="J116" i="121" s="1"/>
  <c r="H8" i="120" s="1"/>
  <c r="I119" i="121"/>
  <c r="E131" i="121"/>
  <c r="I114" i="121"/>
  <c r="I129" i="121"/>
  <c r="F123" i="121"/>
  <c r="I120" i="121"/>
  <c r="F120" i="121"/>
  <c r="F114" i="121"/>
  <c r="F112" i="121"/>
  <c r="D131" i="121"/>
  <c r="F125" i="121"/>
  <c r="I113" i="113"/>
  <c r="J113" i="113" s="1"/>
  <c r="H5" i="112" s="1"/>
  <c r="F120" i="113"/>
  <c r="R120" i="113" s="1"/>
  <c r="T120" i="113" s="1"/>
  <c r="E131" i="113"/>
  <c r="D131" i="113"/>
  <c r="F115" i="113"/>
  <c r="R115" i="113" s="1"/>
  <c r="T115" i="113" s="1"/>
  <c r="R116" i="113"/>
  <c r="T116" i="113" s="1"/>
  <c r="R129" i="113"/>
  <c r="T129" i="113" s="1"/>
  <c r="R117" i="113"/>
  <c r="T117" i="113" s="1"/>
  <c r="G131" i="113"/>
  <c r="R124" i="113"/>
  <c r="T124" i="113" s="1"/>
  <c r="R118" i="113"/>
  <c r="T118" i="113" s="1"/>
  <c r="J118" i="113"/>
  <c r="H22" i="112" s="1"/>
  <c r="R122" i="113"/>
  <c r="T122" i="113" s="1"/>
  <c r="R114" i="113"/>
  <c r="T114" i="113" s="1"/>
  <c r="J114" i="113"/>
  <c r="H6" i="112" s="1"/>
  <c r="H131" i="113"/>
  <c r="J122" i="113"/>
  <c r="H11" i="112" s="1"/>
  <c r="J129" i="113"/>
  <c r="H15" i="112" s="1"/>
  <c r="J117" i="113"/>
  <c r="H17" i="112" s="1"/>
  <c r="J116" i="113"/>
  <c r="H8" i="112" s="1"/>
  <c r="AN131" i="113"/>
  <c r="J128" i="113"/>
  <c r="H14" i="112" s="1"/>
  <c r="R128" i="113"/>
  <c r="T128" i="113" s="1"/>
  <c r="R126" i="113"/>
  <c r="T126" i="113" s="1"/>
  <c r="J126" i="113"/>
  <c r="H12" i="112" s="1"/>
  <c r="J124" i="113"/>
  <c r="H19" i="112" s="1"/>
  <c r="R112" i="113"/>
  <c r="J112" i="113"/>
  <c r="R123" i="113"/>
  <c r="T123" i="113" s="1"/>
  <c r="J123" i="113"/>
  <c r="H18" i="112" s="1"/>
  <c r="J125" i="113"/>
  <c r="H20" i="112" s="1"/>
  <c r="R125" i="113"/>
  <c r="T125" i="113" s="1"/>
  <c r="AY26" i="106"/>
  <c r="F9" i="105" s="1"/>
  <c r="AE18" i="106"/>
  <c r="G55" i="106"/>
  <c r="AA26" i="106"/>
  <c r="AA59" i="106" s="1"/>
  <c r="AI61" i="106"/>
  <c r="AZ26" i="106"/>
  <c r="F8" i="105"/>
  <c r="AL20" i="106"/>
  <c r="AC26" i="106"/>
  <c r="AC59" i="106" s="1"/>
  <c r="AE20" i="106"/>
  <c r="AL26" i="106"/>
  <c r="AB26" i="106"/>
  <c r="AB59" i="106" s="1"/>
  <c r="AE17" i="106"/>
  <c r="AE64" i="106"/>
  <c r="AE15" i="106"/>
  <c r="AE21" i="106"/>
  <c r="AR26" i="106"/>
  <c r="AS26" i="106" s="1"/>
  <c r="P113" i="108"/>
  <c r="P117" i="108"/>
  <c r="P129" i="108"/>
  <c r="V117" i="108"/>
  <c r="V125" i="108"/>
  <c r="P115" i="108"/>
  <c r="W118" i="108"/>
  <c r="V115" i="108"/>
  <c r="W113" i="108"/>
  <c r="P114" i="108"/>
  <c r="W117" i="108"/>
  <c r="P118" i="108"/>
  <c r="W121" i="108"/>
  <c r="P122" i="108"/>
  <c r="W125" i="108"/>
  <c r="P126" i="108"/>
  <c r="W129" i="108"/>
  <c r="L112" i="108"/>
  <c r="L113" i="108"/>
  <c r="L6" i="108"/>
  <c r="D112" i="108" s="1"/>
  <c r="L76" i="108"/>
  <c r="N76" i="108" s="1"/>
  <c r="L80" i="108"/>
  <c r="H120" i="108" s="1"/>
  <c r="L84" i="108"/>
  <c r="N84" i="108" s="1"/>
  <c r="N72" i="108"/>
  <c r="L88" i="108"/>
  <c r="H128" i="108" s="1"/>
  <c r="W115" i="108"/>
  <c r="P116" i="108"/>
  <c r="W119" i="108"/>
  <c r="P120" i="108"/>
  <c r="W123" i="108"/>
  <c r="P124" i="108"/>
  <c r="W127" i="108"/>
  <c r="P128" i="108"/>
  <c r="L120" i="108"/>
  <c r="M120" i="108" s="1"/>
  <c r="L121" i="108"/>
  <c r="L124" i="108"/>
  <c r="L125" i="108"/>
  <c r="M125" i="108" s="1"/>
  <c r="L128" i="108"/>
  <c r="M128" i="108" s="1"/>
  <c r="L129" i="108"/>
  <c r="M129" i="108" s="1"/>
  <c r="L116" i="108"/>
  <c r="L117" i="108"/>
  <c r="W116" i="108"/>
  <c r="P121" i="108"/>
  <c r="L22" i="108"/>
  <c r="D128" i="108" s="1"/>
  <c r="L19" i="108"/>
  <c r="D125" i="108" s="1"/>
  <c r="L17" i="108"/>
  <c r="D123" i="108" s="1"/>
  <c r="L10" i="108"/>
  <c r="D116" i="108" s="1"/>
  <c r="L9" i="108"/>
  <c r="D115" i="108" s="1"/>
  <c r="L20" i="108"/>
  <c r="D126" i="108" s="1"/>
  <c r="L15" i="108"/>
  <c r="D121" i="108" s="1"/>
  <c r="L13" i="108"/>
  <c r="D119" i="108" s="1"/>
  <c r="L8" i="108"/>
  <c r="D114" i="108" s="1"/>
  <c r="K114" i="108"/>
  <c r="L29" i="108"/>
  <c r="G113" i="108" s="1"/>
  <c r="L33" i="108"/>
  <c r="N33" i="108" s="1"/>
  <c r="L37" i="108"/>
  <c r="G121" i="108" s="1"/>
  <c r="L41" i="108"/>
  <c r="G125" i="108" s="1"/>
  <c r="L45" i="108"/>
  <c r="G129" i="108" s="1"/>
  <c r="K124" i="108"/>
  <c r="K116" i="108"/>
  <c r="L14" i="108"/>
  <c r="D120" i="108" s="1"/>
  <c r="V123" i="108"/>
  <c r="K115" i="108"/>
  <c r="L23" i="108"/>
  <c r="D129" i="108" s="1"/>
  <c r="L28" i="108"/>
  <c r="G112" i="108" s="1"/>
  <c r="L74" i="108"/>
  <c r="H114" i="108" s="1"/>
  <c r="W114" i="108"/>
  <c r="L78" i="108"/>
  <c r="N78" i="108" s="1"/>
  <c r="L82" i="108"/>
  <c r="H122" i="108" s="1"/>
  <c r="L86" i="108"/>
  <c r="H126" i="108" s="1"/>
  <c r="W126" i="108"/>
  <c r="K112" i="108"/>
  <c r="L31" i="108"/>
  <c r="G115" i="108" s="1"/>
  <c r="L35" i="108"/>
  <c r="G119" i="108" s="1"/>
  <c r="L39" i="108"/>
  <c r="G123" i="108" s="1"/>
  <c r="L43" i="108"/>
  <c r="N43" i="108" s="1"/>
  <c r="L51" i="108"/>
  <c r="E113" i="108" s="1"/>
  <c r="L115" i="108"/>
  <c r="L55" i="108"/>
  <c r="E117" i="108" s="1"/>
  <c r="L119" i="108"/>
  <c r="L59" i="108"/>
  <c r="E121" i="108" s="1"/>
  <c r="L123" i="108"/>
  <c r="L63" i="108"/>
  <c r="E125" i="108" s="1"/>
  <c r="L127" i="108"/>
  <c r="O131" i="108"/>
  <c r="H40" i="104"/>
  <c r="H39" i="104"/>
  <c r="K113" i="108"/>
  <c r="V113" i="108"/>
  <c r="K117" i="108"/>
  <c r="K127" i="108"/>
  <c r="N131" i="108"/>
  <c r="P112" i="108"/>
  <c r="L7" i="108"/>
  <c r="L11" i="108"/>
  <c r="L21" i="108"/>
  <c r="L61" i="108"/>
  <c r="E123" i="108" s="1"/>
  <c r="L12" i="108"/>
  <c r="K119" i="108"/>
  <c r="L18" i="108"/>
  <c r="W112" i="108"/>
  <c r="L30" i="108"/>
  <c r="L32" i="108"/>
  <c r="L34" i="108"/>
  <c r="L36" i="108"/>
  <c r="L38" i="108"/>
  <c r="L40" i="108"/>
  <c r="L42" i="108"/>
  <c r="L44" i="108"/>
  <c r="V120" i="108"/>
  <c r="V124" i="108"/>
  <c r="L67" i="108"/>
  <c r="L73" i="108"/>
  <c r="L75" i="108"/>
  <c r="L77" i="108"/>
  <c r="L79" i="108"/>
  <c r="L81" i="108"/>
  <c r="L83" i="108"/>
  <c r="L85" i="108"/>
  <c r="L87" i="108"/>
  <c r="L89" i="108"/>
  <c r="V114" i="108"/>
  <c r="L53" i="108"/>
  <c r="E115" i="108" s="1"/>
  <c r="L57" i="108"/>
  <c r="E119" i="108" s="1"/>
  <c r="L65" i="108"/>
  <c r="E127" i="108" s="1"/>
  <c r="V121" i="108"/>
  <c r="L52" i="108"/>
  <c r="E114" i="108" s="1"/>
  <c r="L114" i="108"/>
  <c r="L56" i="108"/>
  <c r="E118" i="108" s="1"/>
  <c r="L118" i="108"/>
  <c r="L60" i="108"/>
  <c r="E122" i="108" s="1"/>
  <c r="L122" i="108"/>
  <c r="M122" i="108" s="1"/>
  <c r="L64" i="108"/>
  <c r="E126" i="108" s="1"/>
  <c r="L126" i="108"/>
  <c r="M126" i="108" s="1"/>
  <c r="K118" i="108"/>
  <c r="K121" i="108"/>
  <c r="L16" i="108"/>
  <c r="N16" i="108" s="1"/>
  <c r="K123" i="108"/>
  <c r="V129" i="108"/>
  <c r="P119" i="108"/>
  <c r="W120" i="108"/>
  <c r="W122" i="108"/>
  <c r="P123" i="108"/>
  <c r="W124" i="108"/>
  <c r="P125" i="108"/>
  <c r="P127" i="108"/>
  <c r="W128" i="108"/>
  <c r="L50" i="108"/>
  <c r="E112" i="108" s="1"/>
  <c r="L54" i="108"/>
  <c r="E116" i="108" s="1"/>
  <c r="L58" i="108"/>
  <c r="E120" i="108" s="1"/>
  <c r="L62" i="108"/>
  <c r="E124" i="108" s="1"/>
  <c r="L66" i="108"/>
  <c r="E128" i="108" s="1"/>
  <c r="G67" i="107"/>
  <c r="Q20" i="107"/>
  <c r="U46" i="107"/>
  <c r="W46" i="107" s="1"/>
  <c r="K62" i="107"/>
  <c r="I14" i="107"/>
  <c r="O14" i="107"/>
  <c r="G14" i="107"/>
  <c r="M14" i="107"/>
  <c r="K14" i="107"/>
  <c r="Q40" i="107"/>
  <c r="I40" i="107"/>
  <c r="O40" i="107"/>
  <c r="G40" i="107"/>
  <c r="S40" i="107" s="1"/>
  <c r="D149" i="107"/>
  <c r="M40" i="107"/>
  <c r="K40" i="107"/>
  <c r="J149" i="107" s="1"/>
  <c r="Q12" i="107"/>
  <c r="K19" i="107"/>
  <c r="I19" i="107"/>
  <c r="O19" i="107"/>
  <c r="M19" i="107"/>
  <c r="G19" i="107"/>
  <c r="K33" i="107"/>
  <c r="J142" i="107" s="1"/>
  <c r="Q33" i="107"/>
  <c r="N142" i="107" s="1"/>
  <c r="I33" i="107"/>
  <c r="O33" i="107"/>
  <c r="M33" i="107"/>
  <c r="D142" i="107"/>
  <c r="G33" i="107"/>
  <c r="J62" i="107"/>
  <c r="K7" i="107"/>
  <c r="I7" i="107"/>
  <c r="Q7" i="107" s="1"/>
  <c r="I18" i="107"/>
  <c r="O18" i="107"/>
  <c r="G18" i="107"/>
  <c r="Q18" i="107" s="1"/>
  <c r="K23" i="107"/>
  <c r="K24" i="107" s="1"/>
  <c r="I23" i="107"/>
  <c r="Q36" i="107"/>
  <c r="N145" i="107" s="1"/>
  <c r="I36" i="107"/>
  <c r="H145" i="107" s="1"/>
  <c r="O36" i="107"/>
  <c r="G36" i="107"/>
  <c r="F151" i="107"/>
  <c r="S42" i="107"/>
  <c r="K45" i="107"/>
  <c r="D154" i="107"/>
  <c r="Q45" i="107"/>
  <c r="I45" i="107"/>
  <c r="H154" i="107" s="1"/>
  <c r="K60" i="107"/>
  <c r="G60" i="107"/>
  <c r="G61" i="107" s="1"/>
  <c r="G62" i="107" s="1"/>
  <c r="I60" i="107"/>
  <c r="F61" i="107" s="1"/>
  <c r="F62" i="107" s="1"/>
  <c r="M62" i="107" s="1"/>
  <c r="H60" i="107"/>
  <c r="H61" i="107" s="1"/>
  <c r="H62" i="107" s="1"/>
  <c r="F71" i="107"/>
  <c r="F72" i="107" s="1"/>
  <c r="E101" i="107"/>
  <c r="H100" i="107"/>
  <c r="H101" i="107" s="1"/>
  <c r="H102" i="107" s="1"/>
  <c r="K100" i="107"/>
  <c r="G100" i="107"/>
  <c r="G101" i="107" s="1"/>
  <c r="G102" i="107" s="1"/>
  <c r="J100" i="107"/>
  <c r="J101" i="107" s="1"/>
  <c r="J102" i="107" s="1"/>
  <c r="I100" i="107"/>
  <c r="I101" i="107" s="1"/>
  <c r="I102" i="107" s="1"/>
  <c r="F100" i="107"/>
  <c r="F101" i="107" s="1"/>
  <c r="F102" i="107" s="1"/>
  <c r="M102" i="107" s="1"/>
  <c r="N159" i="107"/>
  <c r="V159" i="107" s="1"/>
  <c r="P139" i="107"/>
  <c r="J140" i="107"/>
  <c r="K160" i="107"/>
  <c r="S160" i="107" s="1"/>
  <c r="J161" i="107"/>
  <c r="R161" i="107" s="1"/>
  <c r="H141" i="107"/>
  <c r="M162" i="107"/>
  <c r="U162" i="107" s="1"/>
  <c r="O162" i="107"/>
  <c r="W162" i="107" s="1"/>
  <c r="R142" i="107"/>
  <c r="P143" i="107"/>
  <c r="N163" i="107"/>
  <c r="V163" i="107" s="1"/>
  <c r="F145" i="107"/>
  <c r="N165" i="107"/>
  <c r="V165" i="107" s="1"/>
  <c r="P145" i="107"/>
  <c r="L168" i="107"/>
  <c r="T168" i="107" s="1"/>
  <c r="I169" i="107"/>
  <c r="Q169" i="107" s="1"/>
  <c r="N169" i="107"/>
  <c r="V169" i="107" s="1"/>
  <c r="P149" i="107"/>
  <c r="N173" i="107"/>
  <c r="V173" i="107" s="1"/>
  <c r="P153" i="107"/>
  <c r="J154" i="107"/>
  <c r="K174" i="107"/>
  <c r="S174" i="107" s="1"/>
  <c r="H155" i="107"/>
  <c r="J175" i="107"/>
  <c r="R175" i="107" s="1"/>
  <c r="O176" i="107"/>
  <c r="W176" i="107" s="1"/>
  <c r="R156" i="107"/>
  <c r="N148" i="107"/>
  <c r="I165" i="107"/>
  <c r="Q165" i="107" s="1"/>
  <c r="E24" i="107"/>
  <c r="L25" i="107" s="1"/>
  <c r="I6" i="107"/>
  <c r="O6" i="107"/>
  <c r="G6" i="107"/>
  <c r="Q6" i="107" s="1"/>
  <c r="K11" i="107"/>
  <c r="I11" i="107"/>
  <c r="I22" i="107"/>
  <c r="O22" i="107"/>
  <c r="G22" i="107"/>
  <c r="D141" i="107"/>
  <c r="Q32" i="107"/>
  <c r="I32" i="107"/>
  <c r="O32" i="107"/>
  <c r="G32" i="107"/>
  <c r="S38" i="107"/>
  <c r="F147" i="107"/>
  <c r="K41" i="107"/>
  <c r="J150" i="107" s="1"/>
  <c r="D150" i="107"/>
  <c r="Q41" i="107"/>
  <c r="N150" i="107" s="1"/>
  <c r="I41" i="107"/>
  <c r="H150" i="107" s="1"/>
  <c r="E48" i="107"/>
  <c r="P49" i="107" s="1"/>
  <c r="P52" i="107" s="1"/>
  <c r="F82" i="107"/>
  <c r="K82" i="107"/>
  <c r="H97" i="107"/>
  <c r="K6" i="107"/>
  <c r="I10" i="107"/>
  <c r="O10" i="107"/>
  <c r="G10" i="107"/>
  <c r="G11" i="107"/>
  <c r="K15" i="107"/>
  <c r="I15" i="107"/>
  <c r="Q15" i="107" s="1"/>
  <c r="K22" i="107"/>
  <c r="H25" i="107"/>
  <c r="N25" i="107"/>
  <c r="K32" i="107"/>
  <c r="J141" i="107" s="1"/>
  <c r="S34" i="107"/>
  <c r="K37" i="107"/>
  <c r="Q37" i="107"/>
  <c r="N146" i="107" s="1"/>
  <c r="I37" i="107"/>
  <c r="H146" i="107" s="1"/>
  <c r="D146" i="107"/>
  <c r="G41" i="107"/>
  <c r="Q44" i="107"/>
  <c r="N153" i="107" s="1"/>
  <c r="I44" i="107"/>
  <c r="H153" i="107" s="1"/>
  <c r="O44" i="107"/>
  <c r="G44" i="107"/>
  <c r="J65" i="107"/>
  <c r="J66" i="107" s="1"/>
  <c r="J67" i="107" s="1"/>
  <c r="F65" i="107"/>
  <c r="F66" i="107" s="1"/>
  <c r="I65" i="107"/>
  <c r="I66" i="107" s="1"/>
  <c r="E66" i="107"/>
  <c r="K67" i="107" s="1"/>
  <c r="H65" i="107"/>
  <c r="H66" i="107" s="1"/>
  <c r="H67" i="107" s="1"/>
  <c r="H82" i="107"/>
  <c r="I97" i="107"/>
  <c r="H140" i="107"/>
  <c r="D145" i="107"/>
  <c r="J85" i="107"/>
  <c r="J86" i="107" s="1"/>
  <c r="K110" i="107"/>
  <c r="G110" i="107"/>
  <c r="G111" i="107" s="1"/>
  <c r="G112" i="107" s="1"/>
  <c r="J110" i="107"/>
  <c r="J111" i="107" s="1"/>
  <c r="J112" i="107" s="1"/>
  <c r="F110" i="107"/>
  <c r="F111" i="107" s="1"/>
  <c r="F112" i="107" s="1"/>
  <c r="O173" i="107"/>
  <c r="W173" i="107" s="1"/>
  <c r="R153" i="107"/>
  <c r="H156" i="107"/>
  <c r="J176" i="107"/>
  <c r="R176" i="107" s="1"/>
  <c r="P140" i="107"/>
  <c r="M5" i="107"/>
  <c r="M9" i="107"/>
  <c r="M13" i="107"/>
  <c r="M17" i="107"/>
  <c r="M21" i="107"/>
  <c r="M31" i="107"/>
  <c r="M35" i="107"/>
  <c r="L144" i="107" s="1"/>
  <c r="M39" i="107"/>
  <c r="L148" i="107" s="1"/>
  <c r="M43" i="107"/>
  <c r="L152" i="107" s="1"/>
  <c r="M47" i="107"/>
  <c r="F85" i="107"/>
  <c r="F86" i="107" s="1"/>
  <c r="K92" i="107"/>
  <c r="K95" i="107"/>
  <c r="G95" i="107"/>
  <c r="G96" i="107" s="1"/>
  <c r="J95" i="107"/>
  <c r="J96" i="107" s="1"/>
  <c r="J97" i="107" s="1"/>
  <c r="F106" i="107"/>
  <c r="F107" i="107" s="1"/>
  <c r="M107" i="107" s="1"/>
  <c r="H110" i="107"/>
  <c r="H111" i="107" s="1"/>
  <c r="H112" i="107" s="1"/>
  <c r="J159" i="107"/>
  <c r="R159" i="107" s="1"/>
  <c r="H139" i="107"/>
  <c r="M160" i="107"/>
  <c r="U160" i="107" s="1"/>
  <c r="N140" i="107"/>
  <c r="R140" i="107"/>
  <c r="N161" i="107"/>
  <c r="V161" i="107" s="1"/>
  <c r="P141" i="107"/>
  <c r="H143" i="107"/>
  <c r="J163" i="107"/>
  <c r="R163" i="107" s="1"/>
  <c r="D144" i="107"/>
  <c r="M166" i="107"/>
  <c r="U166" i="107" s="1"/>
  <c r="P147" i="107"/>
  <c r="N167" i="107"/>
  <c r="V167" i="107" s="1"/>
  <c r="J168" i="107"/>
  <c r="R168" i="107" s="1"/>
  <c r="H148" i="107"/>
  <c r="M174" i="107"/>
  <c r="U174" i="107" s="1"/>
  <c r="N154" i="107"/>
  <c r="O174" i="107"/>
  <c r="W174" i="107" s="1"/>
  <c r="R154" i="107"/>
  <c r="P155" i="107"/>
  <c r="N175" i="107"/>
  <c r="V175" i="107" s="1"/>
  <c r="K176" i="107"/>
  <c r="S176" i="107" s="1"/>
  <c r="J156" i="107"/>
  <c r="P146" i="107"/>
  <c r="F148" i="107"/>
  <c r="J160" i="107"/>
  <c r="R160" i="107" s="1"/>
  <c r="N176" i="107"/>
  <c r="V176" i="107" s="1"/>
  <c r="F76" i="107"/>
  <c r="F77" i="107" s="1"/>
  <c r="M77" i="107" s="1"/>
  <c r="E86" i="107"/>
  <c r="I87" i="107" s="1"/>
  <c r="H85" i="107"/>
  <c r="H86" i="107" s="1"/>
  <c r="K161" i="107"/>
  <c r="S161" i="107" s="1"/>
  <c r="J146" i="107"/>
  <c r="N147" i="107"/>
  <c r="M173" i="107"/>
  <c r="U173" i="107" s="1"/>
  <c r="J155" i="107"/>
  <c r="G5" i="107"/>
  <c r="O5" i="107"/>
  <c r="G9" i="107"/>
  <c r="Q9" i="107" s="1"/>
  <c r="G13" i="107"/>
  <c r="Q13" i="107" s="1"/>
  <c r="G17" i="107"/>
  <c r="G21" i="107"/>
  <c r="Q21" i="107" s="1"/>
  <c r="G31" i="107"/>
  <c r="S31" i="107" s="1"/>
  <c r="G35" i="107"/>
  <c r="G39" i="107"/>
  <c r="O39" i="107"/>
  <c r="R148" i="107" s="1"/>
  <c r="G43" i="107"/>
  <c r="G47" i="107"/>
  <c r="S47" i="107" s="1"/>
  <c r="K70" i="107"/>
  <c r="G70" i="107"/>
  <c r="G71" i="107" s="1"/>
  <c r="G72" i="107" s="1"/>
  <c r="J70" i="107"/>
  <c r="J71" i="107" s="1"/>
  <c r="J72" i="107" s="1"/>
  <c r="K77" i="107"/>
  <c r="K80" i="107"/>
  <c r="G80" i="107"/>
  <c r="G81" i="107" s="1"/>
  <c r="G82" i="107" s="1"/>
  <c r="J80" i="107"/>
  <c r="J81" i="107" s="1"/>
  <c r="J82" i="107" s="1"/>
  <c r="G85" i="107"/>
  <c r="G86" i="107" s="1"/>
  <c r="I90" i="107"/>
  <c r="F91" i="107" s="1"/>
  <c r="F92" i="107" s="1"/>
  <c r="M92" i="107" s="1"/>
  <c r="F95" i="107"/>
  <c r="F96" i="107" s="1"/>
  <c r="F97" i="107" s="1"/>
  <c r="E96" i="107"/>
  <c r="K97" i="107" s="1"/>
  <c r="K102" i="107"/>
  <c r="I110" i="107"/>
  <c r="I111" i="107" s="1"/>
  <c r="I112" i="107" s="1"/>
  <c r="N141" i="107"/>
  <c r="M161" i="107"/>
  <c r="U161" i="107" s="1"/>
  <c r="O161" i="107"/>
  <c r="W161" i="107" s="1"/>
  <c r="R141" i="107"/>
  <c r="K163" i="107"/>
  <c r="S163" i="107" s="1"/>
  <c r="J143" i="107"/>
  <c r="L145" i="107"/>
  <c r="L165" i="107"/>
  <c r="T165" i="107" s="1"/>
  <c r="M165" i="107"/>
  <c r="U165" i="107" s="1"/>
  <c r="I166" i="107"/>
  <c r="Q166" i="107" s="1"/>
  <c r="F146" i="107"/>
  <c r="H147" i="107"/>
  <c r="J167" i="107"/>
  <c r="R167" i="107" s="1"/>
  <c r="L149" i="107"/>
  <c r="L169" i="107"/>
  <c r="T169" i="107" s="1"/>
  <c r="N149" i="107"/>
  <c r="M169" i="107"/>
  <c r="U169" i="107" s="1"/>
  <c r="D151" i="107"/>
  <c r="K173" i="107"/>
  <c r="S173" i="107" s="1"/>
  <c r="J153" i="107"/>
  <c r="O175" i="107"/>
  <c r="W175" i="107" s="1"/>
  <c r="R155" i="107"/>
  <c r="R139" i="107"/>
  <c r="H142" i="107"/>
  <c r="R143" i="107"/>
  <c r="L146" i="107"/>
  <c r="H149" i="107"/>
  <c r="P154" i="107"/>
  <c r="O160" i="107"/>
  <c r="W160" i="107" s="1"/>
  <c r="N168" i="107"/>
  <c r="V168" i="107" s="1"/>
  <c r="L117" i="107"/>
  <c r="L118" i="107"/>
  <c r="L119" i="107"/>
  <c r="L120" i="107"/>
  <c r="D143" i="107"/>
  <c r="L121" i="107"/>
  <c r="K165" i="107"/>
  <c r="S165" i="107" s="1"/>
  <c r="J145" i="107"/>
  <c r="O165" i="107"/>
  <c r="W165" i="107" s="1"/>
  <c r="R145" i="107"/>
  <c r="K169" i="107"/>
  <c r="S169" i="107" s="1"/>
  <c r="O169" i="107"/>
  <c r="W169" i="107" s="1"/>
  <c r="R149" i="107"/>
  <c r="L131" i="107"/>
  <c r="L132" i="107"/>
  <c r="D155" i="107"/>
  <c r="L133" i="107"/>
  <c r="D156" i="107"/>
  <c r="L134" i="107"/>
  <c r="D139" i="107"/>
  <c r="R146" i="107"/>
  <c r="D153" i="107"/>
  <c r="F117" i="107"/>
  <c r="F118" i="107"/>
  <c r="F119" i="107"/>
  <c r="F120" i="107"/>
  <c r="F121" i="107"/>
  <c r="N121" i="107"/>
  <c r="D147" i="107"/>
  <c r="L125" i="107"/>
  <c r="F131" i="107"/>
  <c r="F132" i="107"/>
  <c r="F133" i="107"/>
  <c r="N133" i="107"/>
  <c r="F134" i="107"/>
  <c r="N134" i="107"/>
  <c r="J147" i="107"/>
  <c r="AL61" i="106"/>
  <c r="Z26" i="106"/>
  <c r="AE7" i="106"/>
  <c r="AE23" i="106"/>
  <c r="AE10" i="106"/>
  <c r="J25" i="104"/>
  <c r="B9" i="103"/>
  <c r="B8" i="103"/>
  <c r="F8" i="103" s="1"/>
  <c r="B7" i="103"/>
  <c r="F7" i="103" s="1"/>
  <c r="F11" i="103"/>
  <c r="F10" i="103"/>
  <c r="F9" i="103"/>
  <c r="J119" i="113" l="1"/>
  <c r="H9" i="112" s="1"/>
  <c r="J127" i="113"/>
  <c r="H13" i="112" s="1"/>
  <c r="P8" i="120"/>
  <c r="P13" i="120"/>
  <c r="P9" i="120"/>
  <c r="R127" i="121"/>
  <c r="T127" i="121" s="1"/>
  <c r="J121" i="113"/>
  <c r="H10" i="112" s="1"/>
  <c r="Q10" i="112" s="1"/>
  <c r="R113" i="113"/>
  <c r="T113" i="113" s="1"/>
  <c r="I131" i="113"/>
  <c r="J120" i="113"/>
  <c r="H23" i="112" s="1"/>
  <c r="Q5" i="112"/>
  <c r="J115" i="113"/>
  <c r="H7" i="112" s="1"/>
  <c r="J126" i="121"/>
  <c r="H18" i="120" s="1"/>
  <c r="J129" i="121"/>
  <c r="H21" i="120" s="1"/>
  <c r="J124" i="121"/>
  <c r="H16" i="120" s="1"/>
  <c r="J119" i="121"/>
  <c r="H11" i="120" s="1"/>
  <c r="R126" i="121"/>
  <c r="T126" i="121" s="1"/>
  <c r="J122" i="121"/>
  <c r="H14" i="120" s="1"/>
  <c r="R124" i="121"/>
  <c r="T124" i="121" s="1"/>
  <c r="R129" i="121"/>
  <c r="T129" i="121" s="1"/>
  <c r="R116" i="121"/>
  <c r="T116" i="121" s="1"/>
  <c r="J127" i="121"/>
  <c r="H19" i="120" s="1"/>
  <c r="J114" i="121"/>
  <c r="H6" i="120" s="1"/>
  <c r="J125" i="121"/>
  <c r="H17" i="120" s="1"/>
  <c r="R125" i="121"/>
  <c r="T125" i="121" s="1"/>
  <c r="R114" i="121"/>
  <c r="T114" i="121" s="1"/>
  <c r="R119" i="121"/>
  <c r="T119" i="121" s="1"/>
  <c r="J128" i="121"/>
  <c r="H20" i="120" s="1"/>
  <c r="R128" i="121"/>
  <c r="T128" i="121" s="1"/>
  <c r="R117" i="121"/>
  <c r="T117" i="121" s="1"/>
  <c r="J120" i="121"/>
  <c r="H12" i="120" s="1"/>
  <c r="R120" i="121"/>
  <c r="T120" i="121" s="1"/>
  <c r="R115" i="121"/>
  <c r="T115" i="121" s="1"/>
  <c r="J115" i="121"/>
  <c r="H7" i="120" s="1"/>
  <c r="F131" i="121"/>
  <c r="J112" i="121"/>
  <c r="R112" i="121"/>
  <c r="J123" i="121"/>
  <c r="H15" i="120" s="1"/>
  <c r="R123" i="121"/>
  <c r="T123" i="121" s="1"/>
  <c r="R113" i="121"/>
  <c r="T113" i="121" s="1"/>
  <c r="J113" i="121"/>
  <c r="H5" i="120" s="1"/>
  <c r="R121" i="121"/>
  <c r="T121" i="121" s="1"/>
  <c r="J118" i="121"/>
  <c r="H10" i="120" s="1"/>
  <c r="R118" i="121"/>
  <c r="T118" i="121" s="1"/>
  <c r="I131" i="121"/>
  <c r="F131" i="113"/>
  <c r="Q17" i="112"/>
  <c r="Q8" i="112"/>
  <c r="Q22" i="112"/>
  <c r="Q6" i="112"/>
  <c r="Q15" i="112"/>
  <c r="Q11" i="112"/>
  <c r="Q13" i="112"/>
  <c r="T112" i="113"/>
  <c r="Q9" i="112"/>
  <c r="H4" i="112"/>
  <c r="Q14" i="112"/>
  <c r="Q20" i="112"/>
  <c r="Q18" i="112"/>
  <c r="Q19" i="112"/>
  <c r="Q12" i="112"/>
  <c r="X129" i="108"/>
  <c r="X113" i="108"/>
  <c r="Q129" i="108"/>
  <c r="I15" i="104" s="1"/>
  <c r="M118" i="108"/>
  <c r="Q118" i="108" s="1"/>
  <c r="I22" i="104" s="1"/>
  <c r="M112" i="108"/>
  <c r="Q112" i="108" s="1"/>
  <c r="I4" i="104" s="1"/>
  <c r="Q122" i="108"/>
  <c r="I11" i="104" s="1"/>
  <c r="X117" i="108"/>
  <c r="M113" i="108"/>
  <c r="Q113" i="108" s="1"/>
  <c r="I5" i="104" s="1"/>
  <c r="Q126" i="108"/>
  <c r="I12" i="104" s="1"/>
  <c r="X121" i="108"/>
  <c r="X125" i="108"/>
  <c r="M121" i="108"/>
  <c r="Q121" i="108" s="1"/>
  <c r="I10" i="104" s="1"/>
  <c r="Q120" i="108"/>
  <c r="I23" i="104" s="1"/>
  <c r="F112" i="108"/>
  <c r="M119" i="108"/>
  <c r="Q119" i="108" s="1"/>
  <c r="I9" i="104" s="1"/>
  <c r="F116" i="108"/>
  <c r="Q128" i="108"/>
  <c r="I14" i="104" s="1"/>
  <c r="H116" i="108"/>
  <c r="N86" i="108"/>
  <c r="M117" i="108"/>
  <c r="Q117" i="108" s="1"/>
  <c r="I17" i="104" s="1"/>
  <c r="X123" i="108"/>
  <c r="F126" i="108"/>
  <c r="X115" i="108"/>
  <c r="N39" i="108"/>
  <c r="H124" i="108"/>
  <c r="G127" i="108"/>
  <c r="N6" i="108"/>
  <c r="N41" i="108"/>
  <c r="M116" i="108"/>
  <c r="Q116" i="108" s="1"/>
  <c r="I8" i="104" s="1"/>
  <c r="H118" i="108"/>
  <c r="N37" i="108"/>
  <c r="M124" i="108"/>
  <c r="Q124" i="108" s="1"/>
  <c r="I19" i="104" s="1"/>
  <c r="N29" i="108"/>
  <c r="N45" i="108"/>
  <c r="F121" i="108"/>
  <c r="N88" i="108"/>
  <c r="N80" i="108"/>
  <c r="H112" i="108"/>
  <c r="I112" i="108" s="1"/>
  <c r="N28" i="108"/>
  <c r="F119" i="108"/>
  <c r="F128" i="108"/>
  <c r="Q125" i="108"/>
  <c r="I20" i="104" s="1"/>
  <c r="V128" i="108"/>
  <c r="X128" i="108" s="1"/>
  <c r="N82" i="108"/>
  <c r="V126" i="108"/>
  <c r="X126" i="108" s="1"/>
  <c r="X114" i="108"/>
  <c r="N74" i="108"/>
  <c r="F125" i="108"/>
  <c r="G117" i="108"/>
  <c r="F123" i="108"/>
  <c r="V112" i="108"/>
  <c r="X112" i="108" s="1"/>
  <c r="N35" i="108"/>
  <c r="M123" i="108"/>
  <c r="Q123" i="108" s="1"/>
  <c r="I18" i="104" s="1"/>
  <c r="X124" i="108"/>
  <c r="V127" i="108"/>
  <c r="X127" i="108" s="1"/>
  <c r="N10" i="108"/>
  <c r="N31" i="108"/>
  <c r="X120" i="108"/>
  <c r="L131" i="108"/>
  <c r="V119" i="108"/>
  <c r="X119" i="108" s="1"/>
  <c r="V116" i="108"/>
  <c r="X116" i="108" s="1"/>
  <c r="S131" i="108"/>
  <c r="N61" i="108"/>
  <c r="N11" i="108"/>
  <c r="M127" i="108"/>
  <c r="Q127" i="108" s="1"/>
  <c r="I13" i="104" s="1"/>
  <c r="M115" i="108"/>
  <c r="Q115" i="108" s="1"/>
  <c r="I7" i="104" s="1"/>
  <c r="N13" i="108"/>
  <c r="N75" i="108"/>
  <c r="H115" i="108"/>
  <c r="I115" i="108" s="1"/>
  <c r="G122" i="108"/>
  <c r="I122" i="108" s="1"/>
  <c r="N38" i="108"/>
  <c r="N22" i="108"/>
  <c r="N55" i="108"/>
  <c r="N14" i="108"/>
  <c r="N9" i="108"/>
  <c r="N81" i="108"/>
  <c r="H121" i="108"/>
  <c r="I121" i="108" s="1"/>
  <c r="N66" i="108"/>
  <c r="N58" i="108"/>
  <c r="N50" i="108"/>
  <c r="N32" i="108"/>
  <c r="G116" i="108"/>
  <c r="D124" i="108"/>
  <c r="F124" i="108" s="1"/>
  <c r="H127" i="108"/>
  <c r="N87" i="108"/>
  <c r="H119" i="108"/>
  <c r="I119" i="108" s="1"/>
  <c r="N79" i="108"/>
  <c r="E129" i="108"/>
  <c r="F129" i="108" s="1"/>
  <c r="N64" i="108"/>
  <c r="N60" i="108"/>
  <c r="N56" i="108"/>
  <c r="N52" i="108"/>
  <c r="N40" i="108"/>
  <c r="G124" i="108"/>
  <c r="G120" i="108"/>
  <c r="I120" i="108" s="1"/>
  <c r="N36" i="108"/>
  <c r="N30" i="108"/>
  <c r="G114" i="108"/>
  <c r="I114" i="108" s="1"/>
  <c r="V122" i="108"/>
  <c r="X122" i="108" s="1"/>
  <c r="N63" i="108"/>
  <c r="N15" i="108"/>
  <c r="N67" i="108"/>
  <c r="N53" i="108"/>
  <c r="N17" i="108"/>
  <c r="N7" i="108"/>
  <c r="P131" i="108"/>
  <c r="F120" i="108"/>
  <c r="M114" i="108"/>
  <c r="Q114" i="108" s="1"/>
  <c r="I6" i="104" s="1"/>
  <c r="F115" i="108"/>
  <c r="N83" i="108"/>
  <c r="H123" i="108"/>
  <c r="I123" i="108" s="1"/>
  <c r="N34" i="108"/>
  <c r="G118" i="108"/>
  <c r="N19" i="108"/>
  <c r="D118" i="108"/>
  <c r="F118" i="108" s="1"/>
  <c r="D127" i="108"/>
  <c r="F127" i="108" s="1"/>
  <c r="N20" i="108"/>
  <c r="V118" i="108"/>
  <c r="X118" i="108" s="1"/>
  <c r="H129" i="108"/>
  <c r="I129" i="108" s="1"/>
  <c r="N89" i="108"/>
  <c r="N73" i="108"/>
  <c r="H113" i="108"/>
  <c r="N62" i="108"/>
  <c r="N54" i="108"/>
  <c r="G126" i="108"/>
  <c r="I126" i="108" s="1"/>
  <c r="N42" i="108"/>
  <c r="N51" i="108"/>
  <c r="F114" i="108"/>
  <c r="D117" i="108"/>
  <c r="F117" i="108" s="1"/>
  <c r="D122" i="108"/>
  <c r="F122" i="108" s="1"/>
  <c r="N23" i="108"/>
  <c r="H125" i="108"/>
  <c r="I125" i="108" s="1"/>
  <c r="N85" i="108"/>
  <c r="H117" i="108"/>
  <c r="N77" i="108"/>
  <c r="G128" i="108"/>
  <c r="I128" i="108" s="1"/>
  <c r="N44" i="108"/>
  <c r="W131" i="108"/>
  <c r="N59" i="108"/>
  <c r="N18" i="108"/>
  <c r="K131" i="108"/>
  <c r="N65" i="108"/>
  <c r="N57" i="108"/>
  <c r="N8" i="108"/>
  <c r="N12" i="108"/>
  <c r="D113" i="108"/>
  <c r="N21" i="108"/>
  <c r="L147" i="107"/>
  <c r="L167" i="107"/>
  <c r="T167" i="107" s="1"/>
  <c r="L173" i="107"/>
  <c r="T173" i="107" s="1"/>
  <c r="L153" i="107"/>
  <c r="U40" i="107"/>
  <c r="W40" i="107" s="1"/>
  <c r="L143" i="107"/>
  <c r="L163" i="107"/>
  <c r="T163" i="107" s="1"/>
  <c r="K87" i="107"/>
  <c r="F152" i="107"/>
  <c r="S43" i="107"/>
  <c r="U43" i="107" s="1"/>
  <c r="W43" i="107" s="1"/>
  <c r="M112" i="107"/>
  <c r="N49" i="107"/>
  <c r="N52" i="107" s="1"/>
  <c r="Q23" i="107"/>
  <c r="U47" i="107" s="1"/>
  <c r="W47" i="107" s="1"/>
  <c r="M176" i="107"/>
  <c r="U176" i="107" s="1"/>
  <c r="N156" i="107"/>
  <c r="I174" i="107"/>
  <c r="Q174" i="107" s="1"/>
  <c r="F154" i="107"/>
  <c r="N143" i="107"/>
  <c r="M163" i="107"/>
  <c r="U163" i="107" s="1"/>
  <c r="I160" i="107"/>
  <c r="Q160" i="107" s="1"/>
  <c r="F140" i="107"/>
  <c r="L159" i="107"/>
  <c r="T159" i="107" s="1"/>
  <c r="L139" i="107"/>
  <c r="G87" i="107"/>
  <c r="O24" i="107"/>
  <c r="G97" i="107"/>
  <c r="I67" i="107"/>
  <c r="S44" i="107"/>
  <c r="U44" i="107" s="1"/>
  <c r="W44" i="107" s="1"/>
  <c r="F150" i="107"/>
  <c r="S41" i="107"/>
  <c r="U41" i="107" s="1"/>
  <c r="W41" i="107" s="1"/>
  <c r="Q11" i="107"/>
  <c r="M82" i="107"/>
  <c r="Q22" i="107"/>
  <c r="S36" i="107"/>
  <c r="F25" i="107"/>
  <c r="Q19" i="107"/>
  <c r="N155" i="107"/>
  <c r="M175" i="107"/>
  <c r="U175" i="107" s="1"/>
  <c r="I162" i="107"/>
  <c r="Q162" i="107" s="1"/>
  <c r="F142" i="107"/>
  <c r="L141" i="107"/>
  <c r="L161" i="107"/>
  <c r="T161" i="107" s="1"/>
  <c r="F144" i="107"/>
  <c r="S35" i="107"/>
  <c r="U35" i="107" s="1"/>
  <c r="W35" i="107" s="1"/>
  <c r="L49" i="107"/>
  <c r="L52" i="107" s="1"/>
  <c r="J49" i="107"/>
  <c r="F49" i="107"/>
  <c r="F52" i="107" s="1"/>
  <c r="S32" i="107"/>
  <c r="U32" i="107" s="1"/>
  <c r="W32" i="107" s="1"/>
  <c r="S37" i="107"/>
  <c r="U37" i="107" s="1"/>
  <c r="W37" i="107" s="1"/>
  <c r="I175" i="107"/>
  <c r="Q175" i="107" s="1"/>
  <c r="F155" i="107"/>
  <c r="F141" i="107"/>
  <c r="I161" i="107"/>
  <c r="Q161" i="107" s="1"/>
  <c r="L155" i="107"/>
  <c r="L175" i="107"/>
  <c r="T175" i="107" s="1"/>
  <c r="L160" i="107"/>
  <c r="T160" i="107" s="1"/>
  <c r="L140" i="107"/>
  <c r="U31" i="107"/>
  <c r="W31" i="107" s="1"/>
  <c r="F87" i="107"/>
  <c r="M87" i="107" s="1"/>
  <c r="J87" i="107"/>
  <c r="S45" i="107"/>
  <c r="U45" i="107" s="1"/>
  <c r="W45" i="107" s="1"/>
  <c r="F149" i="107"/>
  <c r="Q14" i="107"/>
  <c r="I176" i="107"/>
  <c r="Q176" i="107" s="1"/>
  <c r="F156" i="107"/>
  <c r="F153" i="107"/>
  <c r="I173" i="107"/>
  <c r="Q173" i="107" s="1"/>
  <c r="I163" i="107"/>
  <c r="Q163" i="107" s="1"/>
  <c r="F143" i="107"/>
  <c r="I159" i="107"/>
  <c r="Q159" i="107" s="1"/>
  <c r="F139" i="107"/>
  <c r="L176" i="107"/>
  <c r="T176" i="107" s="1"/>
  <c r="L156" i="107"/>
  <c r="L174" i="107"/>
  <c r="T174" i="107" s="1"/>
  <c r="L154" i="107"/>
  <c r="L162" i="107"/>
  <c r="T162" i="107" s="1"/>
  <c r="L142" i="107"/>
  <c r="M97" i="107"/>
  <c r="H49" i="107"/>
  <c r="H52" i="107" s="1"/>
  <c r="S39" i="107"/>
  <c r="Q17" i="107"/>
  <c r="U42" i="107" s="1"/>
  <c r="W42" i="107" s="1"/>
  <c r="G24" i="107"/>
  <c r="Q5" i="107"/>
  <c r="U30" i="107" s="1"/>
  <c r="W30" i="107" s="1"/>
  <c r="H87" i="107"/>
  <c r="M24" i="107"/>
  <c r="F67" i="107"/>
  <c r="M67" i="107" s="1"/>
  <c r="U34" i="107"/>
  <c r="W34" i="107" s="1"/>
  <c r="Q10" i="107"/>
  <c r="I24" i="107"/>
  <c r="U38" i="107"/>
  <c r="W38" i="107" s="1"/>
  <c r="M72" i="107"/>
  <c r="S33" i="107"/>
  <c r="U33" i="107" s="1"/>
  <c r="W33" i="107" s="1"/>
  <c r="J25" i="107"/>
  <c r="Z66" i="106"/>
  <c r="AE26" i="106"/>
  <c r="T131" i="113" l="1"/>
  <c r="R131" i="113"/>
  <c r="P5" i="120"/>
  <c r="P15" i="120"/>
  <c r="P7" i="120"/>
  <c r="P11" i="120"/>
  <c r="P6" i="120"/>
  <c r="P10" i="120"/>
  <c r="P20" i="120"/>
  <c r="P17" i="120"/>
  <c r="P19" i="120"/>
  <c r="P14" i="120"/>
  <c r="P21" i="120"/>
  <c r="P12" i="120"/>
  <c r="P18" i="120"/>
  <c r="P16" i="120"/>
  <c r="K7" i="112"/>
  <c r="L7" i="112" s="1"/>
  <c r="AA7" i="112" s="1"/>
  <c r="AC7" i="112" s="1"/>
  <c r="J131" i="113"/>
  <c r="Q23" i="112"/>
  <c r="Q7" i="112"/>
  <c r="R131" i="121"/>
  <c r="T112" i="121"/>
  <c r="T131" i="121" s="1"/>
  <c r="J131" i="121"/>
  <c r="H4" i="120"/>
  <c r="Q4" i="112"/>
  <c r="B12" i="90"/>
  <c r="K5" i="112"/>
  <c r="L5" i="112" s="1"/>
  <c r="AA5" i="112" s="1"/>
  <c r="AC5" i="112" s="1"/>
  <c r="K6" i="112"/>
  <c r="L6" i="112" s="1"/>
  <c r="R6" i="112" s="1"/>
  <c r="S6" i="112" s="1"/>
  <c r="K22" i="112"/>
  <c r="L22" i="112" s="1"/>
  <c r="R22" i="112" s="1"/>
  <c r="S22" i="112" s="1"/>
  <c r="K8" i="112"/>
  <c r="L8" i="112" s="1"/>
  <c r="R8" i="112" s="1"/>
  <c r="S8" i="112" s="1"/>
  <c r="K10" i="112"/>
  <c r="L10" i="112" s="1"/>
  <c r="AA10" i="112" s="1"/>
  <c r="AC10" i="112" s="1"/>
  <c r="K11" i="112"/>
  <c r="L11" i="112" s="1"/>
  <c r="AA11" i="112" s="1"/>
  <c r="AC11" i="112" s="1"/>
  <c r="K9" i="112"/>
  <c r="L9" i="112" s="1"/>
  <c r="R9" i="112" s="1"/>
  <c r="S9" i="112" s="1"/>
  <c r="K12" i="112"/>
  <c r="L12" i="112" s="1"/>
  <c r="R12" i="112" s="1"/>
  <c r="S12" i="112" s="1"/>
  <c r="B10" i="90"/>
  <c r="B11" i="90"/>
  <c r="H25" i="112"/>
  <c r="R128" i="108"/>
  <c r="R125" i="108"/>
  <c r="R123" i="108"/>
  <c r="I116" i="108"/>
  <c r="R116" i="108" s="1"/>
  <c r="R122" i="108"/>
  <c r="R126" i="108"/>
  <c r="R121" i="108"/>
  <c r="R120" i="108"/>
  <c r="R114" i="108"/>
  <c r="R115" i="108"/>
  <c r="R129" i="108"/>
  <c r="J119" i="108"/>
  <c r="H9" i="104" s="1"/>
  <c r="R119" i="108"/>
  <c r="J112" i="108"/>
  <c r="H4" i="104" s="1"/>
  <c r="R112" i="108"/>
  <c r="M4" i="104" s="1"/>
  <c r="AP112" i="121" s="1"/>
  <c r="AR112" i="121" s="1"/>
  <c r="J126" i="108"/>
  <c r="H12" i="104" s="1"/>
  <c r="J125" i="108"/>
  <c r="H20" i="104" s="1"/>
  <c r="J114" i="108"/>
  <c r="H6" i="104" s="1"/>
  <c r="J121" i="108"/>
  <c r="H10" i="104" s="1"/>
  <c r="I127" i="108"/>
  <c r="J128" i="108"/>
  <c r="H14" i="104" s="1"/>
  <c r="I124" i="108"/>
  <c r="I118" i="108"/>
  <c r="I117" i="108"/>
  <c r="J123" i="108"/>
  <c r="H18" i="104" s="1"/>
  <c r="H131" i="108"/>
  <c r="G131" i="108"/>
  <c r="I113" i="108"/>
  <c r="J120" i="108"/>
  <c r="H23" i="104" s="1"/>
  <c r="F113" i="108"/>
  <c r="D131" i="108"/>
  <c r="J122" i="108"/>
  <c r="H11" i="104" s="1"/>
  <c r="J129" i="108"/>
  <c r="H15" i="104" s="1"/>
  <c r="M131" i="108"/>
  <c r="X131" i="108"/>
  <c r="E131" i="108"/>
  <c r="J115" i="108"/>
  <c r="H7" i="104" s="1"/>
  <c r="Q131" i="108"/>
  <c r="V131" i="108"/>
  <c r="W49" i="107"/>
  <c r="J52" i="107"/>
  <c r="U39" i="107"/>
  <c r="W39" i="107" s="1"/>
  <c r="U36" i="107"/>
  <c r="W36" i="107" s="1"/>
  <c r="I47" i="102"/>
  <c r="J40" i="102"/>
  <c r="K40" i="102" s="1"/>
  <c r="J39" i="102"/>
  <c r="K39" i="102" s="1"/>
  <c r="J38" i="102"/>
  <c r="K38" i="102" s="1"/>
  <c r="I36" i="102"/>
  <c r="I41" i="102" s="1"/>
  <c r="H36" i="102"/>
  <c r="H41" i="102" s="1"/>
  <c r="I43" i="102" s="1"/>
  <c r="J35" i="102"/>
  <c r="K35" i="102" s="1"/>
  <c r="J34" i="102"/>
  <c r="K34" i="102" s="1"/>
  <c r="J33" i="102"/>
  <c r="K33" i="102" s="1"/>
  <c r="J32" i="102"/>
  <c r="K32" i="102" s="1"/>
  <c r="J31" i="102"/>
  <c r="K31" i="102" s="1"/>
  <c r="C31" i="102"/>
  <c r="J30" i="102"/>
  <c r="K30" i="102" s="1"/>
  <c r="J29" i="102"/>
  <c r="K29" i="102" s="1"/>
  <c r="C29" i="102"/>
  <c r="J28" i="102"/>
  <c r="K28" i="102" s="1"/>
  <c r="J27" i="102"/>
  <c r="K27" i="102" s="1"/>
  <c r="J26" i="102"/>
  <c r="K26" i="102" s="1"/>
  <c r="J25" i="102"/>
  <c r="K25" i="102" s="1"/>
  <c r="J24" i="102"/>
  <c r="K24" i="102" s="1"/>
  <c r="J23" i="102"/>
  <c r="K23" i="102" s="1"/>
  <c r="J22" i="102"/>
  <c r="K22" i="102" s="1"/>
  <c r="J21" i="102"/>
  <c r="K21" i="102" s="1"/>
  <c r="J20" i="102"/>
  <c r="K20" i="102" s="1"/>
  <c r="J19" i="102"/>
  <c r="K19" i="102" s="1"/>
  <c r="J18" i="102"/>
  <c r="L12" i="102"/>
  <c r="H8" i="102"/>
  <c r="K7" i="102"/>
  <c r="J7" i="102"/>
  <c r="K6" i="102"/>
  <c r="J6" i="102"/>
  <c r="K5" i="102"/>
  <c r="J5" i="102"/>
  <c r="K4" i="102"/>
  <c r="J4" i="102"/>
  <c r="AD64" i="101"/>
  <c r="AC64" i="101"/>
  <c r="AB64" i="101"/>
  <c r="AA64" i="101"/>
  <c r="Z64" i="101"/>
  <c r="AC62" i="101"/>
  <c r="AB62" i="101"/>
  <c r="AA62" i="101"/>
  <c r="F55" i="101"/>
  <c r="G54" i="101"/>
  <c r="G53" i="101"/>
  <c r="G52" i="101"/>
  <c r="AX26" i="101"/>
  <c r="AW26" i="101"/>
  <c r="AV26" i="101"/>
  <c r="AU26" i="101"/>
  <c r="AQ26" i="101"/>
  <c r="AP26" i="101"/>
  <c r="AO26" i="101"/>
  <c r="AN26" i="101"/>
  <c r="AJ26" i="101"/>
  <c r="AI26" i="101"/>
  <c r="AH26" i="101"/>
  <c r="AG26" i="101"/>
  <c r="Y26" i="101"/>
  <c r="AZ25" i="101"/>
  <c r="AS25" i="101"/>
  <c r="AL25" i="101"/>
  <c r="AA25" i="101"/>
  <c r="AE25" i="101" s="1"/>
  <c r="Y25" i="101"/>
  <c r="AZ24" i="101"/>
  <c r="AS24" i="101"/>
  <c r="AL24" i="101"/>
  <c r="Z24" i="101"/>
  <c r="AE24" i="101" s="1"/>
  <c r="Y24" i="101"/>
  <c r="X24" i="101"/>
  <c r="AZ23" i="101"/>
  <c r="AS23" i="101"/>
  <c r="AL23" i="101"/>
  <c r="AA23" i="101"/>
  <c r="Z23" i="101"/>
  <c r="Y23" i="101"/>
  <c r="X23" i="101"/>
  <c r="AZ22" i="101"/>
  <c r="AS22" i="101"/>
  <c r="AL22" i="101"/>
  <c r="AC22" i="101"/>
  <c r="AE22" i="101" s="1"/>
  <c r="V22" i="101"/>
  <c r="Y22" i="101" s="1"/>
  <c r="AZ21" i="101"/>
  <c r="AS21" i="101"/>
  <c r="AL21" i="101"/>
  <c r="AC21" i="101"/>
  <c r="Z21" i="101"/>
  <c r="X21" i="101"/>
  <c r="V21" i="101"/>
  <c r="Y21" i="101" s="1"/>
  <c r="AY20" i="101"/>
  <c r="AR20" i="101"/>
  <c r="AR26" i="101" s="1"/>
  <c r="AK20" i="101"/>
  <c r="AD20" i="101"/>
  <c r="AC20" i="101"/>
  <c r="Z20" i="101"/>
  <c r="X20" i="101"/>
  <c r="V20" i="101"/>
  <c r="Y20" i="101" s="1"/>
  <c r="AZ19" i="101"/>
  <c r="AS19" i="101"/>
  <c r="AL19" i="101"/>
  <c r="AA19" i="101"/>
  <c r="AE19" i="101" s="1"/>
  <c r="Y19" i="101"/>
  <c r="AZ18" i="101"/>
  <c r="AS18" i="101"/>
  <c r="AL18" i="101"/>
  <c r="AD18" i="101"/>
  <c r="AB18" i="101"/>
  <c r="AA18" i="101"/>
  <c r="Y18" i="101"/>
  <c r="X18" i="101"/>
  <c r="AZ17" i="101"/>
  <c r="AS17" i="101"/>
  <c r="AL17" i="101"/>
  <c r="AB17" i="101"/>
  <c r="Z17" i="101"/>
  <c r="Y17" i="101"/>
  <c r="X17" i="101"/>
  <c r="H17" i="101"/>
  <c r="AZ16" i="101"/>
  <c r="AS16" i="101"/>
  <c r="AL16" i="101"/>
  <c r="AE16" i="101"/>
  <c r="Y16" i="101"/>
  <c r="AZ15" i="101"/>
  <c r="AS15" i="101"/>
  <c r="AL15" i="101"/>
  <c r="AC15" i="101"/>
  <c r="Z15" i="101"/>
  <c r="V15" i="101"/>
  <c r="Y15" i="101" s="1"/>
  <c r="AZ14" i="101"/>
  <c r="AS14" i="101"/>
  <c r="AL14" i="101"/>
  <c r="Z14" i="101"/>
  <c r="AE14" i="101" s="1"/>
  <c r="Y14" i="101"/>
  <c r="S14" i="101"/>
  <c r="AZ13" i="101"/>
  <c r="AS13" i="101"/>
  <c r="AL13" i="101"/>
  <c r="AE13" i="101"/>
  <c r="Y13" i="101"/>
  <c r="X13" i="101"/>
  <c r="AZ12" i="101"/>
  <c r="AS12" i="101"/>
  <c r="AL12" i="101"/>
  <c r="Z12" i="101"/>
  <c r="AE12" i="101" s="1"/>
  <c r="Y12" i="101"/>
  <c r="X12" i="101"/>
  <c r="AZ11" i="101"/>
  <c r="AS11" i="101"/>
  <c r="AL11" i="101"/>
  <c r="AE11" i="101"/>
  <c r="Y11" i="101"/>
  <c r="AZ10" i="101"/>
  <c r="AS10" i="101"/>
  <c r="AL10" i="101"/>
  <c r="AC10" i="101"/>
  <c r="AB10" i="101"/>
  <c r="Y10" i="101"/>
  <c r="AZ9" i="101"/>
  <c r="AS9" i="101"/>
  <c r="AL9" i="101"/>
  <c r="AE9" i="101"/>
  <c r="Y9" i="101"/>
  <c r="AZ8" i="101"/>
  <c r="AS8" i="101"/>
  <c r="AL8" i="101"/>
  <c r="AE8" i="101"/>
  <c r="Y8" i="101"/>
  <c r="AZ7" i="101"/>
  <c r="AS7" i="101"/>
  <c r="AL7" i="101"/>
  <c r="AC7" i="101"/>
  <c r="Z7" i="101"/>
  <c r="X7" i="101"/>
  <c r="V7" i="101"/>
  <c r="Y7" i="101" s="1"/>
  <c r="D21" i="100"/>
  <c r="K23" i="94" s="1"/>
  <c r="D20" i="100"/>
  <c r="K22" i="94" s="1"/>
  <c r="D19" i="100"/>
  <c r="K19" i="94" s="1"/>
  <c r="D18" i="100"/>
  <c r="K17" i="94" s="1"/>
  <c r="D17" i="100"/>
  <c r="K20" i="94" s="1"/>
  <c r="D16" i="100"/>
  <c r="K18" i="94" s="1"/>
  <c r="D15" i="100"/>
  <c r="K12" i="94" s="1"/>
  <c r="D14" i="100"/>
  <c r="K6" i="94" s="1"/>
  <c r="D13" i="100"/>
  <c r="K8" i="94" s="1"/>
  <c r="D12" i="100"/>
  <c r="K13" i="94" s="1"/>
  <c r="D11" i="100"/>
  <c r="K15" i="94" s="1"/>
  <c r="D10" i="100"/>
  <c r="K14" i="94" s="1"/>
  <c r="D9" i="100"/>
  <c r="K7" i="94" s="1"/>
  <c r="D8" i="100"/>
  <c r="K4" i="94" s="1"/>
  <c r="D7" i="100"/>
  <c r="K11" i="94"/>
  <c r="D6" i="100"/>
  <c r="D5" i="100"/>
  <c r="K5" i="94" s="1"/>
  <c r="D4" i="100"/>
  <c r="K10" i="94" s="1"/>
  <c r="AK29" i="94"/>
  <c r="M7" i="95"/>
  <c r="M8" i="95"/>
  <c r="M9" i="95"/>
  <c r="R9" i="95" s="1"/>
  <c r="M10" i="95"/>
  <c r="R10" i="95" s="1"/>
  <c r="M11" i="95"/>
  <c r="M12" i="95"/>
  <c r="M13" i="95"/>
  <c r="M14" i="95"/>
  <c r="R14" i="95" s="1"/>
  <c r="M15" i="95"/>
  <c r="M16" i="95"/>
  <c r="R16" i="95" s="1"/>
  <c r="M17" i="95"/>
  <c r="M18" i="95"/>
  <c r="R18" i="95" s="1"/>
  <c r="M19" i="95"/>
  <c r="M20" i="95"/>
  <c r="R20" i="95" s="1"/>
  <c r="M21" i="95"/>
  <c r="M22" i="95"/>
  <c r="R22" i="95" s="1"/>
  <c r="M23" i="95"/>
  <c r="M6" i="95"/>
  <c r="J77" i="95"/>
  <c r="J83" i="95"/>
  <c r="J84" i="95"/>
  <c r="J85" i="95"/>
  <c r="I77" i="95"/>
  <c r="I83" i="95"/>
  <c r="I84" i="95"/>
  <c r="I85" i="95"/>
  <c r="H77" i="95"/>
  <c r="H83" i="95"/>
  <c r="H84" i="95"/>
  <c r="H85" i="95"/>
  <c r="F77" i="95"/>
  <c r="M77" i="95" s="1"/>
  <c r="R117" i="95" s="1"/>
  <c r="F83" i="95"/>
  <c r="M83" i="95" s="1"/>
  <c r="R123" i="95" s="1"/>
  <c r="F84" i="95"/>
  <c r="M84" i="95" s="1"/>
  <c r="R124" i="95" s="1"/>
  <c r="F85" i="95"/>
  <c r="M85" i="95" s="1"/>
  <c r="R125" i="95" s="1"/>
  <c r="E77" i="95"/>
  <c r="E83" i="95"/>
  <c r="E84" i="95"/>
  <c r="E85" i="95"/>
  <c r="D77" i="95"/>
  <c r="D83" i="95"/>
  <c r="D84" i="95"/>
  <c r="D85" i="95"/>
  <c r="J33" i="95"/>
  <c r="J39" i="95"/>
  <c r="J40" i="95"/>
  <c r="J41" i="95"/>
  <c r="I33" i="95"/>
  <c r="I39" i="95"/>
  <c r="I40" i="95"/>
  <c r="I41" i="95"/>
  <c r="H33" i="95"/>
  <c r="H39" i="95"/>
  <c r="H40" i="95"/>
  <c r="H41" i="95"/>
  <c r="F33" i="95"/>
  <c r="M33" i="95" s="1"/>
  <c r="Q117" i="95" s="1"/>
  <c r="F39" i="95"/>
  <c r="M39" i="95" s="1"/>
  <c r="Q123" i="95" s="1"/>
  <c r="F40" i="95"/>
  <c r="M40" i="95" s="1"/>
  <c r="Q124" i="95" s="1"/>
  <c r="F41" i="95"/>
  <c r="M41" i="95" s="1"/>
  <c r="Q125" i="95" s="1"/>
  <c r="E33" i="95"/>
  <c r="E39" i="95"/>
  <c r="E40" i="95"/>
  <c r="E41" i="95"/>
  <c r="D33" i="95"/>
  <c r="D39" i="95"/>
  <c r="D40" i="95"/>
  <c r="D41" i="95"/>
  <c r="J11" i="95"/>
  <c r="J17" i="95"/>
  <c r="J18" i="95"/>
  <c r="J19" i="95"/>
  <c r="I11" i="95"/>
  <c r="I17" i="95"/>
  <c r="I18" i="95"/>
  <c r="I19" i="95"/>
  <c r="H11" i="95"/>
  <c r="H17" i="95"/>
  <c r="H18" i="95"/>
  <c r="H19" i="95"/>
  <c r="F11" i="95"/>
  <c r="F17" i="95"/>
  <c r="F18" i="95"/>
  <c r="F19" i="95"/>
  <c r="E11" i="95"/>
  <c r="E17" i="95"/>
  <c r="E18" i="95"/>
  <c r="E19" i="95"/>
  <c r="D11" i="95"/>
  <c r="D17" i="95"/>
  <c r="D18" i="95"/>
  <c r="D19" i="95"/>
  <c r="J55" i="95"/>
  <c r="J61" i="95"/>
  <c r="J62" i="95"/>
  <c r="J63" i="95"/>
  <c r="I55" i="95"/>
  <c r="I61" i="95"/>
  <c r="I62" i="95"/>
  <c r="I63" i="95"/>
  <c r="F55" i="95"/>
  <c r="F61" i="95"/>
  <c r="F62" i="95"/>
  <c r="F63" i="95"/>
  <c r="E55" i="95"/>
  <c r="E61" i="95"/>
  <c r="E62" i="95"/>
  <c r="E63" i="95"/>
  <c r="D55" i="95"/>
  <c r="D61" i="95"/>
  <c r="D62" i="95"/>
  <c r="D63" i="95"/>
  <c r="H55" i="95"/>
  <c r="H61" i="95"/>
  <c r="H62" i="95"/>
  <c r="H63" i="95"/>
  <c r="O28" i="95"/>
  <c r="G96" i="95"/>
  <c r="G104" i="95"/>
  <c r="G100" i="95"/>
  <c r="G92" i="95"/>
  <c r="G102" i="95"/>
  <c r="G94" i="95"/>
  <c r="G98" i="95"/>
  <c r="M48" i="98"/>
  <c r="M49" i="98"/>
  <c r="M50" i="98"/>
  <c r="M51" i="98"/>
  <c r="M52" i="98"/>
  <c r="M53" i="98"/>
  <c r="M54" i="98"/>
  <c r="M55" i="98"/>
  <c r="M56" i="98"/>
  <c r="M47" i="98"/>
  <c r="AO16" i="84"/>
  <c r="AO21" i="84"/>
  <c r="F72" i="90"/>
  <c r="F73" i="90"/>
  <c r="F74" i="90"/>
  <c r="F75" i="90"/>
  <c r="F71" i="90"/>
  <c r="D72" i="90"/>
  <c r="D73" i="90"/>
  <c r="D74" i="90"/>
  <c r="D75" i="90"/>
  <c r="D71" i="90"/>
  <c r="A72" i="90"/>
  <c r="A73" i="90"/>
  <c r="B73" i="90"/>
  <c r="A74" i="90"/>
  <c r="A75" i="90"/>
  <c r="B75" i="90"/>
  <c r="B71" i="90"/>
  <c r="A71" i="90"/>
  <c r="F60" i="90"/>
  <c r="F61" i="90"/>
  <c r="F62" i="90"/>
  <c r="F63" i="90"/>
  <c r="F64" i="90"/>
  <c r="F65" i="90"/>
  <c r="F66" i="90"/>
  <c r="F67" i="90"/>
  <c r="F68" i="90"/>
  <c r="F69" i="90"/>
  <c r="F59" i="90"/>
  <c r="B69" i="90"/>
  <c r="D69" i="90"/>
  <c r="D61" i="90"/>
  <c r="D63" i="90"/>
  <c r="D64" i="90"/>
  <c r="D65" i="90"/>
  <c r="D67" i="90"/>
  <c r="D59" i="90"/>
  <c r="B61" i="90"/>
  <c r="B63" i="90"/>
  <c r="B65" i="90"/>
  <c r="B67" i="90"/>
  <c r="B59" i="90"/>
  <c r="P53" i="98"/>
  <c r="AE33" i="94"/>
  <c r="AC33" i="94"/>
  <c r="Z33" i="94"/>
  <c r="D4" i="91"/>
  <c r="F65" i="98"/>
  <c r="H66" i="98" s="1"/>
  <c r="D64" i="98"/>
  <c r="F63" i="98"/>
  <c r="D62" i="98"/>
  <c r="F61" i="98"/>
  <c r="C77" i="98"/>
  <c r="C78" i="98"/>
  <c r="C79" i="98"/>
  <c r="C80" i="98"/>
  <c r="C81" i="98"/>
  <c r="C82" i="98"/>
  <c r="C83" i="98"/>
  <c r="C84" i="98"/>
  <c r="C85" i="98"/>
  <c r="C86" i="98"/>
  <c r="C87" i="98"/>
  <c r="C88" i="98"/>
  <c r="C89" i="98"/>
  <c r="C90" i="98"/>
  <c r="C91" i="98"/>
  <c r="C92" i="98"/>
  <c r="C93" i="98"/>
  <c r="C76" i="98"/>
  <c r="E77" i="98"/>
  <c r="E78" i="98"/>
  <c r="E79" i="98"/>
  <c r="E80" i="98"/>
  <c r="E81" i="98"/>
  <c r="E82" i="98"/>
  <c r="E83" i="98"/>
  <c r="E84" i="98"/>
  <c r="E85" i="98"/>
  <c r="E86" i="98"/>
  <c r="E87" i="98"/>
  <c r="I87" i="98" s="1"/>
  <c r="E88" i="98"/>
  <c r="E89" i="98"/>
  <c r="E90" i="98"/>
  <c r="E91" i="98"/>
  <c r="E92" i="98"/>
  <c r="E93" i="98"/>
  <c r="E76" i="98"/>
  <c r="A57" i="98"/>
  <c r="AG14" i="94"/>
  <c r="D28" i="94"/>
  <c r="F48" i="98"/>
  <c r="F50" i="98"/>
  <c r="F52" i="98"/>
  <c r="F54" i="98"/>
  <c r="F46" i="98"/>
  <c r="E55" i="98"/>
  <c r="D68" i="90" s="1"/>
  <c r="F56" i="98"/>
  <c r="D53" i="98"/>
  <c r="D51" i="98"/>
  <c r="D49" i="98"/>
  <c r="D47" i="98"/>
  <c r="B60" i="90" s="1"/>
  <c r="E53" i="98"/>
  <c r="E49" i="98"/>
  <c r="E47" i="98"/>
  <c r="D60" i="90" s="1"/>
  <c r="D55" i="98"/>
  <c r="O164" i="96"/>
  <c r="W164" i="96" s="1"/>
  <c r="O170" i="96"/>
  <c r="W170" i="96" s="1"/>
  <c r="O171" i="96"/>
  <c r="W171" i="96" s="1"/>
  <c r="O172" i="96"/>
  <c r="W172" i="96" s="1"/>
  <c r="N164" i="96"/>
  <c r="V164" i="96" s="1"/>
  <c r="N170" i="96"/>
  <c r="V170" i="96" s="1"/>
  <c r="N171" i="96"/>
  <c r="V171" i="96" s="1"/>
  <c r="N172" i="96"/>
  <c r="V172" i="96" s="1"/>
  <c r="M164" i="96"/>
  <c r="U164" i="96" s="1"/>
  <c r="M170" i="96"/>
  <c r="U170" i="96" s="1"/>
  <c r="M171" i="96"/>
  <c r="U171" i="96" s="1"/>
  <c r="M172" i="96"/>
  <c r="U172" i="96" s="1"/>
  <c r="L164" i="96"/>
  <c r="T164" i="96" s="1"/>
  <c r="L170" i="96"/>
  <c r="T170" i="96" s="1"/>
  <c r="L171" i="96"/>
  <c r="T171" i="96" s="1"/>
  <c r="L172" i="96"/>
  <c r="T172" i="96" s="1"/>
  <c r="K164" i="96"/>
  <c r="S164" i="96" s="1"/>
  <c r="K170" i="96"/>
  <c r="S170" i="96" s="1"/>
  <c r="K171" i="96"/>
  <c r="S171" i="96" s="1"/>
  <c r="K172" i="96"/>
  <c r="S172" i="96" s="1"/>
  <c r="J164" i="96"/>
  <c r="R164" i="96" s="1"/>
  <c r="J170" i="96"/>
  <c r="R170" i="96" s="1"/>
  <c r="J171" i="96"/>
  <c r="R171" i="96" s="1"/>
  <c r="J172" i="96"/>
  <c r="R172" i="96" s="1"/>
  <c r="I164" i="96"/>
  <c r="Q164" i="96" s="1"/>
  <c r="I170" i="96"/>
  <c r="Q170" i="96" s="1"/>
  <c r="I171" i="96"/>
  <c r="Q171" i="96" s="1"/>
  <c r="I172" i="96"/>
  <c r="Q172" i="96" s="1"/>
  <c r="Q140" i="96"/>
  <c r="Q141" i="96"/>
  <c r="Q142" i="96"/>
  <c r="Q143" i="96"/>
  <c r="Q144" i="96"/>
  <c r="Q145" i="96"/>
  <c r="Q146" i="96"/>
  <c r="Q147" i="96"/>
  <c r="Q148" i="96"/>
  <c r="Q149" i="96"/>
  <c r="Q150" i="96"/>
  <c r="Q151" i="96"/>
  <c r="Q152" i="96"/>
  <c r="Q153" i="96"/>
  <c r="Q154" i="96"/>
  <c r="Q155" i="96"/>
  <c r="Q156" i="96"/>
  <c r="Q139" i="96"/>
  <c r="P144" i="96"/>
  <c r="P150" i="96"/>
  <c r="P151" i="96"/>
  <c r="P152" i="96"/>
  <c r="O140" i="96"/>
  <c r="O141" i="96"/>
  <c r="O142" i="96"/>
  <c r="O143" i="96"/>
  <c r="O144" i="96"/>
  <c r="O145" i="96"/>
  <c r="O146" i="96"/>
  <c r="O147" i="96"/>
  <c r="O148" i="96"/>
  <c r="O149" i="96"/>
  <c r="O150" i="96"/>
  <c r="O151" i="96"/>
  <c r="O152" i="96"/>
  <c r="O153" i="96"/>
  <c r="O154" i="96"/>
  <c r="O155" i="96"/>
  <c r="O156" i="96"/>
  <c r="O139" i="96"/>
  <c r="M140" i="96"/>
  <c r="M141" i="96"/>
  <c r="M142" i="96"/>
  <c r="M143" i="96"/>
  <c r="M144" i="96"/>
  <c r="M145" i="96"/>
  <c r="M146" i="96"/>
  <c r="M147" i="96"/>
  <c r="M148" i="96"/>
  <c r="M149" i="96"/>
  <c r="M150" i="96"/>
  <c r="M151" i="96"/>
  <c r="M152" i="96"/>
  <c r="M153" i="96"/>
  <c r="M154" i="96"/>
  <c r="M155" i="96"/>
  <c r="M156" i="96"/>
  <c r="M139" i="96"/>
  <c r="K140" i="96"/>
  <c r="K141" i="96"/>
  <c r="K142" i="96"/>
  <c r="K143" i="96"/>
  <c r="K144" i="96"/>
  <c r="K145" i="96"/>
  <c r="K146" i="96"/>
  <c r="K147" i="96"/>
  <c r="K148" i="96"/>
  <c r="K149" i="96"/>
  <c r="K150" i="96"/>
  <c r="K151" i="96"/>
  <c r="K152" i="96"/>
  <c r="K153" i="96"/>
  <c r="K154" i="96"/>
  <c r="K155" i="96"/>
  <c r="K156" i="96"/>
  <c r="I140" i="96"/>
  <c r="I141" i="96"/>
  <c r="I142" i="96"/>
  <c r="I143" i="96"/>
  <c r="I144" i="96"/>
  <c r="I145" i="96"/>
  <c r="I146" i="96"/>
  <c r="I147" i="96"/>
  <c r="I148" i="96"/>
  <c r="I149" i="96"/>
  <c r="I150" i="96"/>
  <c r="I151" i="96"/>
  <c r="I152" i="96"/>
  <c r="I153" i="96"/>
  <c r="I154" i="96"/>
  <c r="I155" i="96"/>
  <c r="I156" i="96"/>
  <c r="G140" i="96"/>
  <c r="G141" i="96"/>
  <c r="G142" i="96"/>
  <c r="G143" i="96"/>
  <c r="G144" i="96"/>
  <c r="G145" i="96"/>
  <c r="G146" i="96"/>
  <c r="G147" i="96"/>
  <c r="G148" i="96"/>
  <c r="G149" i="96"/>
  <c r="G150" i="96"/>
  <c r="G151" i="96"/>
  <c r="G152" i="96"/>
  <c r="G153" i="96"/>
  <c r="G154" i="96"/>
  <c r="G155" i="96"/>
  <c r="G156" i="96"/>
  <c r="E140" i="96"/>
  <c r="E141" i="96"/>
  <c r="E142" i="96"/>
  <c r="E143" i="96"/>
  <c r="E144" i="96"/>
  <c r="E145" i="96"/>
  <c r="E146" i="96"/>
  <c r="E147" i="96"/>
  <c r="E148" i="96"/>
  <c r="E149" i="96"/>
  <c r="E150" i="96"/>
  <c r="E151" i="96"/>
  <c r="E152" i="96"/>
  <c r="E153" i="96"/>
  <c r="E154" i="96"/>
  <c r="E155" i="96"/>
  <c r="E156" i="96"/>
  <c r="E139" i="96"/>
  <c r="G139" i="96"/>
  <c r="I139" i="96"/>
  <c r="K139" i="96"/>
  <c r="G85" i="95"/>
  <c r="G84" i="95"/>
  <c r="G83" i="95"/>
  <c r="G77" i="95"/>
  <c r="G63" i="95"/>
  <c r="G62" i="95"/>
  <c r="G61" i="95"/>
  <c r="G55" i="95"/>
  <c r="G41" i="95"/>
  <c r="G40" i="95"/>
  <c r="G39" i="95"/>
  <c r="G33" i="95"/>
  <c r="G11" i="95"/>
  <c r="G17" i="95"/>
  <c r="G18" i="95"/>
  <c r="G19" i="95"/>
  <c r="K111" i="96"/>
  <c r="K109" i="96"/>
  <c r="K109" i="93"/>
  <c r="K111" i="93"/>
  <c r="L25" i="94"/>
  <c r="G25" i="94"/>
  <c r="F25" i="94"/>
  <c r="R111" i="95"/>
  <c r="Q111" i="95"/>
  <c r="O111" i="95"/>
  <c r="N111" i="95"/>
  <c r="K111" i="95"/>
  <c r="J111" i="95"/>
  <c r="H111" i="95"/>
  <c r="G111" i="95"/>
  <c r="E111" i="95"/>
  <c r="D111" i="95"/>
  <c r="O89" i="95"/>
  <c r="O88" i="95"/>
  <c r="O87" i="95"/>
  <c r="O86" i="95"/>
  <c r="O85" i="95"/>
  <c r="O84" i="95"/>
  <c r="O83" i="95"/>
  <c r="O82" i="95"/>
  <c r="O81" i="95"/>
  <c r="O80" i="95"/>
  <c r="O79" i="95"/>
  <c r="O78" i="95"/>
  <c r="O77" i="95"/>
  <c r="O76" i="95"/>
  <c r="O75" i="95"/>
  <c r="O74" i="95"/>
  <c r="O73" i="95"/>
  <c r="O72" i="95"/>
  <c r="Z112" i="95" s="1"/>
  <c r="M67" i="95"/>
  <c r="R67" i="95" s="1"/>
  <c r="M66" i="95"/>
  <c r="M65" i="95"/>
  <c r="R65" i="95" s="1"/>
  <c r="M64" i="95"/>
  <c r="R64" i="95" s="1"/>
  <c r="M63" i="95"/>
  <c r="R63" i="95" s="1"/>
  <c r="M62" i="95"/>
  <c r="M61" i="95"/>
  <c r="R61" i="95" s="1"/>
  <c r="M60" i="95"/>
  <c r="R60" i="95" s="1"/>
  <c r="M59" i="95"/>
  <c r="R59" i="95" s="1"/>
  <c r="M58" i="95"/>
  <c r="M57" i="95"/>
  <c r="R57" i="95" s="1"/>
  <c r="M56" i="95"/>
  <c r="R56" i="95" s="1"/>
  <c r="M55" i="95"/>
  <c r="R55" i="95" s="1"/>
  <c r="M54" i="95"/>
  <c r="M53" i="95"/>
  <c r="M52" i="95"/>
  <c r="R52" i="95" s="1"/>
  <c r="M51" i="95"/>
  <c r="R51" i="95" s="1"/>
  <c r="M50" i="95"/>
  <c r="R50" i="95" s="1"/>
  <c r="O45" i="95"/>
  <c r="Z129" i="95" s="1"/>
  <c r="O44" i="95"/>
  <c r="Z128" i="95" s="1"/>
  <c r="O43" i="95"/>
  <c r="Z127" i="95" s="1"/>
  <c r="O42" i="95"/>
  <c r="Z126" i="95" s="1"/>
  <c r="O41" i="95"/>
  <c r="Z125" i="95" s="1"/>
  <c r="O40" i="95"/>
  <c r="O39" i="95"/>
  <c r="Z123" i="95" s="1"/>
  <c r="O38" i="95"/>
  <c r="Z122" i="95" s="1"/>
  <c r="O37" i="95"/>
  <c r="Z121" i="95" s="1"/>
  <c r="O36" i="95"/>
  <c r="O35" i="95"/>
  <c r="O34" i="95"/>
  <c r="Z118" i="95" s="1"/>
  <c r="O33" i="95"/>
  <c r="Z117" i="95" s="1"/>
  <c r="O32" i="95"/>
  <c r="Z116" i="95" s="1"/>
  <c r="O31" i="95"/>
  <c r="Z115" i="95" s="1"/>
  <c r="O30" i="95"/>
  <c r="Z114" i="95" s="1"/>
  <c r="O29" i="95"/>
  <c r="Z113" i="95" s="1"/>
  <c r="D134" i="96"/>
  <c r="J134" i="96" s="1"/>
  <c r="K176" i="96" s="1"/>
  <c r="S176" i="96" s="1"/>
  <c r="D133" i="96"/>
  <c r="D132" i="96"/>
  <c r="L132" i="96" s="1"/>
  <c r="L174" i="96" s="1"/>
  <c r="T174" i="96" s="1"/>
  <c r="D131" i="96"/>
  <c r="J131" i="96" s="1"/>
  <c r="D130" i="96"/>
  <c r="D129" i="96"/>
  <c r="D128" i="96"/>
  <c r="D127" i="96"/>
  <c r="H127" i="96" s="1"/>
  <c r="D126" i="96"/>
  <c r="L126" i="96" s="1"/>
  <c r="L168" i="96" s="1"/>
  <c r="T168" i="96" s="1"/>
  <c r="D125" i="96"/>
  <c r="D124" i="96"/>
  <c r="D123" i="96"/>
  <c r="J123" i="96" s="1"/>
  <c r="D122" i="96"/>
  <c r="D121" i="96"/>
  <c r="L121" i="96" s="1"/>
  <c r="L163" i="96" s="1"/>
  <c r="T163" i="96" s="1"/>
  <c r="D120" i="96"/>
  <c r="D119" i="96"/>
  <c r="D118" i="96"/>
  <c r="H118" i="96" s="1"/>
  <c r="J160" i="96" s="1"/>
  <c r="R160" i="96" s="1"/>
  <c r="D117" i="96"/>
  <c r="R117" i="96" s="1"/>
  <c r="K106" i="96"/>
  <c r="K104" i="96"/>
  <c r="K101" i="96"/>
  <c r="K99" i="96"/>
  <c r="K96" i="96"/>
  <c r="K94" i="96"/>
  <c r="K91" i="96"/>
  <c r="K89" i="96"/>
  <c r="K86" i="96"/>
  <c r="K84" i="96"/>
  <c r="K81" i="96"/>
  <c r="K79" i="96"/>
  <c r="K76" i="96"/>
  <c r="K74" i="96"/>
  <c r="K71" i="96"/>
  <c r="K69" i="96"/>
  <c r="K66" i="96"/>
  <c r="K64" i="96"/>
  <c r="K59" i="96"/>
  <c r="P48" i="96"/>
  <c r="N48" i="96"/>
  <c r="L48" i="96"/>
  <c r="J48" i="96"/>
  <c r="H48" i="96"/>
  <c r="F48" i="96"/>
  <c r="E47" i="96"/>
  <c r="E46" i="96"/>
  <c r="K46" i="96" s="1"/>
  <c r="E45" i="96"/>
  <c r="M45" i="96" s="1"/>
  <c r="E44" i="96"/>
  <c r="Q44" i="96" s="1"/>
  <c r="E43" i="96"/>
  <c r="K43" i="96" s="1"/>
  <c r="J152" i="96" s="1"/>
  <c r="E42" i="96"/>
  <c r="O42" i="96" s="1"/>
  <c r="R151" i="96" s="1"/>
  <c r="E41" i="96"/>
  <c r="E40" i="96"/>
  <c r="E39" i="96"/>
  <c r="E38" i="96"/>
  <c r="M38" i="96" s="1"/>
  <c r="E37" i="96"/>
  <c r="I37" i="96" s="1"/>
  <c r="E36" i="96"/>
  <c r="I36" i="96" s="1"/>
  <c r="E35" i="96"/>
  <c r="M35" i="96" s="1"/>
  <c r="L144" i="96" s="1"/>
  <c r="E34" i="96"/>
  <c r="I34" i="96" s="1"/>
  <c r="E33" i="96"/>
  <c r="E32" i="96"/>
  <c r="K32" i="96" s="1"/>
  <c r="E31" i="96"/>
  <c r="E30" i="96"/>
  <c r="O30" i="96" s="1"/>
  <c r="N24" i="96"/>
  <c r="L24" i="96"/>
  <c r="J24" i="96"/>
  <c r="H24" i="96"/>
  <c r="F24" i="96"/>
  <c r="E23" i="96"/>
  <c r="E22" i="96"/>
  <c r="E21" i="96"/>
  <c r="E20" i="96"/>
  <c r="M20" i="96" s="1"/>
  <c r="E19" i="96"/>
  <c r="E18" i="96"/>
  <c r="E17" i="96"/>
  <c r="K17" i="96" s="1"/>
  <c r="E16" i="96"/>
  <c r="I16" i="96" s="1"/>
  <c r="E15" i="96"/>
  <c r="E14" i="96"/>
  <c r="I14" i="96" s="1"/>
  <c r="E13" i="96"/>
  <c r="I13" i="96" s="1"/>
  <c r="E12" i="96"/>
  <c r="O12" i="96" s="1"/>
  <c r="E11" i="96"/>
  <c r="G11" i="96" s="1"/>
  <c r="E10" i="96"/>
  <c r="G10" i="96" s="1"/>
  <c r="E9" i="96"/>
  <c r="I9" i="96" s="1"/>
  <c r="E8" i="96"/>
  <c r="E7" i="96"/>
  <c r="G7" i="96" s="1"/>
  <c r="E6" i="96"/>
  <c r="M6" i="96" s="1"/>
  <c r="E5" i="96"/>
  <c r="I5" i="96" s="1"/>
  <c r="D134" i="93"/>
  <c r="D133" i="93"/>
  <c r="N133" i="93" s="1"/>
  <c r="D132" i="93"/>
  <c r="N132" i="93" s="1"/>
  <c r="D131" i="93"/>
  <c r="R131" i="93" s="1"/>
  <c r="D130" i="93"/>
  <c r="D129" i="93"/>
  <c r="D128" i="93"/>
  <c r="D127" i="93"/>
  <c r="N127" i="93" s="1"/>
  <c r="D126" i="93"/>
  <c r="D125" i="93"/>
  <c r="L125" i="93" s="1"/>
  <c r="D124" i="93"/>
  <c r="P124" i="93" s="1"/>
  <c r="D123" i="93"/>
  <c r="H123" i="93" s="1"/>
  <c r="D122" i="93"/>
  <c r="D121" i="93"/>
  <c r="R121" i="93" s="1"/>
  <c r="D120" i="93"/>
  <c r="D119" i="93"/>
  <c r="P119" i="93" s="1"/>
  <c r="D118" i="93"/>
  <c r="L118" i="93" s="1"/>
  <c r="D117" i="93"/>
  <c r="R134" i="96"/>
  <c r="R13" i="95"/>
  <c r="N133" i="96"/>
  <c r="F88" i="95" s="1"/>
  <c r="M88" i="95" s="1"/>
  <c r="R128" i="95" s="1"/>
  <c r="O35" i="96"/>
  <c r="R144" i="96" s="1"/>
  <c r="N121" i="96"/>
  <c r="L132" i="93"/>
  <c r="K106" i="93"/>
  <c r="K101" i="93"/>
  <c r="K96" i="93"/>
  <c r="K91" i="93"/>
  <c r="K86" i="93"/>
  <c r="K81" i="93"/>
  <c r="K76" i="93"/>
  <c r="K71" i="93"/>
  <c r="K66" i="93"/>
  <c r="K104" i="93"/>
  <c r="K99" i="93"/>
  <c r="K94" i="93"/>
  <c r="K89" i="93"/>
  <c r="K84" i="93"/>
  <c r="K79" i="93"/>
  <c r="K74" i="93"/>
  <c r="K69" i="93"/>
  <c r="K64" i="93"/>
  <c r="K59" i="93"/>
  <c r="E31" i="93"/>
  <c r="K31" i="93" s="1"/>
  <c r="E32" i="93"/>
  <c r="E33" i="93"/>
  <c r="O33" i="93" s="1"/>
  <c r="E34" i="93"/>
  <c r="K34" i="93" s="1"/>
  <c r="E35" i="93"/>
  <c r="K35" i="93" s="1"/>
  <c r="F11" i="92" s="1"/>
  <c r="E36" i="93"/>
  <c r="E37" i="93"/>
  <c r="Q37" i="93" s="1"/>
  <c r="I13" i="92" s="1"/>
  <c r="E38" i="93"/>
  <c r="O38" i="93" s="1"/>
  <c r="E39" i="93"/>
  <c r="G39" i="93" s="1"/>
  <c r="E40" i="93"/>
  <c r="O40" i="93" s="1"/>
  <c r="H16" i="92" s="1"/>
  <c r="E41" i="93"/>
  <c r="I41" i="93" s="1"/>
  <c r="E17" i="92" s="1"/>
  <c r="E42" i="93"/>
  <c r="E43" i="93"/>
  <c r="I43" i="93" s="1"/>
  <c r="E19" i="92" s="1"/>
  <c r="E44" i="93"/>
  <c r="M44" i="93" s="1"/>
  <c r="E45" i="93"/>
  <c r="M45" i="93" s="1"/>
  <c r="E46" i="93"/>
  <c r="E47" i="93"/>
  <c r="K47" i="93" s="1"/>
  <c r="E30" i="93"/>
  <c r="M30" i="93" s="1"/>
  <c r="N48" i="93"/>
  <c r="P48" i="93"/>
  <c r="L48" i="93"/>
  <c r="J48" i="93"/>
  <c r="H48" i="93"/>
  <c r="F48" i="93"/>
  <c r="N24" i="93"/>
  <c r="L24" i="93"/>
  <c r="J24" i="93"/>
  <c r="H24" i="93"/>
  <c r="F24" i="93"/>
  <c r="E23" i="93"/>
  <c r="K23" i="93" s="1"/>
  <c r="E22" i="93"/>
  <c r="O22" i="93" s="1"/>
  <c r="E21" i="93"/>
  <c r="G21" i="93" s="1"/>
  <c r="E20" i="93"/>
  <c r="E19" i="93"/>
  <c r="O19" i="93" s="1"/>
  <c r="E18" i="93"/>
  <c r="E17" i="93"/>
  <c r="E16" i="93"/>
  <c r="G16" i="93" s="1"/>
  <c r="E15" i="93"/>
  <c r="K15" i="93" s="1"/>
  <c r="E14" i="93"/>
  <c r="O14" i="93" s="1"/>
  <c r="E13" i="93"/>
  <c r="M13" i="93" s="1"/>
  <c r="E12" i="93"/>
  <c r="G12" i="93" s="1"/>
  <c r="E11" i="93"/>
  <c r="O11" i="93" s="1"/>
  <c r="E10" i="93"/>
  <c r="M10" i="93" s="1"/>
  <c r="E9" i="93"/>
  <c r="E8" i="93"/>
  <c r="E7" i="93"/>
  <c r="K7" i="93" s="1"/>
  <c r="E6" i="93"/>
  <c r="G6" i="93" s="1"/>
  <c r="E5" i="93"/>
  <c r="K5" i="93" s="1"/>
  <c r="R109" i="92"/>
  <c r="Q109" i="92"/>
  <c r="O109" i="92"/>
  <c r="N109" i="92"/>
  <c r="K109" i="92"/>
  <c r="J109" i="92"/>
  <c r="H109" i="92"/>
  <c r="G109" i="92"/>
  <c r="E109" i="92"/>
  <c r="D109" i="92"/>
  <c r="G104" i="92"/>
  <c r="L34" i="92" s="1"/>
  <c r="Q116" i="92" s="1"/>
  <c r="G102" i="92"/>
  <c r="G98" i="92"/>
  <c r="G96" i="92"/>
  <c r="G94" i="92"/>
  <c r="G92" i="92"/>
  <c r="N89" i="92"/>
  <c r="N88" i="92"/>
  <c r="L88" i="92"/>
  <c r="R126" i="92" s="1"/>
  <c r="N87" i="92"/>
  <c r="N86" i="92"/>
  <c r="N85" i="92"/>
  <c r="N84" i="92"/>
  <c r="N83" i="92"/>
  <c r="N82" i="92"/>
  <c r="N81" i="92"/>
  <c r="N80" i="92"/>
  <c r="N79" i="92"/>
  <c r="N78" i="92"/>
  <c r="N77" i="92"/>
  <c r="N76" i="92"/>
  <c r="N75" i="92"/>
  <c r="N74" i="92"/>
  <c r="N73" i="92"/>
  <c r="N72" i="92"/>
  <c r="L67" i="92"/>
  <c r="L66" i="92"/>
  <c r="L65" i="92"/>
  <c r="Q65" i="92" s="1"/>
  <c r="L64" i="92"/>
  <c r="L63" i="92"/>
  <c r="Q63" i="92" s="1"/>
  <c r="L62" i="92"/>
  <c r="L61" i="92"/>
  <c r="Q61" i="92" s="1"/>
  <c r="L60" i="92"/>
  <c r="L59" i="92"/>
  <c r="L58" i="92"/>
  <c r="Q58" i="92" s="1"/>
  <c r="L57" i="92"/>
  <c r="L56" i="92"/>
  <c r="L55" i="92"/>
  <c r="Q55" i="92" s="1"/>
  <c r="L54" i="92"/>
  <c r="L53" i="92"/>
  <c r="Q53" i="92" s="1"/>
  <c r="L52" i="92"/>
  <c r="Q52" i="92" s="1"/>
  <c r="L51" i="92"/>
  <c r="L50" i="92"/>
  <c r="N45" i="92"/>
  <c r="N44" i="92"/>
  <c r="N43" i="92"/>
  <c r="N42" i="92"/>
  <c r="Z124" i="92" s="1"/>
  <c r="N41" i="92"/>
  <c r="Z123" i="92" s="1"/>
  <c r="N40" i="92"/>
  <c r="N39" i="92"/>
  <c r="N38" i="92"/>
  <c r="Z120" i="92" s="1"/>
  <c r="N37" i="92"/>
  <c r="N36" i="92"/>
  <c r="N35" i="92"/>
  <c r="N34" i="92"/>
  <c r="Z116" i="92" s="1"/>
  <c r="N33" i="92"/>
  <c r="Z115" i="92" s="1"/>
  <c r="N32" i="92"/>
  <c r="N31" i="92"/>
  <c r="N30" i="92"/>
  <c r="Z112" i="92" s="1"/>
  <c r="N29" i="92"/>
  <c r="Z111" i="92" s="1"/>
  <c r="N28" i="92"/>
  <c r="L23" i="92"/>
  <c r="Q23" i="92" s="1"/>
  <c r="L22" i="92"/>
  <c r="V126" i="92" s="1"/>
  <c r="E100" i="96" s="1"/>
  <c r="L21" i="92"/>
  <c r="L20" i="92"/>
  <c r="Q20" i="92" s="1"/>
  <c r="L19" i="92"/>
  <c r="L18" i="92"/>
  <c r="Q18" i="92" s="1"/>
  <c r="L17" i="92"/>
  <c r="L16" i="92"/>
  <c r="Q16" i="92" s="1"/>
  <c r="L15" i="92"/>
  <c r="V119" i="92" s="1"/>
  <c r="O10" i="91" s="1"/>
  <c r="Z10" i="91" s="1"/>
  <c r="L14" i="92"/>
  <c r="Q14" i="92" s="1"/>
  <c r="Y118" i="92" s="1"/>
  <c r="L13" i="92"/>
  <c r="Q13" i="92" s="1"/>
  <c r="L12" i="92"/>
  <c r="L11" i="92"/>
  <c r="Q11" i="92" s="1"/>
  <c r="Y115" i="92" s="1"/>
  <c r="L10" i="92"/>
  <c r="Q10" i="92" s="1"/>
  <c r="L9" i="92"/>
  <c r="Q9" i="92" s="1"/>
  <c r="L8" i="92"/>
  <c r="Q8" i="92" s="1"/>
  <c r="Y112" i="92" s="1"/>
  <c r="L7" i="92"/>
  <c r="Q7" i="92" s="1"/>
  <c r="L6" i="92"/>
  <c r="Q6" i="92" s="1"/>
  <c r="L25" i="91"/>
  <c r="G25" i="91"/>
  <c r="F25" i="91"/>
  <c r="E23" i="91"/>
  <c r="D23" i="91"/>
  <c r="E22" i="91"/>
  <c r="D22" i="91"/>
  <c r="AE21" i="91"/>
  <c r="E20" i="91"/>
  <c r="D20" i="91"/>
  <c r="E19" i="91"/>
  <c r="D19" i="91"/>
  <c r="E18" i="91"/>
  <c r="D18" i="91"/>
  <c r="E17" i="91"/>
  <c r="D17" i="91"/>
  <c r="AE16" i="91"/>
  <c r="E15" i="91"/>
  <c r="D15" i="91"/>
  <c r="E14" i="91"/>
  <c r="D14" i="91"/>
  <c r="E13" i="91"/>
  <c r="D13" i="91"/>
  <c r="E12" i="91"/>
  <c r="D12" i="91"/>
  <c r="E11" i="91"/>
  <c r="D11" i="91"/>
  <c r="E10" i="91"/>
  <c r="D10" i="91"/>
  <c r="E9" i="91"/>
  <c r="D9" i="91"/>
  <c r="E8" i="91"/>
  <c r="D8" i="91"/>
  <c r="E7" i="91"/>
  <c r="D7" i="91"/>
  <c r="E6" i="91"/>
  <c r="D6" i="91"/>
  <c r="E5" i="91"/>
  <c r="D5" i="91"/>
  <c r="E4" i="91"/>
  <c r="G40" i="93"/>
  <c r="D16" i="92" s="1"/>
  <c r="K19" i="93"/>
  <c r="M15" i="93"/>
  <c r="M37" i="93"/>
  <c r="G13" i="92" s="1"/>
  <c r="B6" i="89"/>
  <c r="F6" i="89" s="1"/>
  <c r="H22" i="83"/>
  <c r="H21" i="83"/>
  <c r="B15" i="83"/>
  <c r="D15" i="83"/>
  <c r="AE16" i="84"/>
  <c r="AE21" i="84"/>
  <c r="H15" i="83"/>
  <c r="D4" i="84"/>
  <c r="E4" i="84"/>
  <c r="E17" i="84"/>
  <c r="D17" i="84"/>
  <c r="E12" i="84"/>
  <c r="D12" i="84"/>
  <c r="E10" i="84"/>
  <c r="D10" i="84"/>
  <c r="E5" i="84"/>
  <c r="D5" i="84"/>
  <c r="D11" i="89"/>
  <c r="F11" i="89" s="1"/>
  <c r="D10" i="89"/>
  <c r="F10" i="89" s="1"/>
  <c r="D8" i="89"/>
  <c r="H27" i="83"/>
  <c r="H26" i="83"/>
  <c r="H25" i="83"/>
  <c r="H66" i="83"/>
  <c r="H65" i="83"/>
  <c r="H64" i="83"/>
  <c r="H63" i="83"/>
  <c r="H38" i="83"/>
  <c r="H37" i="83"/>
  <c r="H35" i="83"/>
  <c r="H34" i="83"/>
  <c r="D21" i="87"/>
  <c r="K23" i="84" s="1"/>
  <c r="D20" i="87"/>
  <c r="D19" i="87"/>
  <c r="D18" i="87"/>
  <c r="K17" i="91" s="1"/>
  <c r="D17" i="87"/>
  <c r="D16" i="87"/>
  <c r="D15" i="87"/>
  <c r="D14" i="87"/>
  <c r="K6" i="91" s="1"/>
  <c r="D13" i="87"/>
  <c r="D12" i="87"/>
  <c r="D11" i="87"/>
  <c r="D10" i="87"/>
  <c r="K14" i="91" s="1"/>
  <c r="D9" i="87"/>
  <c r="K7" i="84" s="1"/>
  <c r="D8" i="87"/>
  <c r="D7" i="87"/>
  <c r="D6" i="87"/>
  <c r="D5" i="87"/>
  <c r="D4" i="87"/>
  <c r="AQ26" i="86"/>
  <c r="AP26" i="86"/>
  <c r="AO26" i="86"/>
  <c r="AN26" i="86"/>
  <c r="B8" i="89" s="1"/>
  <c r="AS25" i="86"/>
  <c r="AS24" i="86"/>
  <c r="AS23" i="86"/>
  <c r="AS22" i="86"/>
  <c r="AS21" i="86"/>
  <c r="AR20" i="86"/>
  <c r="AS20" i="86" s="1"/>
  <c r="AS19" i="86"/>
  <c r="AS18" i="86"/>
  <c r="AS17" i="86"/>
  <c r="AS16" i="86"/>
  <c r="AS15" i="86"/>
  <c r="AS14" i="86"/>
  <c r="AS13" i="86"/>
  <c r="AS12" i="86"/>
  <c r="AS11" i="86"/>
  <c r="AS10" i="86"/>
  <c r="AS9" i="86"/>
  <c r="AS8" i="86"/>
  <c r="AS7" i="86"/>
  <c r="AD64" i="86"/>
  <c r="AC64" i="86"/>
  <c r="AB64" i="86"/>
  <c r="AA64" i="86"/>
  <c r="Z64" i="86"/>
  <c r="AC62" i="86"/>
  <c r="AB62" i="86"/>
  <c r="AA62" i="86"/>
  <c r="F55" i="86"/>
  <c r="G54" i="86"/>
  <c r="G53" i="86"/>
  <c r="G52" i="86"/>
  <c r="AJ26" i="86"/>
  <c r="AI26" i="86"/>
  <c r="AH26" i="86"/>
  <c r="AG26" i="86"/>
  <c r="Y26" i="86"/>
  <c r="AL25" i="86"/>
  <c r="AA25" i="86"/>
  <c r="AE25" i="86" s="1"/>
  <c r="Y25" i="86"/>
  <c r="AL24" i="86"/>
  <c r="Z24" i="86"/>
  <c r="AE24" i="86" s="1"/>
  <c r="Y24" i="86"/>
  <c r="X24" i="86"/>
  <c r="AL23" i="86"/>
  <c r="AA23" i="86"/>
  <c r="Z23" i="86"/>
  <c r="Y23" i="86"/>
  <c r="X23" i="86"/>
  <c r="AL22" i="86"/>
  <c r="AC22" i="86"/>
  <c r="AE22" i="86" s="1"/>
  <c r="V22" i="86"/>
  <c r="Y22" i="86" s="1"/>
  <c r="AL21" i="86"/>
  <c r="AC21" i="86"/>
  <c r="Z21" i="86"/>
  <c r="X21" i="86"/>
  <c r="V21" i="86"/>
  <c r="Y21" i="86" s="1"/>
  <c r="AK20" i="86"/>
  <c r="AD20" i="86"/>
  <c r="AC20" i="86"/>
  <c r="Z20" i="86"/>
  <c r="X20" i="86"/>
  <c r="V20" i="86"/>
  <c r="Y20" i="86" s="1"/>
  <c r="AL19" i="86"/>
  <c r="AA19" i="86"/>
  <c r="Y19" i="86"/>
  <c r="AL18" i="86"/>
  <c r="AD18" i="86"/>
  <c r="AB18" i="86"/>
  <c r="AA18" i="86"/>
  <c r="Y18" i="86"/>
  <c r="X18" i="86"/>
  <c r="AL17" i="86"/>
  <c r="AB17" i="86"/>
  <c r="Z17" i="86"/>
  <c r="Y17" i="86"/>
  <c r="X17" i="86"/>
  <c r="H17" i="86"/>
  <c r="AL16" i="86"/>
  <c r="AE16" i="86"/>
  <c r="Y16" i="86"/>
  <c r="AL15" i="86"/>
  <c r="AC15" i="86"/>
  <c r="Z15" i="86"/>
  <c r="V15" i="86"/>
  <c r="Y15" i="86" s="1"/>
  <c r="AL14" i="86"/>
  <c r="Z14" i="86"/>
  <c r="AE14" i="86" s="1"/>
  <c r="Y14" i="86"/>
  <c r="S14" i="86"/>
  <c r="AL13" i="86"/>
  <c r="AE13" i="86"/>
  <c r="Y13" i="86"/>
  <c r="X13" i="86"/>
  <c r="AL12" i="86"/>
  <c r="Z12" i="86"/>
  <c r="Y12" i="86"/>
  <c r="X12" i="86"/>
  <c r="AL11" i="86"/>
  <c r="AE11" i="86"/>
  <c r="Y11" i="86"/>
  <c r="AL10" i="86"/>
  <c r="AC10" i="86"/>
  <c r="AB10" i="86"/>
  <c r="Y10" i="86"/>
  <c r="AL9" i="86"/>
  <c r="AE9" i="86"/>
  <c r="Y9" i="86"/>
  <c r="AL8" i="86"/>
  <c r="AE8" i="86"/>
  <c r="Y8" i="86"/>
  <c r="AL7" i="86"/>
  <c r="AC7" i="86"/>
  <c r="Z7" i="86"/>
  <c r="X7" i="86"/>
  <c r="V7" i="86"/>
  <c r="Y7" i="86" s="1"/>
  <c r="D5" i="83"/>
  <c r="R107" i="85"/>
  <c r="Q107" i="85"/>
  <c r="O107" i="85"/>
  <c r="N107" i="85"/>
  <c r="K107" i="85"/>
  <c r="J107" i="85"/>
  <c r="H107" i="85"/>
  <c r="G107" i="85"/>
  <c r="E107" i="85"/>
  <c r="D107" i="85"/>
  <c r="G102" i="85"/>
  <c r="G100" i="85"/>
  <c r="G98" i="85"/>
  <c r="G96" i="85"/>
  <c r="G94" i="85"/>
  <c r="G92" i="85"/>
  <c r="M89" i="85"/>
  <c r="M88" i="85"/>
  <c r="M87" i="85"/>
  <c r="M86" i="85"/>
  <c r="M85" i="85"/>
  <c r="M84" i="85"/>
  <c r="M83" i="85"/>
  <c r="M82" i="85"/>
  <c r="M81" i="85"/>
  <c r="M80" i="85"/>
  <c r="M79" i="85"/>
  <c r="M78" i="85"/>
  <c r="M77" i="85"/>
  <c r="M76" i="85"/>
  <c r="M75" i="85"/>
  <c r="M74" i="85"/>
  <c r="M73" i="85"/>
  <c r="M72" i="85"/>
  <c r="K67" i="85"/>
  <c r="P67" i="85" s="1"/>
  <c r="K66" i="85"/>
  <c r="K65" i="85"/>
  <c r="K64" i="85"/>
  <c r="P64" i="85" s="1"/>
  <c r="K63" i="85"/>
  <c r="P63" i="85" s="1"/>
  <c r="K62" i="85"/>
  <c r="K61" i="85"/>
  <c r="P61" i="85" s="1"/>
  <c r="K60" i="85"/>
  <c r="P60" i="85" s="1"/>
  <c r="K59" i="85"/>
  <c r="K58" i="85"/>
  <c r="K57" i="85"/>
  <c r="P57" i="85" s="1"/>
  <c r="K56" i="85"/>
  <c r="P56" i="85" s="1"/>
  <c r="K55" i="85"/>
  <c r="P55" i="85" s="1"/>
  <c r="K54" i="85"/>
  <c r="P54" i="85" s="1"/>
  <c r="K53" i="85"/>
  <c r="P53" i="85" s="1"/>
  <c r="K52" i="85"/>
  <c r="K51" i="85"/>
  <c r="P51" i="85" s="1"/>
  <c r="K50" i="85"/>
  <c r="P50" i="85" s="1"/>
  <c r="M45" i="85"/>
  <c r="M44" i="85"/>
  <c r="Z124" i="85" s="1"/>
  <c r="M43" i="85"/>
  <c r="M42" i="85"/>
  <c r="M41" i="85"/>
  <c r="M40" i="85"/>
  <c r="Z120" i="85" s="1"/>
  <c r="M39" i="85"/>
  <c r="M38" i="85"/>
  <c r="M37" i="85"/>
  <c r="M36" i="85"/>
  <c r="Z116" i="85" s="1"/>
  <c r="M35" i="85"/>
  <c r="M34" i="85"/>
  <c r="M33" i="85"/>
  <c r="M32" i="85"/>
  <c r="Z112" i="85" s="1"/>
  <c r="M31" i="85"/>
  <c r="Z111" i="85" s="1"/>
  <c r="M30" i="85"/>
  <c r="M29" i="85"/>
  <c r="M28" i="85"/>
  <c r="Z108" i="85" s="1"/>
  <c r="K23" i="85"/>
  <c r="K22" i="85"/>
  <c r="P22" i="85" s="1"/>
  <c r="K21" i="85"/>
  <c r="P21" i="85" s="1"/>
  <c r="K20" i="85"/>
  <c r="K19" i="85"/>
  <c r="V121" i="85" s="1"/>
  <c r="O20" i="84" s="1"/>
  <c r="K18" i="85"/>
  <c r="P18" i="85" s="1"/>
  <c r="K17" i="85"/>
  <c r="K16" i="85"/>
  <c r="K15" i="85"/>
  <c r="P15" i="85" s="1"/>
  <c r="K14" i="85"/>
  <c r="P14" i="85" s="1"/>
  <c r="K13" i="85"/>
  <c r="V115" i="85" s="1"/>
  <c r="O9" i="84" s="1"/>
  <c r="Z9" i="84" s="1"/>
  <c r="K12" i="85"/>
  <c r="P12" i="85" s="1"/>
  <c r="K11" i="85"/>
  <c r="P11" i="85" s="1"/>
  <c r="K10" i="85"/>
  <c r="K9" i="85"/>
  <c r="P9" i="85" s="1"/>
  <c r="Y111" i="85" s="1"/>
  <c r="K8" i="85"/>
  <c r="K7" i="85"/>
  <c r="V109" i="85" s="1"/>
  <c r="O5" i="84" s="1"/>
  <c r="K6" i="85"/>
  <c r="L25" i="84"/>
  <c r="G25" i="84"/>
  <c r="F25" i="84"/>
  <c r="B5" i="89" s="1"/>
  <c r="E23" i="84"/>
  <c r="D23" i="84"/>
  <c r="E22" i="84"/>
  <c r="D22" i="84"/>
  <c r="E20" i="84"/>
  <c r="D20" i="84"/>
  <c r="E19" i="84"/>
  <c r="D19" i="84"/>
  <c r="E18" i="84"/>
  <c r="D18" i="84"/>
  <c r="E15" i="84"/>
  <c r="D11" i="83" s="1"/>
  <c r="D15" i="84"/>
  <c r="D10" i="83" s="1"/>
  <c r="E14" i="84"/>
  <c r="D14" i="84"/>
  <c r="E13" i="84"/>
  <c r="D13" i="84"/>
  <c r="E11" i="84"/>
  <c r="D11" i="84"/>
  <c r="E9" i="84"/>
  <c r="D9" i="84"/>
  <c r="E8" i="84"/>
  <c r="D8" i="84"/>
  <c r="E7" i="84"/>
  <c r="D7" i="84"/>
  <c r="E6" i="84"/>
  <c r="D6" i="84"/>
  <c r="E20" i="74"/>
  <c r="C6" i="76" s="1"/>
  <c r="D20" i="74"/>
  <c r="H23" i="61"/>
  <c r="H24" i="80"/>
  <c r="M72" i="78"/>
  <c r="M29" i="78"/>
  <c r="M28" i="78"/>
  <c r="E23" i="79"/>
  <c r="E22" i="79"/>
  <c r="D23" i="79"/>
  <c r="D22" i="79"/>
  <c r="E20" i="79"/>
  <c r="E19" i="79"/>
  <c r="E18" i="79"/>
  <c r="E17" i="79"/>
  <c r="D20" i="79"/>
  <c r="D19" i="79"/>
  <c r="D18" i="79"/>
  <c r="D17" i="79"/>
  <c r="E15" i="79"/>
  <c r="E14" i="79"/>
  <c r="E13" i="79"/>
  <c r="E12" i="79"/>
  <c r="E11" i="79"/>
  <c r="E10" i="79"/>
  <c r="E9" i="79"/>
  <c r="E8" i="79"/>
  <c r="E7" i="79"/>
  <c r="D15" i="79"/>
  <c r="D14" i="79"/>
  <c r="D10" i="80" s="1"/>
  <c r="D13" i="79"/>
  <c r="D12" i="79"/>
  <c r="D11" i="79"/>
  <c r="D10" i="79"/>
  <c r="D9" i="79"/>
  <c r="D8" i="79"/>
  <c r="D7" i="79"/>
  <c r="E6" i="79"/>
  <c r="E5" i="79"/>
  <c r="D6" i="79"/>
  <c r="D5" i="79"/>
  <c r="E4" i="79"/>
  <c r="B11" i="61" s="1"/>
  <c r="D4" i="79"/>
  <c r="B10" i="61" s="1"/>
  <c r="H43" i="61"/>
  <c r="H41" i="61"/>
  <c r="D16" i="61"/>
  <c r="H42" i="80"/>
  <c r="H23" i="80"/>
  <c r="H17" i="80"/>
  <c r="D17" i="80"/>
  <c r="B16" i="61"/>
  <c r="K6" i="78"/>
  <c r="P6" i="78" s="1"/>
  <c r="K22" i="78"/>
  <c r="F7" i="82"/>
  <c r="F10" i="82"/>
  <c r="F9" i="82"/>
  <c r="D12" i="82"/>
  <c r="D14" i="82" s="1"/>
  <c r="R107" i="73"/>
  <c r="Q107" i="73"/>
  <c r="O107" i="73"/>
  <c r="N107" i="73"/>
  <c r="K107" i="73"/>
  <c r="J107" i="73"/>
  <c r="H107" i="73"/>
  <c r="G107" i="73"/>
  <c r="E107" i="73"/>
  <c r="D107" i="73"/>
  <c r="M89" i="73"/>
  <c r="M88" i="73"/>
  <c r="M87" i="73"/>
  <c r="M86" i="73"/>
  <c r="M85" i="73"/>
  <c r="M84" i="73"/>
  <c r="M83" i="73"/>
  <c r="M82" i="73"/>
  <c r="M81" i="73"/>
  <c r="M80" i="73"/>
  <c r="M79" i="73"/>
  <c r="M78" i="73"/>
  <c r="M77" i="73"/>
  <c r="M76" i="73"/>
  <c r="M75" i="73"/>
  <c r="M74" i="73"/>
  <c r="M73" i="73"/>
  <c r="M72" i="73"/>
  <c r="K67" i="73"/>
  <c r="K66" i="73"/>
  <c r="O66" i="73" s="1"/>
  <c r="K65" i="73"/>
  <c r="K64" i="73"/>
  <c r="K63" i="73"/>
  <c r="K62" i="73"/>
  <c r="K61" i="73"/>
  <c r="K60" i="73"/>
  <c r="K59" i="73"/>
  <c r="K58" i="73"/>
  <c r="K57" i="73"/>
  <c r="O57" i="73" s="1"/>
  <c r="K56" i="73"/>
  <c r="K55" i="73"/>
  <c r="K54" i="73"/>
  <c r="K53" i="73"/>
  <c r="O53" i="73" s="1"/>
  <c r="K52" i="73"/>
  <c r="K51" i="73"/>
  <c r="K50" i="73"/>
  <c r="O50" i="73" s="1"/>
  <c r="M45" i="73"/>
  <c r="Z125" i="73" s="1"/>
  <c r="M44" i="73"/>
  <c r="Z124" i="73" s="1"/>
  <c r="M43" i="73"/>
  <c r="M42" i="73"/>
  <c r="Z122" i="73" s="1"/>
  <c r="M41" i="73"/>
  <c r="Z121" i="73" s="1"/>
  <c r="M40" i="73"/>
  <c r="Z120" i="73" s="1"/>
  <c r="M39" i="73"/>
  <c r="M38" i="73"/>
  <c r="M37" i="73"/>
  <c r="M36" i="73"/>
  <c r="M35" i="73"/>
  <c r="M34" i="73"/>
  <c r="M33" i="73"/>
  <c r="M32" i="73"/>
  <c r="M31" i="73"/>
  <c r="M30" i="73"/>
  <c r="M29" i="73"/>
  <c r="M28" i="73"/>
  <c r="K23" i="73"/>
  <c r="P23" i="73" s="1"/>
  <c r="K22" i="73"/>
  <c r="K21" i="73"/>
  <c r="P21" i="73" s="1"/>
  <c r="K20" i="73"/>
  <c r="N20" i="73" s="1"/>
  <c r="N122" i="73" s="1"/>
  <c r="K19" i="73"/>
  <c r="K18" i="73"/>
  <c r="K17" i="73"/>
  <c r="P17" i="73" s="1"/>
  <c r="K16" i="73"/>
  <c r="P16" i="73" s="1"/>
  <c r="K15" i="73"/>
  <c r="K14" i="73"/>
  <c r="K13" i="73"/>
  <c r="K12" i="73"/>
  <c r="K11" i="73"/>
  <c r="N11" i="73" s="1"/>
  <c r="N113" i="73" s="1"/>
  <c r="K10" i="73"/>
  <c r="P10" i="73" s="1"/>
  <c r="K9" i="73"/>
  <c r="K8" i="73"/>
  <c r="P8" i="73" s="1"/>
  <c r="K7" i="73"/>
  <c r="N7" i="73" s="1"/>
  <c r="N109" i="73" s="1"/>
  <c r="K6" i="73"/>
  <c r="N6" i="73" s="1"/>
  <c r="N108" i="73" s="1"/>
  <c r="K41" i="73"/>
  <c r="Q121" i="73" s="1"/>
  <c r="K85" i="73"/>
  <c r="R121" i="73" s="1"/>
  <c r="K32" i="73"/>
  <c r="Q112" i="73" s="1"/>
  <c r="K76" i="73"/>
  <c r="R112" i="73" s="1"/>
  <c r="K77" i="73"/>
  <c r="R113" i="73" s="1"/>
  <c r="K33" i="73"/>
  <c r="K75" i="73"/>
  <c r="R111" i="73" s="1"/>
  <c r="K31" i="73"/>
  <c r="K86" i="73"/>
  <c r="K42" i="73"/>
  <c r="Q122" i="73" s="1"/>
  <c r="K38" i="73"/>
  <c r="Q118" i="73" s="1"/>
  <c r="K82" i="73"/>
  <c r="R118" i="73" s="1"/>
  <c r="K43" i="73"/>
  <c r="Q123" i="73" s="1"/>
  <c r="K87" i="73"/>
  <c r="K30" i="73"/>
  <c r="Q110" i="73" s="1"/>
  <c r="K74" i="73"/>
  <c r="R110" i="73" s="1"/>
  <c r="K83" i="73"/>
  <c r="R119" i="73" s="1"/>
  <c r="K39" i="73"/>
  <c r="Q119" i="73" s="1"/>
  <c r="K73" i="73"/>
  <c r="R109" i="73" s="1"/>
  <c r="K29" i="73"/>
  <c r="Q109" i="73" s="1"/>
  <c r="K78" i="73"/>
  <c r="R114" i="73" s="1"/>
  <c r="K34" i="73"/>
  <c r="Q114" i="73" s="1"/>
  <c r="K88" i="73"/>
  <c r="R124" i="73" s="1"/>
  <c r="K44" i="73"/>
  <c r="K81" i="73"/>
  <c r="R117" i="73" s="1"/>
  <c r="K37" i="73"/>
  <c r="Q117" i="73" s="1"/>
  <c r="K45" i="73"/>
  <c r="Q125" i="73" s="1"/>
  <c r="K89" i="73"/>
  <c r="R125" i="73" s="1"/>
  <c r="K72" i="73"/>
  <c r="R108" i="73" s="1"/>
  <c r="K28" i="73"/>
  <c r="Q108" i="73" s="1"/>
  <c r="K80" i="73"/>
  <c r="R116" i="73" s="1"/>
  <c r="K36" i="73"/>
  <c r="Q116" i="73" s="1"/>
  <c r="K79" i="73"/>
  <c r="R115" i="73" s="1"/>
  <c r="K35" i="73"/>
  <c r="Q115" i="73" s="1"/>
  <c r="K84" i="73"/>
  <c r="R120" i="73" s="1"/>
  <c r="K40" i="73"/>
  <c r="Q120" i="73" s="1"/>
  <c r="M22" i="73"/>
  <c r="J33" i="73"/>
  <c r="J113" i="73" s="1"/>
  <c r="L20" i="73"/>
  <c r="D122" i="73" s="1"/>
  <c r="M64" i="73"/>
  <c r="H122" i="73" s="1"/>
  <c r="L66" i="73"/>
  <c r="E124" i="73" s="1"/>
  <c r="L18" i="73"/>
  <c r="D120" i="73" s="1"/>
  <c r="J86" i="73"/>
  <c r="K122" i="73" s="1"/>
  <c r="J44" i="73"/>
  <c r="J124" i="73" s="1"/>
  <c r="J79" i="73"/>
  <c r="J40" i="73"/>
  <c r="J72" i="73"/>
  <c r="M55" i="73"/>
  <c r="H113" i="73" s="1"/>
  <c r="J35" i="73"/>
  <c r="J84" i="73"/>
  <c r="J77" i="73"/>
  <c r="J42" i="73"/>
  <c r="L22" i="73"/>
  <c r="D124" i="73" s="1"/>
  <c r="J37" i="73"/>
  <c r="J88" i="73"/>
  <c r="L64" i="73"/>
  <c r="E122" i="73" s="1"/>
  <c r="J45" i="73"/>
  <c r="J83" i="73"/>
  <c r="K119" i="73" s="1"/>
  <c r="J32" i="73"/>
  <c r="J112" i="73" s="1"/>
  <c r="L57" i="73"/>
  <c r="E115" i="73" s="1"/>
  <c r="L62" i="73"/>
  <c r="E120" i="73" s="1"/>
  <c r="L11" i="73"/>
  <c r="D113" i="73" s="1"/>
  <c r="M18" i="73"/>
  <c r="G120" i="73" s="1"/>
  <c r="M13" i="73"/>
  <c r="G115" i="73" s="1"/>
  <c r="L55" i="73"/>
  <c r="E113" i="73" s="1"/>
  <c r="J76" i="73"/>
  <c r="K112" i="73" s="1"/>
  <c r="M62" i="73"/>
  <c r="H120" i="73" s="1"/>
  <c r="L13" i="73"/>
  <c r="D115" i="73" s="1"/>
  <c r="F115" i="73" s="1"/>
  <c r="J78" i="73"/>
  <c r="K114" i="73" s="1"/>
  <c r="J43" i="73"/>
  <c r="J123" i="73" s="1"/>
  <c r="M57" i="73"/>
  <c r="H115" i="73" s="1"/>
  <c r="L7" i="73"/>
  <c r="M7" i="73"/>
  <c r="G109" i="73" s="1"/>
  <c r="M8" i="73"/>
  <c r="G110" i="73" s="1"/>
  <c r="L8" i="73"/>
  <c r="M16" i="73"/>
  <c r="G118" i="73" s="1"/>
  <c r="L16" i="73"/>
  <c r="D118" i="73" s="1"/>
  <c r="M6" i="73"/>
  <c r="G108" i="73" s="1"/>
  <c r="L6" i="73"/>
  <c r="D108" i="73" s="1"/>
  <c r="L53" i="73"/>
  <c r="E111" i="73" s="1"/>
  <c r="M53" i="73"/>
  <c r="H111" i="73" s="1"/>
  <c r="J81" i="73"/>
  <c r="J87" i="73"/>
  <c r="K123" i="73" s="1"/>
  <c r="J29" i="73"/>
  <c r="J109" i="73" s="1"/>
  <c r="J74" i="73"/>
  <c r="J38" i="73"/>
  <c r="L50" i="73"/>
  <c r="E108" i="73" s="1"/>
  <c r="M50" i="73"/>
  <c r="H108" i="73" s="1"/>
  <c r="J31" i="73"/>
  <c r="J111" i="73" s="1"/>
  <c r="M10" i="73"/>
  <c r="G112" i="73" s="1"/>
  <c r="L10" i="73"/>
  <c r="M20" i="73"/>
  <c r="J85" i="73"/>
  <c r="L56" i="73"/>
  <c r="E114" i="73" s="1"/>
  <c r="M56" i="73"/>
  <c r="H114" i="73" s="1"/>
  <c r="J36" i="73"/>
  <c r="J116" i="73" s="1"/>
  <c r="L15" i="73"/>
  <c r="D117" i="73" s="1"/>
  <c r="M15" i="73"/>
  <c r="G117" i="73" s="1"/>
  <c r="L67" i="73"/>
  <c r="E125" i="73" s="1"/>
  <c r="M67" i="73"/>
  <c r="H125" i="73" s="1"/>
  <c r="J39" i="73"/>
  <c r="L65" i="73"/>
  <c r="E123" i="73" s="1"/>
  <c r="M65" i="73"/>
  <c r="H123" i="73" s="1"/>
  <c r="L51" i="73"/>
  <c r="E109" i="73" s="1"/>
  <c r="M51" i="73"/>
  <c r="H109" i="73" s="1"/>
  <c r="L52" i="73"/>
  <c r="E110" i="73" s="1"/>
  <c r="M52" i="73"/>
  <c r="H110" i="73" s="1"/>
  <c r="L60" i="73"/>
  <c r="E118" i="73" s="1"/>
  <c r="M60" i="73"/>
  <c r="H118" i="73" s="1"/>
  <c r="M9" i="73"/>
  <c r="G111" i="73" s="1"/>
  <c r="L9" i="73"/>
  <c r="L63" i="73"/>
  <c r="E121" i="73" s="1"/>
  <c r="M63" i="73"/>
  <c r="H121" i="73" s="1"/>
  <c r="M14" i="73"/>
  <c r="L14" i="73"/>
  <c r="D116" i="73" s="1"/>
  <c r="L23" i="73"/>
  <c r="D125" i="73" s="1"/>
  <c r="M23" i="73"/>
  <c r="M66" i="73"/>
  <c r="H124" i="73" s="1"/>
  <c r="L19" i="73"/>
  <c r="D121" i="73" s="1"/>
  <c r="M19" i="73"/>
  <c r="M12" i="73"/>
  <c r="G114" i="73" s="1"/>
  <c r="L12" i="73"/>
  <c r="D114" i="73" s="1"/>
  <c r="J80" i="73"/>
  <c r="M11" i="73"/>
  <c r="M17" i="73"/>
  <c r="G119" i="73" s="1"/>
  <c r="L17" i="73"/>
  <c r="J73" i="73"/>
  <c r="J30" i="73"/>
  <c r="J82" i="73"/>
  <c r="J28" i="73"/>
  <c r="J75" i="73"/>
  <c r="L54" i="73"/>
  <c r="E112" i="73" s="1"/>
  <c r="M54" i="73"/>
  <c r="H112" i="73" s="1"/>
  <c r="J41" i="73"/>
  <c r="J34" i="73"/>
  <c r="L58" i="73"/>
  <c r="E116" i="73" s="1"/>
  <c r="M58" i="73"/>
  <c r="H116" i="73" s="1"/>
  <c r="L59" i="73"/>
  <c r="E117" i="73" s="1"/>
  <c r="M59" i="73"/>
  <c r="H117" i="73" s="1"/>
  <c r="J89" i="73"/>
  <c r="L61" i="73"/>
  <c r="E119" i="73" s="1"/>
  <c r="M61" i="73"/>
  <c r="H119" i="73" s="1"/>
  <c r="M21" i="73"/>
  <c r="G123" i="73" s="1"/>
  <c r="L21" i="73"/>
  <c r="D123" i="73" s="1"/>
  <c r="AH117" i="73"/>
  <c r="AG117" i="73"/>
  <c r="AD117" i="73"/>
  <c r="AE117" i="73"/>
  <c r="AH124" i="73"/>
  <c r="AG124" i="73"/>
  <c r="AE124" i="73"/>
  <c r="AD124" i="73"/>
  <c r="AH118" i="73"/>
  <c r="AE118" i="73"/>
  <c r="AG118" i="73"/>
  <c r="AD118" i="73"/>
  <c r="AH111" i="73"/>
  <c r="AE111" i="73"/>
  <c r="AG111" i="73"/>
  <c r="AD111" i="73"/>
  <c r="AH115" i="73"/>
  <c r="AG115" i="73"/>
  <c r="AE115" i="73"/>
  <c r="AD115" i="73"/>
  <c r="AG119" i="73"/>
  <c r="AH119" i="73"/>
  <c r="AE119" i="73"/>
  <c r="AD119" i="73"/>
  <c r="AH109" i="73"/>
  <c r="AE109" i="73"/>
  <c r="AG109" i="73"/>
  <c r="AD109" i="73"/>
  <c r="AE113" i="73"/>
  <c r="AG113" i="73"/>
  <c r="AD113" i="73"/>
  <c r="AH113" i="73"/>
  <c r="AH114" i="73"/>
  <c r="AG114" i="73"/>
  <c r="AE114" i="73"/>
  <c r="AD114" i="73"/>
  <c r="AH120" i="73"/>
  <c r="AE120" i="73"/>
  <c r="AG120" i="73"/>
  <c r="AD120" i="73"/>
  <c r="AH116" i="73"/>
  <c r="AE116" i="73"/>
  <c r="AG116" i="73"/>
  <c r="AD116" i="73"/>
  <c r="AH112" i="73"/>
  <c r="AG112" i="73"/>
  <c r="AE112" i="73"/>
  <c r="AD112" i="73"/>
  <c r="AH125" i="73"/>
  <c r="AE125" i="73"/>
  <c r="AD125" i="73"/>
  <c r="AG125" i="73"/>
  <c r="AH123" i="73"/>
  <c r="AE123" i="73"/>
  <c r="AG123" i="73"/>
  <c r="AD123" i="73"/>
  <c r="AH122" i="73"/>
  <c r="AG122" i="73"/>
  <c r="AE122" i="73"/>
  <c r="AD122" i="73"/>
  <c r="AH121" i="73"/>
  <c r="AE121" i="73"/>
  <c r="AD121" i="73"/>
  <c r="AG121" i="73"/>
  <c r="AH108" i="73"/>
  <c r="AG108" i="73"/>
  <c r="AE108" i="73"/>
  <c r="AD108" i="73"/>
  <c r="AH110" i="73"/>
  <c r="AG110" i="73"/>
  <c r="AE110" i="73"/>
  <c r="AD110" i="73"/>
  <c r="H44" i="61"/>
  <c r="H40" i="61"/>
  <c r="H38" i="61"/>
  <c r="H37" i="61"/>
  <c r="AK20" i="81"/>
  <c r="H27" i="61"/>
  <c r="H26" i="61"/>
  <c r="AL25" i="81"/>
  <c r="AL24" i="81"/>
  <c r="AL23" i="81"/>
  <c r="AL22" i="81"/>
  <c r="AL21" i="81"/>
  <c r="AL19" i="81"/>
  <c r="AH26" i="81"/>
  <c r="AL17" i="81"/>
  <c r="AL16" i="81"/>
  <c r="AL15" i="81"/>
  <c r="AL14" i="81"/>
  <c r="AL13" i="81"/>
  <c r="AG26" i="81"/>
  <c r="AL11" i="81"/>
  <c r="AL10" i="81"/>
  <c r="AL9" i="81"/>
  <c r="AL8" i="81"/>
  <c r="AJ26" i="81"/>
  <c r="AD64" i="81"/>
  <c r="AC64" i="81"/>
  <c r="AB64" i="81"/>
  <c r="AA64" i="81"/>
  <c r="Z64" i="81"/>
  <c r="AC62" i="81"/>
  <c r="AB62" i="81"/>
  <c r="AA62" i="81"/>
  <c r="F55" i="81"/>
  <c r="G54" i="81"/>
  <c r="G53" i="81"/>
  <c r="G52" i="81"/>
  <c r="Y26" i="81"/>
  <c r="AA25" i="81"/>
  <c r="AE25" i="81" s="1"/>
  <c r="Y25" i="81"/>
  <c r="Z24" i="81"/>
  <c r="AE24" i="81" s="1"/>
  <c r="Y24" i="81"/>
  <c r="X24" i="81"/>
  <c r="AA23" i="81"/>
  <c r="Z23" i="81"/>
  <c r="Y23" i="81"/>
  <c r="X23" i="81"/>
  <c r="AC22" i="81"/>
  <c r="AE22" i="81" s="1"/>
  <c r="V22" i="81"/>
  <c r="Y22" i="81" s="1"/>
  <c r="AC21" i="81"/>
  <c r="Z21" i="81"/>
  <c r="X21" i="81"/>
  <c r="V21" i="81"/>
  <c r="Y21" i="81" s="1"/>
  <c r="AD20" i="81"/>
  <c r="AC20" i="81"/>
  <c r="Z20" i="81"/>
  <c r="X20" i="81"/>
  <c r="V20" i="81"/>
  <c r="Y20" i="81" s="1"/>
  <c r="AA19" i="81"/>
  <c r="Y19" i="81"/>
  <c r="AD18" i="81"/>
  <c r="AB18" i="81"/>
  <c r="AA18" i="81"/>
  <c r="Y18" i="81"/>
  <c r="X18" i="81"/>
  <c r="AB17" i="81"/>
  <c r="Z17" i="81"/>
  <c r="Y17" i="81"/>
  <c r="X17" i="81"/>
  <c r="H17" i="81"/>
  <c r="AE16" i="81"/>
  <c r="Y16" i="81"/>
  <c r="AC15" i="81"/>
  <c r="Z15" i="81"/>
  <c r="V15" i="81"/>
  <c r="Y15" i="81" s="1"/>
  <c r="Z14" i="81"/>
  <c r="AE14" i="81" s="1"/>
  <c r="Y14" i="81"/>
  <c r="S14" i="81"/>
  <c r="AE13" i="81"/>
  <c r="Y13" i="81"/>
  <c r="X13" i="81"/>
  <c r="Z12" i="81"/>
  <c r="AE12" i="81" s="1"/>
  <c r="Y12" i="81"/>
  <c r="X12" i="81"/>
  <c r="AE11" i="81"/>
  <c r="Y11" i="81"/>
  <c r="AC10" i="81"/>
  <c r="AB10" i="81"/>
  <c r="Y10" i="81"/>
  <c r="AE9" i="81"/>
  <c r="Y9" i="81"/>
  <c r="AE8" i="81"/>
  <c r="Y8" i="81"/>
  <c r="AC7" i="81"/>
  <c r="Z7" i="81"/>
  <c r="X7" i="81"/>
  <c r="V7" i="81"/>
  <c r="Y7" i="81" s="1"/>
  <c r="H67" i="80"/>
  <c r="H66" i="80"/>
  <c r="H65" i="80"/>
  <c r="H64" i="80"/>
  <c r="H45" i="80"/>
  <c r="H44" i="80"/>
  <c r="H41" i="80"/>
  <c r="H39" i="80"/>
  <c r="H38" i="80"/>
  <c r="H30" i="80"/>
  <c r="H28" i="80"/>
  <c r="B28" i="80"/>
  <c r="B17" i="80"/>
  <c r="B16" i="80"/>
  <c r="B12" i="80"/>
  <c r="D5" i="80"/>
  <c r="P29" i="79"/>
  <c r="L25" i="79"/>
  <c r="L30" i="74" s="1"/>
  <c r="G25" i="79"/>
  <c r="G30" i="74" s="1"/>
  <c r="F25" i="79"/>
  <c r="H13" i="80"/>
  <c r="D13" i="80"/>
  <c r="B12" i="61"/>
  <c r="H28" i="61"/>
  <c r="H25" i="79"/>
  <c r="H30" i="74" s="1"/>
  <c r="AI26" i="81"/>
  <c r="AL7" i="81"/>
  <c r="AL12" i="81"/>
  <c r="AL18" i="81"/>
  <c r="E18" i="74"/>
  <c r="C5" i="76" s="1"/>
  <c r="E17" i="74"/>
  <c r="C7" i="76" s="1"/>
  <c r="E13" i="74"/>
  <c r="C12" i="76" s="1"/>
  <c r="E12" i="74"/>
  <c r="C21" i="76" s="1"/>
  <c r="E10" i="74"/>
  <c r="C9" i="76" s="1"/>
  <c r="E7" i="74"/>
  <c r="D18" i="74"/>
  <c r="D17" i="74"/>
  <c r="D13" i="74"/>
  <c r="D12" i="74"/>
  <c r="D10" i="74"/>
  <c r="D7" i="74"/>
  <c r="C23" i="74"/>
  <c r="C22" i="74"/>
  <c r="C20" i="74"/>
  <c r="C19" i="74"/>
  <c r="C18" i="74"/>
  <c r="C17" i="74"/>
  <c r="C15" i="74"/>
  <c r="C14" i="74"/>
  <c r="C13" i="74"/>
  <c r="C12" i="74"/>
  <c r="C11" i="74"/>
  <c r="C10" i="74"/>
  <c r="C9" i="74"/>
  <c r="C8" i="74"/>
  <c r="C7" i="74"/>
  <c r="C6" i="74"/>
  <c r="C5" i="74"/>
  <c r="C4" i="74"/>
  <c r="R107" i="78"/>
  <c r="Q107" i="78"/>
  <c r="O107" i="78"/>
  <c r="N107" i="78"/>
  <c r="K107" i="78"/>
  <c r="J107" i="78"/>
  <c r="H107" i="78"/>
  <c r="G107" i="78"/>
  <c r="E107" i="78"/>
  <c r="D107" i="78"/>
  <c r="G102" i="78"/>
  <c r="G100" i="78"/>
  <c r="G98" i="78"/>
  <c r="G96" i="78"/>
  <c r="G94" i="78"/>
  <c r="G92" i="78"/>
  <c r="M89" i="78"/>
  <c r="M88" i="78"/>
  <c r="M87" i="78"/>
  <c r="M86" i="78"/>
  <c r="M85" i="78"/>
  <c r="M84" i="78"/>
  <c r="M83" i="78"/>
  <c r="M82" i="78"/>
  <c r="M81" i="78"/>
  <c r="M80" i="78"/>
  <c r="M79" i="78"/>
  <c r="M78" i="78"/>
  <c r="M77" i="78"/>
  <c r="M76" i="78"/>
  <c r="M75" i="78"/>
  <c r="M74" i="78"/>
  <c r="M73" i="78"/>
  <c r="K67" i="78"/>
  <c r="P67" i="78" s="1"/>
  <c r="K66" i="78"/>
  <c r="P66" i="78" s="1"/>
  <c r="K65" i="78"/>
  <c r="P65" i="78" s="1"/>
  <c r="K64" i="78"/>
  <c r="K63" i="78"/>
  <c r="P63" i="78" s="1"/>
  <c r="K62" i="78"/>
  <c r="P62" i="78" s="1"/>
  <c r="K61" i="78"/>
  <c r="P61" i="78" s="1"/>
  <c r="K60" i="78"/>
  <c r="K59" i="78"/>
  <c r="P59" i="78" s="1"/>
  <c r="K58" i="78"/>
  <c r="P58" i="78" s="1"/>
  <c r="K57" i="78"/>
  <c r="P57" i="78" s="1"/>
  <c r="K56" i="78"/>
  <c r="K55" i="78"/>
  <c r="P55" i="78" s="1"/>
  <c r="K54" i="78"/>
  <c r="K53" i="78"/>
  <c r="P53" i="78" s="1"/>
  <c r="K52" i="78"/>
  <c r="K51" i="78"/>
  <c r="P51" i="78" s="1"/>
  <c r="K50" i="78"/>
  <c r="P50" i="78" s="1"/>
  <c r="M45" i="78"/>
  <c r="M44" i="78"/>
  <c r="M43" i="78"/>
  <c r="M42" i="78"/>
  <c r="M41" i="78"/>
  <c r="M40" i="78"/>
  <c r="M39" i="78"/>
  <c r="M38" i="78"/>
  <c r="M37" i="78"/>
  <c r="M36" i="78"/>
  <c r="M35" i="78"/>
  <c r="M34" i="78"/>
  <c r="M33" i="78"/>
  <c r="M32" i="78"/>
  <c r="M31" i="78"/>
  <c r="M30" i="78"/>
  <c r="K23" i="78"/>
  <c r="P23" i="78" s="1"/>
  <c r="K21" i="78"/>
  <c r="K20" i="78"/>
  <c r="P20" i="78" s="1"/>
  <c r="K19" i="78"/>
  <c r="P19" i="78" s="1"/>
  <c r="K18" i="78"/>
  <c r="K17" i="78"/>
  <c r="K16" i="78"/>
  <c r="P16" i="78" s="1"/>
  <c r="K15" i="78"/>
  <c r="K14" i="78"/>
  <c r="K13" i="78"/>
  <c r="K12" i="78"/>
  <c r="P12" i="78" s="1"/>
  <c r="K11" i="78"/>
  <c r="K10" i="78"/>
  <c r="P10" i="78" s="1"/>
  <c r="K9" i="78"/>
  <c r="K8" i="78"/>
  <c r="P8" i="78" s="1"/>
  <c r="K7" i="78"/>
  <c r="P7" i="78" s="1"/>
  <c r="F10" i="77"/>
  <c r="F9" i="77"/>
  <c r="AC64" i="60"/>
  <c r="AC62" i="60"/>
  <c r="AC10" i="60"/>
  <c r="AC22" i="60"/>
  <c r="AC21" i="60"/>
  <c r="AA62" i="60"/>
  <c r="H66" i="61"/>
  <c r="H65" i="61"/>
  <c r="H64" i="61"/>
  <c r="H63" i="61"/>
  <c r="F11" i="58"/>
  <c r="H22" i="61"/>
  <c r="H16" i="61"/>
  <c r="AE8" i="60"/>
  <c r="AE9" i="60"/>
  <c r="AE11" i="60"/>
  <c r="AE13" i="60"/>
  <c r="AE16" i="60"/>
  <c r="AA25" i="60"/>
  <c r="AA23" i="60"/>
  <c r="AC20" i="60"/>
  <c r="AD20" i="60"/>
  <c r="AA19" i="60"/>
  <c r="AE19" i="60" s="1"/>
  <c r="AB17" i="60"/>
  <c r="H27" i="80" s="1"/>
  <c r="AC15" i="60"/>
  <c r="AB10" i="60"/>
  <c r="AC7" i="60"/>
  <c r="H29" i="80"/>
  <c r="AD18" i="60"/>
  <c r="AB18" i="60"/>
  <c r="AA18" i="60"/>
  <c r="Z12" i="60"/>
  <c r="AE12" i="60" s="1"/>
  <c r="Z14" i="60"/>
  <c r="AE14" i="60" s="1"/>
  <c r="Z15" i="60"/>
  <c r="Z17" i="60"/>
  <c r="Z20" i="60"/>
  <c r="Z21" i="60"/>
  <c r="Z23" i="60"/>
  <c r="Z24" i="60"/>
  <c r="AE24" i="60" s="1"/>
  <c r="Z7" i="60"/>
  <c r="D5" i="75"/>
  <c r="D6" i="75"/>
  <c r="K9" i="79" s="1"/>
  <c r="D7" i="75"/>
  <c r="D8" i="75"/>
  <c r="D9" i="75"/>
  <c r="K7" i="74" s="1"/>
  <c r="D10" i="75"/>
  <c r="D11" i="75"/>
  <c r="D12" i="75"/>
  <c r="D13" i="75"/>
  <c r="K8" i="79" s="1"/>
  <c r="D14" i="75"/>
  <c r="K6" i="79" s="1"/>
  <c r="D15" i="75"/>
  <c r="K12" i="74" s="1"/>
  <c r="D16" i="75"/>
  <c r="D17" i="75"/>
  <c r="K20" i="79" s="1"/>
  <c r="D18" i="75"/>
  <c r="K17" i="74" s="1"/>
  <c r="D19" i="75"/>
  <c r="D20" i="75"/>
  <c r="D21" i="75"/>
  <c r="D4" i="75"/>
  <c r="E15" i="74"/>
  <c r="D15" i="74"/>
  <c r="B10" i="83" s="1"/>
  <c r="E14" i="74"/>
  <c r="C14" i="76" s="1"/>
  <c r="D14" i="74"/>
  <c r="E11" i="74"/>
  <c r="C19" i="76" s="1"/>
  <c r="D11" i="74"/>
  <c r="E9" i="74"/>
  <c r="C8" i="76" s="1"/>
  <c r="D9" i="74"/>
  <c r="D4" i="74"/>
  <c r="P29" i="74"/>
  <c r="L25" i="74"/>
  <c r="G25" i="74"/>
  <c r="F25" i="74"/>
  <c r="E23" i="74"/>
  <c r="C11" i="76" s="1"/>
  <c r="D23" i="74"/>
  <c r="E22" i="74"/>
  <c r="C13" i="76" s="1"/>
  <c r="D22" i="74"/>
  <c r="E19" i="74"/>
  <c r="C16" i="76" s="1"/>
  <c r="D19" i="74"/>
  <c r="E8" i="74"/>
  <c r="C20" i="76" s="1"/>
  <c r="D8" i="74"/>
  <c r="E6" i="74"/>
  <c r="C17" i="76" s="1"/>
  <c r="D6" i="74"/>
  <c r="E5" i="74"/>
  <c r="C10" i="76" s="1"/>
  <c r="D5" i="74"/>
  <c r="E4" i="74"/>
  <c r="D11" i="61" s="1"/>
  <c r="D19" i="68"/>
  <c r="E19" i="68"/>
  <c r="F19" i="68"/>
  <c r="G57" i="17"/>
  <c r="G59" i="17"/>
  <c r="G61" i="17"/>
  <c r="G63" i="17"/>
  <c r="G65" i="17"/>
  <c r="G67" i="17"/>
  <c r="D18" i="69"/>
  <c r="E18" i="69"/>
  <c r="G92" i="66"/>
  <c r="G94" i="66"/>
  <c r="G96" i="66"/>
  <c r="G98" i="66"/>
  <c r="G100" i="66"/>
  <c r="G102" i="66"/>
  <c r="D4" i="68"/>
  <c r="E4" i="68"/>
  <c r="K7" i="51"/>
  <c r="Q7" i="51" s="1"/>
  <c r="T7" i="51" s="1"/>
  <c r="V7" i="51" s="1"/>
  <c r="D5" i="68"/>
  <c r="E5" i="68"/>
  <c r="K8" i="51"/>
  <c r="D6" i="68"/>
  <c r="E6" i="68"/>
  <c r="D7" i="68"/>
  <c r="E7" i="68"/>
  <c r="K10" i="51"/>
  <c r="Q10" i="51" s="1"/>
  <c r="T10" i="51" s="1"/>
  <c r="V10" i="51" s="1"/>
  <c r="D8" i="68"/>
  <c r="E8" i="68"/>
  <c r="K11" i="51"/>
  <c r="D9" i="68"/>
  <c r="E9" i="68"/>
  <c r="K12" i="51"/>
  <c r="D10" i="68"/>
  <c r="E10" i="68"/>
  <c r="K13" i="51"/>
  <c r="Q13" i="51" s="1"/>
  <c r="T13" i="51" s="1"/>
  <c r="V13" i="51" s="1"/>
  <c r="K14" i="51"/>
  <c r="K15" i="51"/>
  <c r="D13" i="68"/>
  <c r="E13" i="68"/>
  <c r="K16" i="51"/>
  <c r="Q16" i="51" s="1"/>
  <c r="T16" i="51" s="1"/>
  <c r="V16" i="51" s="1"/>
  <c r="D14" i="68"/>
  <c r="E14" i="68"/>
  <c r="K17" i="51"/>
  <c r="Q17" i="51" s="1"/>
  <c r="T17" i="51" s="1"/>
  <c r="V17" i="51" s="1"/>
  <c r="W17" i="51" s="1"/>
  <c r="D15" i="68"/>
  <c r="E15" i="68"/>
  <c r="K18" i="51"/>
  <c r="Q18" i="51" s="1"/>
  <c r="T18" i="51" s="1"/>
  <c r="V18" i="51" s="1"/>
  <c r="D16" i="68"/>
  <c r="E16" i="68"/>
  <c r="K19" i="51"/>
  <c r="Q19" i="51" s="1"/>
  <c r="T19" i="51" s="1"/>
  <c r="V19" i="51" s="1"/>
  <c r="D18" i="68"/>
  <c r="E18" i="68"/>
  <c r="F18" i="68"/>
  <c r="D20" i="68"/>
  <c r="E20" i="68"/>
  <c r="F20" i="68"/>
  <c r="D21" i="68"/>
  <c r="E21" i="68"/>
  <c r="F21" i="68"/>
  <c r="D23" i="68"/>
  <c r="E23" i="68"/>
  <c r="K24" i="51"/>
  <c r="D24" i="68"/>
  <c r="E24" i="68"/>
  <c r="K25" i="51"/>
  <c r="Q25" i="51" s="1"/>
  <c r="T25" i="51" s="1"/>
  <c r="V25" i="51" s="1"/>
  <c r="N29" i="69"/>
  <c r="E4" i="69"/>
  <c r="E5" i="69"/>
  <c r="E6" i="69"/>
  <c r="E7" i="69"/>
  <c r="E8" i="69"/>
  <c r="E9" i="69"/>
  <c r="E10" i="69"/>
  <c r="E11" i="69"/>
  <c r="E13" i="69"/>
  <c r="E14" i="69"/>
  <c r="B11" i="80" s="1"/>
  <c r="E15" i="69"/>
  <c r="E17" i="69"/>
  <c r="E19" i="69"/>
  <c r="E20" i="69"/>
  <c r="E22" i="69"/>
  <c r="E23" i="69"/>
  <c r="G26" i="68"/>
  <c r="G28" i="68" s="1"/>
  <c r="G27" i="69" s="1"/>
  <c r="I25" i="69"/>
  <c r="D28" i="75" s="1"/>
  <c r="J26" i="68"/>
  <c r="J28" i="68" s="1"/>
  <c r="J27" i="69" s="1"/>
  <c r="D4" i="69"/>
  <c r="D5" i="69"/>
  <c r="D6" i="69"/>
  <c r="D7" i="69"/>
  <c r="D8" i="69"/>
  <c r="D9" i="69"/>
  <c r="D10" i="69"/>
  <c r="D11" i="69"/>
  <c r="D13" i="69"/>
  <c r="D14" i="69"/>
  <c r="B10" i="80" s="1"/>
  <c r="D15" i="69"/>
  <c r="D17" i="69"/>
  <c r="D19" i="69"/>
  <c r="D20" i="69"/>
  <c r="D22" i="69"/>
  <c r="D23" i="69"/>
  <c r="D5" i="61"/>
  <c r="K21" i="51"/>
  <c r="Q21" i="51" s="1"/>
  <c r="T21" i="51" s="1"/>
  <c r="V21" i="51" s="1"/>
  <c r="K20" i="51"/>
  <c r="Q20" i="51" s="1"/>
  <c r="T20" i="51" s="1"/>
  <c r="V20" i="51" s="1"/>
  <c r="U20" i="51"/>
  <c r="K22" i="51"/>
  <c r="Q22" i="51" s="1"/>
  <c r="T22" i="51" s="1"/>
  <c r="V22" i="51" s="1"/>
  <c r="K73" i="66"/>
  <c r="K74" i="66"/>
  <c r="K75" i="66"/>
  <c r="K76" i="66"/>
  <c r="K77" i="66"/>
  <c r="K78" i="66"/>
  <c r="K79" i="66"/>
  <c r="K80" i="66"/>
  <c r="K81" i="66"/>
  <c r="K82" i="66"/>
  <c r="K83" i="66"/>
  <c r="K84" i="66"/>
  <c r="K85" i="66"/>
  <c r="K86" i="66"/>
  <c r="K87" i="66"/>
  <c r="K88" i="66"/>
  <c r="K89" i="66"/>
  <c r="K72" i="66"/>
  <c r="K29" i="66"/>
  <c r="K30" i="66"/>
  <c r="K31" i="66"/>
  <c r="K32" i="66"/>
  <c r="K33" i="66"/>
  <c r="K34" i="66"/>
  <c r="K35" i="66"/>
  <c r="K36" i="66"/>
  <c r="K37" i="66"/>
  <c r="K38" i="66"/>
  <c r="K39" i="66"/>
  <c r="K40" i="66"/>
  <c r="K41" i="66"/>
  <c r="K42" i="66"/>
  <c r="K43" i="66"/>
  <c r="K44" i="66"/>
  <c r="K45" i="66"/>
  <c r="K28" i="66"/>
  <c r="F12" i="58"/>
  <c r="K23" i="51"/>
  <c r="Q23" i="51" s="1"/>
  <c r="T23" i="51" s="1"/>
  <c r="V23" i="51" s="1"/>
  <c r="J25" i="69"/>
  <c r="G25" i="69"/>
  <c r="B27" i="61"/>
  <c r="O21" i="68"/>
  <c r="L21" i="68"/>
  <c r="O20" i="68"/>
  <c r="L20" i="68"/>
  <c r="O19" i="68"/>
  <c r="L19" i="68"/>
  <c r="O18" i="68"/>
  <c r="O26" i="68" s="1"/>
  <c r="O28" i="68" s="1"/>
  <c r="L18" i="68"/>
  <c r="L16" i="68"/>
  <c r="L15" i="68"/>
  <c r="I15" i="68"/>
  <c r="I26" i="68" s="1"/>
  <c r="I28" i="68" s="1"/>
  <c r="I27" i="69" s="1"/>
  <c r="L14" i="68"/>
  <c r="L13" i="68"/>
  <c r="L12" i="68"/>
  <c r="L11" i="68"/>
  <c r="L10" i="68"/>
  <c r="L9" i="68"/>
  <c r="L8" i="68"/>
  <c r="L7" i="68"/>
  <c r="L6" i="68"/>
  <c r="L5" i="68"/>
  <c r="M4" i="68"/>
  <c r="M26" i="68" s="1"/>
  <c r="L4" i="68"/>
  <c r="L26" i="68" s="1"/>
  <c r="K67" i="66"/>
  <c r="M67" i="66" s="1"/>
  <c r="K66" i="66"/>
  <c r="K65" i="66"/>
  <c r="K64" i="66"/>
  <c r="M64" i="66" s="1"/>
  <c r="K63" i="66"/>
  <c r="M63" i="66" s="1"/>
  <c r="K62" i="66"/>
  <c r="K61" i="66"/>
  <c r="M61" i="66" s="1"/>
  <c r="K60" i="66"/>
  <c r="M60" i="66" s="1"/>
  <c r="K59" i="66"/>
  <c r="K58" i="66"/>
  <c r="M58" i="66" s="1"/>
  <c r="K57" i="66"/>
  <c r="M57" i="66" s="1"/>
  <c r="K56" i="66"/>
  <c r="M56" i="66" s="1"/>
  <c r="K55" i="66"/>
  <c r="M55" i="66" s="1"/>
  <c r="K54" i="66"/>
  <c r="M54" i="66" s="1"/>
  <c r="K53" i="66"/>
  <c r="M53" i="66" s="1"/>
  <c r="K52" i="66"/>
  <c r="M52" i="66" s="1"/>
  <c r="K51" i="66"/>
  <c r="K50" i="66"/>
  <c r="M50" i="66" s="1"/>
  <c r="K23" i="66"/>
  <c r="K22" i="66"/>
  <c r="M22" i="66" s="1"/>
  <c r="K21" i="66"/>
  <c r="M21" i="66" s="1"/>
  <c r="K20" i="66"/>
  <c r="M20" i="66" s="1"/>
  <c r="K19" i="66"/>
  <c r="M19" i="66" s="1"/>
  <c r="K18" i="66"/>
  <c r="M18" i="66" s="1"/>
  <c r="K17" i="66"/>
  <c r="K16" i="66"/>
  <c r="K15" i="66"/>
  <c r="M15" i="66" s="1"/>
  <c r="K14" i="66"/>
  <c r="K13" i="66"/>
  <c r="M13" i="66" s="1"/>
  <c r="K12" i="66"/>
  <c r="K11" i="66"/>
  <c r="K10" i="66"/>
  <c r="K9" i="66"/>
  <c r="M9" i="66" s="1"/>
  <c r="K8" i="66"/>
  <c r="K7" i="66"/>
  <c r="M7" i="66" s="1"/>
  <c r="K6" i="66"/>
  <c r="M6" i="66" s="1"/>
  <c r="Y8" i="60"/>
  <c r="Y9" i="60"/>
  <c r="Y10" i="60"/>
  <c r="Y11" i="60"/>
  <c r="Y12" i="60"/>
  <c r="Y13" i="60"/>
  <c r="Y14" i="60"/>
  <c r="Y16" i="60"/>
  <c r="Y17" i="60"/>
  <c r="Y18" i="60"/>
  <c r="Y19" i="60"/>
  <c r="Y23" i="60"/>
  <c r="Y24" i="60"/>
  <c r="Y25" i="60"/>
  <c r="V21" i="60"/>
  <c r="Y21" i="60" s="1"/>
  <c r="V22" i="60"/>
  <c r="Y22" i="60" s="1"/>
  <c r="V20" i="60"/>
  <c r="Y20" i="60" s="1"/>
  <c r="V15" i="60"/>
  <c r="Y15" i="60" s="1"/>
  <c r="V7" i="60"/>
  <c r="R26" i="60"/>
  <c r="T26" i="60"/>
  <c r="U26" i="60"/>
  <c r="AD64" i="60" s="1"/>
  <c r="Q26" i="60"/>
  <c r="K26" i="60"/>
  <c r="L26" i="60"/>
  <c r="I26" i="60"/>
  <c r="Z64" i="60" s="1"/>
  <c r="M48" i="41"/>
  <c r="K48" i="41"/>
  <c r="I48" i="41"/>
  <c r="G48" i="41"/>
  <c r="E48" i="41"/>
  <c r="D47" i="41"/>
  <c r="H47" i="41" s="1"/>
  <c r="E45" i="66" s="1"/>
  <c r="D46" i="41"/>
  <c r="D45" i="41"/>
  <c r="F45" i="41" s="1"/>
  <c r="D87" i="66" s="1"/>
  <c r="D44" i="41"/>
  <c r="F44" i="41" s="1"/>
  <c r="D43" i="41"/>
  <c r="F43" i="41" s="1"/>
  <c r="D42" i="41"/>
  <c r="D41" i="41"/>
  <c r="F41" i="41" s="1"/>
  <c r="D39" i="85" s="1"/>
  <c r="D40" i="41"/>
  <c r="L40" i="41" s="1"/>
  <c r="G60" i="85" s="1"/>
  <c r="D39" i="41"/>
  <c r="H39" i="41" s="1"/>
  <c r="D38" i="41"/>
  <c r="F38" i="41" s="1"/>
  <c r="D37" i="41"/>
  <c r="D36" i="41"/>
  <c r="H36" i="41" s="1"/>
  <c r="D35" i="41"/>
  <c r="L35" i="41" s="1"/>
  <c r="D34" i="41"/>
  <c r="H34" i="41" s="1"/>
  <c r="E10" i="85" s="1"/>
  <c r="D33" i="41"/>
  <c r="N33" i="41" s="1"/>
  <c r="H53" i="85" s="1"/>
  <c r="D32" i="41"/>
  <c r="F32" i="41" s="1"/>
  <c r="D31" i="41"/>
  <c r="H31" i="41" s="1"/>
  <c r="D30" i="41"/>
  <c r="S6" i="17"/>
  <c r="S7" i="17"/>
  <c r="U7" i="17" s="1"/>
  <c r="S8" i="17"/>
  <c r="U8" i="17" s="1"/>
  <c r="S9" i="17"/>
  <c r="U9" i="17" s="1"/>
  <c r="S10" i="17"/>
  <c r="U10" i="17" s="1"/>
  <c r="S11" i="17"/>
  <c r="U11" i="17" s="1"/>
  <c r="S12" i="17"/>
  <c r="U12" i="17" s="1"/>
  <c r="S13" i="17"/>
  <c r="U13" i="17" s="1"/>
  <c r="S14" i="17"/>
  <c r="S15" i="17"/>
  <c r="U15" i="17" s="1"/>
  <c r="S16" i="17"/>
  <c r="U16" i="17" s="1"/>
  <c r="S17" i="17"/>
  <c r="U17" i="17" s="1"/>
  <c r="S18" i="17"/>
  <c r="U18" i="17" s="1"/>
  <c r="S19" i="17"/>
  <c r="U19" i="17" s="1"/>
  <c r="S20" i="17"/>
  <c r="U20" i="17" s="1"/>
  <c r="S21" i="17"/>
  <c r="U21" i="17" s="1"/>
  <c r="S22" i="17"/>
  <c r="U22" i="17" s="1"/>
  <c r="S23" i="17"/>
  <c r="S5" i="17"/>
  <c r="U5" i="17" s="1"/>
  <c r="K13" i="17"/>
  <c r="K14" i="17"/>
  <c r="M14" i="17" s="1"/>
  <c r="K15" i="17"/>
  <c r="M15" i="17" s="1"/>
  <c r="K16" i="17"/>
  <c r="K17" i="17"/>
  <c r="M17" i="17" s="1"/>
  <c r="Z17" i="17" s="1"/>
  <c r="K18" i="17"/>
  <c r="M18" i="17" s="1"/>
  <c r="K19" i="17"/>
  <c r="M19" i="17" s="1"/>
  <c r="K20" i="17"/>
  <c r="M20" i="17" s="1"/>
  <c r="K21" i="17"/>
  <c r="M21" i="17" s="1"/>
  <c r="K22" i="17"/>
  <c r="M22" i="17" s="1"/>
  <c r="Z22" i="17" s="1"/>
  <c r="R15" i="68" s="1"/>
  <c r="U15" i="68" s="1"/>
  <c r="K23" i="17"/>
  <c r="M23" i="17" s="1"/>
  <c r="K6" i="17"/>
  <c r="M6" i="17" s="1"/>
  <c r="K7" i="17"/>
  <c r="K8" i="17"/>
  <c r="M8" i="17" s="1"/>
  <c r="K9" i="17"/>
  <c r="M9" i="17" s="1"/>
  <c r="K10" i="17"/>
  <c r="M10" i="17" s="1"/>
  <c r="K11" i="17"/>
  <c r="M11" i="17" s="1"/>
  <c r="K12" i="17"/>
  <c r="M12" i="17" s="1"/>
  <c r="K5" i="17"/>
  <c r="M5" i="17" s="1"/>
  <c r="X24" i="60"/>
  <c r="X23" i="60"/>
  <c r="X21" i="60"/>
  <c r="X20" i="60"/>
  <c r="X18" i="60"/>
  <c r="X17" i="60"/>
  <c r="X13" i="60"/>
  <c r="X12" i="60"/>
  <c r="X7" i="60"/>
  <c r="H15" i="60"/>
  <c r="H16" i="60"/>
  <c r="F7" i="58"/>
  <c r="H17" i="60"/>
  <c r="S27" i="51"/>
  <c r="I27" i="51"/>
  <c r="U25" i="51"/>
  <c r="U24" i="51"/>
  <c r="U23" i="51"/>
  <c r="U22" i="51"/>
  <c r="U21" i="51"/>
  <c r="U19" i="51"/>
  <c r="U18" i="51"/>
  <c r="U17" i="51"/>
  <c r="U16" i="51"/>
  <c r="U15" i="51"/>
  <c r="U14" i="51"/>
  <c r="U13" i="51"/>
  <c r="U11" i="51"/>
  <c r="U10" i="51"/>
  <c r="U8" i="51"/>
  <c r="S14" i="60"/>
  <c r="S26" i="60" s="1"/>
  <c r="F55" i="60"/>
  <c r="G54" i="60"/>
  <c r="G53" i="60"/>
  <c r="G52" i="60"/>
  <c r="P26" i="60"/>
  <c r="M26" i="60"/>
  <c r="O26" i="60"/>
  <c r="N26" i="60"/>
  <c r="J26" i="60"/>
  <c r="G26" i="60"/>
  <c r="F26" i="60"/>
  <c r="F8" i="58"/>
  <c r="U25" i="17"/>
  <c r="U24" i="17"/>
  <c r="M24" i="17"/>
  <c r="M25" i="17"/>
  <c r="R31" i="51"/>
  <c r="R30" i="51"/>
  <c r="H31" i="51"/>
  <c r="H30" i="51"/>
  <c r="J27" i="51"/>
  <c r="F27" i="51"/>
  <c r="L31" i="51"/>
  <c r="E31" i="51"/>
  <c r="D31" i="51"/>
  <c r="L30" i="51"/>
  <c r="E30" i="51"/>
  <c r="D30" i="51"/>
  <c r="G27" i="51"/>
  <c r="O23" i="51"/>
  <c r="L23" i="51"/>
  <c r="O22" i="51"/>
  <c r="L22" i="51"/>
  <c r="O21" i="51"/>
  <c r="L21" i="51"/>
  <c r="O20" i="51"/>
  <c r="O27" i="51" s="1"/>
  <c r="L20" i="51"/>
  <c r="L19" i="51"/>
  <c r="L18" i="51"/>
  <c r="L17" i="51"/>
  <c r="L16" i="51"/>
  <c r="L15" i="51"/>
  <c r="L14" i="51"/>
  <c r="L13" i="51"/>
  <c r="L12" i="51"/>
  <c r="L11" i="51"/>
  <c r="L10" i="51"/>
  <c r="L9" i="51"/>
  <c r="L8" i="51"/>
  <c r="M7" i="51"/>
  <c r="M27" i="51" s="1"/>
  <c r="L7" i="51"/>
  <c r="D10" i="41"/>
  <c r="N10" i="41" s="1"/>
  <c r="H10" i="17" s="1"/>
  <c r="D16" i="41"/>
  <c r="D17" i="41"/>
  <c r="N17" i="41" s="1"/>
  <c r="H17" i="17" s="1"/>
  <c r="D18" i="41"/>
  <c r="N18" i="41" s="1"/>
  <c r="H18" i="17" s="1"/>
  <c r="D5" i="41"/>
  <c r="D6" i="41"/>
  <c r="J6" i="41" s="1"/>
  <c r="F6" i="17" s="1"/>
  <c r="D7" i="41"/>
  <c r="F7" i="41" s="1"/>
  <c r="D7" i="17" s="1"/>
  <c r="D8" i="41"/>
  <c r="L8" i="41" s="1"/>
  <c r="G8" i="17" s="1"/>
  <c r="D9" i="41"/>
  <c r="L9" i="41" s="1"/>
  <c r="G9" i="17" s="1"/>
  <c r="D12" i="41"/>
  <c r="D14" i="41"/>
  <c r="J14" i="41" s="1"/>
  <c r="F14" i="17" s="1"/>
  <c r="D15" i="41"/>
  <c r="J15" i="41" s="1"/>
  <c r="F15" i="17" s="1"/>
  <c r="D19" i="41"/>
  <c r="J19" i="41" s="1"/>
  <c r="F19" i="17" s="1"/>
  <c r="D20" i="41"/>
  <c r="D21" i="41"/>
  <c r="D22" i="41"/>
  <c r="L22" i="41" s="1"/>
  <c r="G22" i="17" s="1"/>
  <c r="D23" i="41"/>
  <c r="J23" i="41" s="1"/>
  <c r="F23" i="17" s="1"/>
  <c r="D11" i="41"/>
  <c r="D13" i="41"/>
  <c r="J13" i="41" s="1"/>
  <c r="F13" i="17" s="1"/>
  <c r="E24" i="41"/>
  <c r="G24" i="41"/>
  <c r="I24" i="41"/>
  <c r="K24" i="41"/>
  <c r="M24" i="41"/>
  <c r="H67" i="17"/>
  <c r="H65" i="17"/>
  <c r="H63" i="17"/>
  <c r="H61" i="17"/>
  <c r="H59" i="17"/>
  <c r="H57" i="17"/>
  <c r="D27" i="51"/>
  <c r="E27" i="51"/>
  <c r="U7" i="51"/>
  <c r="U12" i="51"/>
  <c r="U9" i="51"/>
  <c r="R27" i="51"/>
  <c r="F25" i="69"/>
  <c r="M13" i="51"/>
  <c r="M6" i="68"/>
  <c r="M30" i="51"/>
  <c r="M16" i="68"/>
  <c r="M7" i="68"/>
  <c r="M23" i="68"/>
  <c r="M10" i="68"/>
  <c r="M18" i="51"/>
  <c r="M24" i="68"/>
  <c r="M13" i="68"/>
  <c r="M10" i="51"/>
  <c r="M8" i="68"/>
  <c r="M9" i="51"/>
  <c r="M11" i="68"/>
  <c r="M14" i="68"/>
  <c r="M17" i="51"/>
  <c r="M21" i="68"/>
  <c r="M23" i="51"/>
  <c r="L24" i="68"/>
  <c r="L25" i="51"/>
  <c r="L23" i="68"/>
  <c r="L24" i="51"/>
  <c r="M12" i="51"/>
  <c r="M9" i="68"/>
  <c r="M14" i="51"/>
  <c r="M20" i="51"/>
  <c r="M18" i="68"/>
  <c r="M12" i="68"/>
  <c r="M19" i="51"/>
  <c r="M16" i="51"/>
  <c r="M8" i="51"/>
  <c r="M5" i="68"/>
  <c r="M21" i="51"/>
  <c r="M19" i="68"/>
  <c r="M15" i="68"/>
  <c r="M24" i="51"/>
  <c r="M22" i="51"/>
  <c r="M20" i="68"/>
  <c r="M15" i="51"/>
  <c r="M11" i="51"/>
  <c r="M31" i="51"/>
  <c r="M25" i="51"/>
  <c r="F7" i="77"/>
  <c r="D12" i="77"/>
  <c r="D14" i="77" s="1"/>
  <c r="N16" i="41"/>
  <c r="H16" i="17" s="1"/>
  <c r="K9" i="51"/>
  <c r="H27" i="51"/>
  <c r="M66" i="66"/>
  <c r="D41" i="80"/>
  <c r="D42" i="80"/>
  <c r="D39" i="80"/>
  <c r="D40" i="80"/>
  <c r="D38" i="80"/>
  <c r="AD14" i="91"/>
  <c r="D32" i="80"/>
  <c r="H18" i="80"/>
  <c r="D34" i="80"/>
  <c r="E110" i="96"/>
  <c r="E110" i="93"/>
  <c r="P4" i="120" l="1"/>
  <c r="D34" i="58" s="1"/>
  <c r="K19" i="112"/>
  <c r="L19" i="112" s="1"/>
  <c r="AA19" i="112" s="1"/>
  <c r="AC19" i="112" s="1"/>
  <c r="K18" i="112"/>
  <c r="L18" i="112" s="1"/>
  <c r="R18" i="112" s="1"/>
  <c r="S18" i="112" s="1"/>
  <c r="K20" i="112"/>
  <c r="L20" i="112" s="1"/>
  <c r="R20" i="112" s="1"/>
  <c r="S20" i="112" s="1"/>
  <c r="K17" i="112"/>
  <c r="L17" i="112" s="1"/>
  <c r="AA17" i="112" s="1"/>
  <c r="AC17" i="112" s="1"/>
  <c r="D66" i="90"/>
  <c r="D62" i="90"/>
  <c r="K15" i="112"/>
  <c r="L15" i="112" s="1"/>
  <c r="R15" i="112" s="1"/>
  <c r="S15" i="112" s="1"/>
  <c r="F51" i="98"/>
  <c r="K13" i="112"/>
  <c r="L13" i="112" s="1"/>
  <c r="R13" i="112" s="1"/>
  <c r="S13" i="112" s="1"/>
  <c r="K23" i="112"/>
  <c r="L23" i="112" s="1"/>
  <c r="AA23" i="112" s="1"/>
  <c r="AC23" i="112" s="1"/>
  <c r="G12" i="90"/>
  <c r="D12" i="90"/>
  <c r="B29" i="90" s="1"/>
  <c r="AA6" i="112"/>
  <c r="AC6" i="112" s="1"/>
  <c r="R5" i="112"/>
  <c r="S5" i="112" s="1"/>
  <c r="H23" i="120"/>
  <c r="AA22" i="112"/>
  <c r="AC22" i="112" s="1"/>
  <c r="O4" i="104"/>
  <c r="V4" i="112" s="1"/>
  <c r="E4" i="118"/>
  <c r="AP112" i="113"/>
  <c r="AR112" i="113" s="1"/>
  <c r="AA8" i="112"/>
  <c r="AC8" i="112" s="1"/>
  <c r="R7" i="112"/>
  <c r="S7" i="112" s="1"/>
  <c r="R11" i="112"/>
  <c r="S11" i="112" s="1"/>
  <c r="R10" i="112"/>
  <c r="S10" i="112" s="1"/>
  <c r="AA9" i="112"/>
  <c r="AC9" i="112" s="1"/>
  <c r="AA12" i="112"/>
  <c r="AC12" i="112" s="1"/>
  <c r="K4" i="112"/>
  <c r="P57" i="98"/>
  <c r="U8" i="95"/>
  <c r="U12" i="95"/>
  <c r="U16" i="95"/>
  <c r="U20" i="95"/>
  <c r="U6" i="95"/>
  <c r="U32" i="95"/>
  <c r="U36" i="95"/>
  <c r="U40" i="95"/>
  <c r="U44" i="95"/>
  <c r="U52" i="95"/>
  <c r="U56" i="95"/>
  <c r="U60" i="95"/>
  <c r="U64" i="95"/>
  <c r="U50" i="95"/>
  <c r="U76" i="95"/>
  <c r="U80" i="95"/>
  <c r="U84" i="95"/>
  <c r="U88" i="95"/>
  <c r="U15" i="95"/>
  <c r="U31" i="95"/>
  <c r="U51" i="95"/>
  <c r="U63" i="95"/>
  <c r="U79" i="95"/>
  <c r="U9" i="95"/>
  <c r="U13" i="95"/>
  <c r="U17" i="95"/>
  <c r="U21" i="95"/>
  <c r="U29" i="95"/>
  <c r="U33" i="95"/>
  <c r="U37" i="95"/>
  <c r="U41" i="95"/>
  <c r="U45" i="95"/>
  <c r="U53" i="95"/>
  <c r="U57" i="95"/>
  <c r="U61" i="95"/>
  <c r="U65" i="95"/>
  <c r="U73" i="95"/>
  <c r="U77" i="95"/>
  <c r="U81" i="95"/>
  <c r="U85" i="95"/>
  <c r="U89" i="95"/>
  <c r="U11" i="95"/>
  <c r="U35" i="95"/>
  <c r="U55" i="95"/>
  <c r="U67" i="95"/>
  <c r="U87" i="95"/>
  <c r="U10" i="95"/>
  <c r="U14" i="95"/>
  <c r="U18" i="95"/>
  <c r="U22" i="95"/>
  <c r="U30" i="95"/>
  <c r="U34" i="95"/>
  <c r="U38" i="95"/>
  <c r="U42" i="95"/>
  <c r="U28" i="95"/>
  <c r="U54" i="95"/>
  <c r="U58" i="95"/>
  <c r="U62" i="95"/>
  <c r="U66" i="95"/>
  <c r="U74" i="95"/>
  <c r="U78" i="95"/>
  <c r="U82" i="95"/>
  <c r="U86" i="95"/>
  <c r="U72" i="95"/>
  <c r="U7" i="95"/>
  <c r="U19" i="95"/>
  <c r="U23" i="95"/>
  <c r="U39" i="95"/>
  <c r="U43" i="95"/>
  <c r="U59" i="95"/>
  <c r="U75" i="95"/>
  <c r="U83" i="95"/>
  <c r="D5" i="105"/>
  <c r="F5" i="105" s="1"/>
  <c r="B5" i="103"/>
  <c r="F5" i="103" s="1"/>
  <c r="D6" i="105"/>
  <c r="F6" i="105" s="1"/>
  <c r="B6" i="103"/>
  <c r="F6" i="103" s="1"/>
  <c r="T116" i="108"/>
  <c r="AO116" i="108" s="1"/>
  <c r="M8" i="104"/>
  <c r="AP116" i="121" s="1"/>
  <c r="AR116" i="121" s="1"/>
  <c r="X4" i="104"/>
  <c r="AA4" i="104"/>
  <c r="AJ4" i="104"/>
  <c r="T123" i="108"/>
  <c r="AR123" i="108" s="1"/>
  <c r="M18" i="104"/>
  <c r="AP123" i="121" s="1"/>
  <c r="AR123" i="121" s="1"/>
  <c r="T115" i="108"/>
  <c r="AO115" i="108" s="1"/>
  <c r="M7" i="104"/>
  <c r="AP115" i="121" s="1"/>
  <c r="AR115" i="121" s="1"/>
  <c r="T126" i="108"/>
  <c r="AO126" i="108" s="1"/>
  <c r="M12" i="104"/>
  <c r="AP126" i="121" s="1"/>
  <c r="AR126" i="121" s="1"/>
  <c r="T125" i="108"/>
  <c r="AR125" i="108" s="1"/>
  <c r="M20" i="104"/>
  <c r="AP125" i="121" s="1"/>
  <c r="AR125" i="121" s="1"/>
  <c r="T120" i="108"/>
  <c r="AO120" i="108" s="1"/>
  <c r="M23" i="104"/>
  <c r="AP120" i="121" s="1"/>
  <c r="AR120" i="121" s="1"/>
  <c r="T129" i="108"/>
  <c r="AO129" i="108" s="1"/>
  <c r="M15" i="104"/>
  <c r="AP129" i="121" s="1"/>
  <c r="AR129" i="121" s="1"/>
  <c r="T121" i="108"/>
  <c r="AL121" i="108" s="1"/>
  <c r="M10" i="104"/>
  <c r="T119" i="108"/>
  <c r="AL119" i="108" s="1"/>
  <c r="M9" i="104"/>
  <c r="AP119" i="121" s="1"/>
  <c r="AR119" i="121" s="1"/>
  <c r="T114" i="108"/>
  <c r="M6" i="104"/>
  <c r="AP114" i="121" s="1"/>
  <c r="AR114" i="121" s="1"/>
  <c r="T122" i="108"/>
  <c r="AL122" i="108" s="1"/>
  <c r="M11" i="104"/>
  <c r="AP122" i="121" s="1"/>
  <c r="AR122" i="121" s="1"/>
  <c r="T128" i="108"/>
  <c r="AR128" i="108" s="1"/>
  <c r="M14" i="104"/>
  <c r="AP128" i="121" s="1"/>
  <c r="AR128" i="121" s="1"/>
  <c r="J116" i="108"/>
  <c r="H8" i="104" s="1"/>
  <c r="R113" i="108"/>
  <c r="R117" i="108"/>
  <c r="J118" i="108"/>
  <c r="H22" i="104" s="1"/>
  <c r="R118" i="108"/>
  <c r="J127" i="108"/>
  <c r="H13" i="104" s="1"/>
  <c r="R127" i="108"/>
  <c r="R124" i="108"/>
  <c r="J124" i="108"/>
  <c r="H19" i="104" s="1"/>
  <c r="J117" i="108"/>
  <c r="H17" i="104" s="1"/>
  <c r="I131" i="108"/>
  <c r="T112" i="108"/>
  <c r="J113" i="108"/>
  <c r="H5" i="104" s="1"/>
  <c r="F131" i="108"/>
  <c r="L39" i="73"/>
  <c r="V118" i="92"/>
  <c r="O23" i="91" s="1"/>
  <c r="Z23" i="91" s="1"/>
  <c r="G16" i="96"/>
  <c r="O12" i="93"/>
  <c r="L38" i="73"/>
  <c r="G15" i="93"/>
  <c r="I30" i="93"/>
  <c r="K11" i="93"/>
  <c r="G44" i="93"/>
  <c r="D46" i="58"/>
  <c r="M123" i="66"/>
  <c r="X14" i="69" s="1"/>
  <c r="O7" i="93"/>
  <c r="I11" i="93"/>
  <c r="H10" i="80"/>
  <c r="I23" i="93"/>
  <c r="Q30" i="93"/>
  <c r="G7" i="93"/>
  <c r="I19" i="93"/>
  <c r="AR26" i="86"/>
  <c r="B9" i="89" s="1"/>
  <c r="I37" i="93"/>
  <c r="E13" i="92" s="1"/>
  <c r="N17" i="73"/>
  <c r="N119" i="73" s="1"/>
  <c r="N10" i="73"/>
  <c r="N112" i="73" s="1"/>
  <c r="Z108" i="73"/>
  <c r="Z112" i="73"/>
  <c r="Z116" i="73"/>
  <c r="K17" i="84"/>
  <c r="M42" i="96"/>
  <c r="L151" i="96" s="1"/>
  <c r="P48" i="98"/>
  <c r="AE17" i="101"/>
  <c r="AS20" i="101"/>
  <c r="N19" i="41"/>
  <c r="H19" i="17" s="1"/>
  <c r="N9" i="41"/>
  <c r="H9" i="17" s="1"/>
  <c r="K20" i="74"/>
  <c r="P19" i="85"/>
  <c r="Y121" i="85" s="1"/>
  <c r="L82" i="92"/>
  <c r="R120" i="92" s="1"/>
  <c r="Q33" i="93"/>
  <c r="F131" i="93"/>
  <c r="I38" i="96"/>
  <c r="J45" i="41"/>
  <c r="F43" i="78" s="1"/>
  <c r="L123" i="73"/>
  <c r="G45" i="93"/>
  <c r="I47" i="93"/>
  <c r="O7" i="96"/>
  <c r="L32" i="74"/>
  <c r="N134" i="96"/>
  <c r="F45" i="95" s="1"/>
  <c r="M45" i="95" s="1"/>
  <c r="Q129" i="95" s="1"/>
  <c r="S124" i="95"/>
  <c r="D43" i="66"/>
  <c r="Y17" i="51"/>
  <c r="W14" i="68" s="1"/>
  <c r="Z112" i="78"/>
  <c r="Z109" i="78"/>
  <c r="AI116" i="73"/>
  <c r="AF113" i="73"/>
  <c r="AI109" i="73"/>
  <c r="I31" i="93"/>
  <c r="M38" i="93"/>
  <c r="H131" i="93"/>
  <c r="G42" i="96"/>
  <c r="O46" i="96"/>
  <c r="K9" i="74"/>
  <c r="AD26" i="60"/>
  <c r="AD66" i="60" s="1"/>
  <c r="D21" i="78"/>
  <c r="H10" i="41"/>
  <c r="E10" i="17" s="1"/>
  <c r="F36" i="41"/>
  <c r="D78" i="85" s="1"/>
  <c r="L44" i="41"/>
  <c r="G64" i="66" s="1"/>
  <c r="K8" i="74"/>
  <c r="AE21" i="86"/>
  <c r="AE23" i="86"/>
  <c r="M21" i="93"/>
  <c r="O31" i="93"/>
  <c r="K38" i="96"/>
  <c r="G14" i="96"/>
  <c r="E34" i="66"/>
  <c r="E34" i="85"/>
  <c r="E56" i="78"/>
  <c r="N35" i="41"/>
  <c r="H11" i="66" s="1"/>
  <c r="Z124" i="78"/>
  <c r="E85" i="96"/>
  <c r="E86" i="96" s="1"/>
  <c r="K38" i="93"/>
  <c r="O10" i="96"/>
  <c r="L32" i="41"/>
  <c r="G74" i="66" s="1"/>
  <c r="H6" i="41"/>
  <c r="E6" i="17" s="1"/>
  <c r="J39" i="41"/>
  <c r="F81" i="66" s="1"/>
  <c r="N53" i="85"/>
  <c r="O111" i="85" s="1"/>
  <c r="AE10" i="60"/>
  <c r="G55" i="86"/>
  <c r="AI61" i="86"/>
  <c r="K33" i="93"/>
  <c r="G33" i="93"/>
  <c r="L123" i="96"/>
  <c r="H13" i="41"/>
  <c r="E13" i="17" s="1"/>
  <c r="L121" i="66"/>
  <c r="M12" i="69" s="1"/>
  <c r="P12" i="69" s="1"/>
  <c r="L43" i="41"/>
  <c r="G63" i="78" s="1"/>
  <c r="Z120" i="78"/>
  <c r="L32" i="73"/>
  <c r="N63" i="95"/>
  <c r="E125" i="95" s="1"/>
  <c r="H44" i="41"/>
  <c r="E42" i="78" s="1"/>
  <c r="N39" i="41"/>
  <c r="H59" i="78" s="1"/>
  <c r="N59" i="78" s="1"/>
  <c r="O117" i="78" s="1"/>
  <c r="S116" i="73"/>
  <c r="N23" i="73"/>
  <c r="N125" i="73" s="1"/>
  <c r="Q15" i="92"/>
  <c r="G14" i="93"/>
  <c r="K10" i="93"/>
  <c r="M11" i="96"/>
  <c r="P121" i="93"/>
  <c r="G77" i="78"/>
  <c r="G77" i="66"/>
  <c r="Y126" i="95"/>
  <c r="AA126" i="95" s="1"/>
  <c r="H31" i="78"/>
  <c r="K31" i="78" s="1"/>
  <c r="Q111" i="78" s="1"/>
  <c r="H37" i="66"/>
  <c r="AB26" i="60"/>
  <c r="AB59" i="60" s="1"/>
  <c r="L6" i="41"/>
  <c r="G6" i="17" s="1"/>
  <c r="N22" i="51"/>
  <c r="P22" i="51" s="1"/>
  <c r="N19" i="51"/>
  <c r="Z9" i="17"/>
  <c r="V34" i="96" s="1"/>
  <c r="AE18" i="60"/>
  <c r="AE7" i="60"/>
  <c r="AE23" i="60"/>
  <c r="Z114" i="78"/>
  <c r="Z118" i="78"/>
  <c r="AI121" i="73"/>
  <c r="AF116" i="73"/>
  <c r="AF111" i="73"/>
  <c r="AF118" i="73"/>
  <c r="AF117" i="73"/>
  <c r="J118" i="73"/>
  <c r="L36" i="73"/>
  <c r="I123" i="73"/>
  <c r="P7" i="85"/>
  <c r="Y109" i="85" s="1"/>
  <c r="K23" i="91"/>
  <c r="I15" i="93"/>
  <c r="M33" i="93"/>
  <c r="G37" i="93"/>
  <c r="D13" i="92" s="1"/>
  <c r="Q38" i="93"/>
  <c r="M23" i="93"/>
  <c r="O23" i="93"/>
  <c r="M19" i="93"/>
  <c r="G19" i="93"/>
  <c r="I38" i="93"/>
  <c r="G11" i="93"/>
  <c r="K40" i="93"/>
  <c r="F16" i="92" s="1"/>
  <c r="M31" i="93"/>
  <c r="O37" i="93"/>
  <c r="H13" i="92" s="1"/>
  <c r="L119" i="93"/>
  <c r="H134" i="96"/>
  <c r="E89" i="95" s="1"/>
  <c r="O16" i="96"/>
  <c r="O11" i="96"/>
  <c r="Q38" i="96"/>
  <c r="N123" i="93"/>
  <c r="O38" i="96"/>
  <c r="Z108" i="78"/>
  <c r="AA111" i="85"/>
  <c r="V115" i="92"/>
  <c r="O17" i="91" s="1"/>
  <c r="Z17" i="91" s="1"/>
  <c r="S123" i="95"/>
  <c r="D65" i="85"/>
  <c r="L123" i="66"/>
  <c r="M14" i="69" s="1"/>
  <c r="B24" i="80" s="1"/>
  <c r="F33" i="41"/>
  <c r="D75" i="85" s="1"/>
  <c r="L39" i="41"/>
  <c r="G37" i="66" s="1"/>
  <c r="F39" i="41"/>
  <c r="D37" i="66" s="1"/>
  <c r="Z25" i="17"/>
  <c r="Z12" i="17"/>
  <c r="V37" i="93" s="1"/>
  <c r="AE21" i="60"/>
  <c r="F117" i="73"/>
  <c r="S118" i="73"/>
  <c r="E85" i="93"/>
  <c r="E86" i="93" s="1"/>
  <c r="K87" i="93" s="1"/>
  <c r="H15" i="92" s="1"/>
  <c r="G31" i="93"/>
  <c r="I7" i="93"/>
  <c r="K37" i="93"/>
  <c r="F13" i="92" s="1"/>
  <c r="I33" i="93"/>
  <c r="Q31" i="93"/>
  <c r="M7" i="93"/>
  <c r="G23" i="93"/>
  <c r="G5" i="93"/>
  <c r="M11" i="93"/>
  <c r="G38" i="93"/>
  <c r="S38" i="93" s="1"/>
  <c r="O15" i="93"/>
  <c r="Z127" i="92"/>
  <c r="H121" i="93"/>
  <c r="N121" i="93"/>
  <c r="G38" i="96"/>
  <c r="K20" i="96"/>
  <c r="M12" i="96"/>
  <c r="K42" i="96"/>
  <c r="J151" i="96" s="1"/>
  <c r="K12" i="96"/>
  <c r="D52" i="85"/>
  <c r="D8" i="85"/>
  <c r="F69" i="96" s="1"/>
  <c r="D8" i="66"/>
  <c r="D74" i="78"/>
  <c r="D30" i="66"/>
  <c r="D64" i="85"/>
  <c r="D86" i="66"/>
  <c r="J125" i="73"/>
  <c r="L45" i="73"/>
  <c r="Q12" i="92"/>
  <c r="V116" i="92"/>
  <c r="O22" i="91" s="1"/>
  <c r="Z22" i="91" s="1"/>
  <c r="Q56" i="92"/>
  <c r="O56" i="92"/>
  <c r="O116" i="92" s="1"/>
  <c r="L33" i="92"/>
  <c r="Q115" i="92" s="1"/>
  <c r="O53" i="92"/>
  <c r="O113" i="92" s="1"/>
  <c r="L72" i="92"/>
  <c r="R110" i="92" s="1"/>
  <c r="L84" i="92"/>
  <c r="R122" i="92" s="1"/>
  <c r="O65" i="92"/>
  <c r="O125" i="92" s="1"/>
  <c r="L81" i="92"/>
  <c r="R119" i="92" s="1"/>
  <c r="L44" i="92"/>
  <c r="Q126" i="92" s="1"/>
  <c r="S126" i="92" s="1"/>
  <c r="L74" i="92"/>
  <c r="R112" i="92" s="1"/>
  <c r="L79" i="92"/>
  <c r="R117" i="92" s="1"/>
  <c r="E10" i="66"/>
  <c r="E10" i="78"/>
  <c r="E54" i="66"/>
  <c r="Q12" i="51"/>
  <c r="T12" i="51" s="1"/>
  <c r="V12" i="51" s="1"/>
  <c r="Y12" i="51" s="1"/>
  <c r="W9" i="68" s="1"/>
  <c r="N12" i="51"/>
  <c r="P15" i="73"/>
  <c r="N15" i="73"/>
  <c r="N117" i="73" s="1"/>
  <c r="P53" i="73"/>
  <c r="N53" i="73"/>
  <c r="O111" i="73" s="1"/>
  <c r="Y108" i="78"/>
  <c r="P8" i="85"/>
  <c r="P20" i="85"/>
  <c r="Y122" i="85" s="1"/>
  <c r="V122" i="85"/>
  <c r="O12" i="84" s="1"/>
  <c r="Z12" i="84" s="1"/>
  <c r="K5" i="84"/>
  <c r="K5" i="91"/>
  <c r="K8" i="91"/>
  <c r="K8" i="84"/>
  <c r="K20" i="84"/>
  <c r="K20" i="91"/>
  <c r="K6" i="93"/>
  <c r="I34" i="93"/>
  <c r="O52" i="92"/>
  <c r="O112" i="92" s="1"/>
  <c r="L41" i="92"/>
  <c r="Q123" i="92" s="1"/>
  <c r="L78" i="92"/>
  <c r="R116" i="92" s="1"/>
  <c r="S116" i="92" s="1"/>
  <c r="L124" i="93"/>
  <c r="N124" i="93"/>
  <c r="L117" i="96"/>
  <c r="H72" i="95" s="1"/>
  <c r="J117" i="96"/>
  <c r="D72" i="95" s="1"/>
  <c r="N55" i="95"/>
  <c r="E117" i="95" s="1"/>
  <c r="G15" i="78"/>
  <c r="G81" i="66"/>
  <c r="K7" i="79"/>
  <c r="V121" i="78"/>
  <c r="O20" i="74" s="1"/>
  <c r="R20" i="74" s="1"/>
  <c r="J119" i="73"/>
  <c r="L119" i="73" s="1"/>
  <c r="K113" i="73"/>
  <c r="L113" i="73" s="1"/>
  <c r="L77" i="73"/>
  <c r="N8" i="73"/>
  <c r="N110" i="73" s="1"/>
  <c r="S121" i="73"/>
  <c r="K7" i="91"/>
  <c r="K100" i="96"/>
  <c r="O54" i="92"/>
  <c r="O114" i="92" s="1"/>
  <c r="O62" i="92"/>
  <c r="O122" i="92" s="1"/>
  <c r="N53" i="92"/>
  <c r="H113" i="92" s="1"/>
  <c r="O47" i="93"/>
  <c r="M47" i="93"/>
  <c r="G47" i="93"/>
  <c r="Q47" i="93"/>
  <c r="M43" i="93"/>
  <c r="G19" i="92" s="1"/>
  <c r="Q43" i="93"/>
  <c r="I19" i="92" s="1"/>
  <c r="O19" i="92" s="1"/>
  <c r="N123" i="92" s="1"/>
  <c r="K43" i="93"/>
  <c r="F19" i="92" s="1"/>
  <c r="K45" i="93"/>
  <c r="I45" i="93"/>
  <c r="Y16" i="51"/>
  <c r="W13" i="68" s="1"/>
  <c r="W16" i="51"/>
  <c r="H46" i="41"/>
  <c r="E22" i="78" s="1"/>
  <c r="N46" i="41"/>
  <c r="H22" i="78" s="1"/>
  <c r="N22" i="78" s="1"/>
  <c r="N124" i="78" s="1"/>
  <c r="E111" i="93"/>
  <c r="K112" i="93" s="1"/>
  <c r="H14" i="92" s="1"/>
  <c r="K110" i="93"/>
  <c r="G11" i="78"/>
  <c r="G11" i="66"/>
  <c r="E34" i="78"/>
  <c r="E56" i="66"/>
  <c r="E56" i="85"/>
  <c r="E78" i="66"/>
  <c r="H19" i="41"/>
  <c r="E19" i="17" s="1"/>
  <c r="F19" i="41"/>
  <c r="D19" i="17" s="1"/>
  <c r="L19" i="41"/>
  <c r="G19" i="17" s="1"/>
  <c r="H9" i="41"/>
  <c r="E9" i="17" s="1"/>
  <c r="F9" i="41"/>
  <c r="J9" i="41"/>
  <c r="F9" i="17" s="1"/>
  <c r="G55" i="60"/>
  <c r="J32" i="41"/>
  <c r="F74" i="85" s="1"/>
  <c r="N32" i="41"/>
  <c r="H74" i="66" s="1"/>
  <c r="H32" i="41"/>
  <c r="E30" i="78" s="1"/>
  <c r="N36" i="41"/>
  <c r="H34" i="85" s="1"/>
  <c r="K34" i="85" s="1"/>
  <c r="Q114" i="85" s="1"/>
  <c r="L36" i="41"/>
  <c r="J36" i="41"/>
  <c r="F12" i="85" s="1"/>
  <c r="G38" i="78"/>
  <c r="G38" i="66"/>
  <c r="G16" i="78"/>
  <c r="N44" i="41"/>
  <c r="H64" i="66" s="1"/>
  <c r="J44" i="41"/>
  <c r="F64" i="66" s="1"/>
  <c r="M120" i="66"/>
  <c r="X20" i="69" s="1"/>
  <c r="L124" i="66"/>
  <c r="M15" i="69" s="1"/>
  <c r="P15" i="69" s="1"/>
  <c r="E25" i="69"/>
  <c r="O24" i="17"/>
  <c r="K23" i="79"/>
  <c r="K23" i="74"/>
  <c r="K5" i="79"/>
  <c r="K5" i="74"/>
  <c r="L83" i="73"/>
  <c r="Q124" i="73"/>
  <c r="S124" i="73" s="1"/>
  <c r="L44" i="73"/>
  <c r="H11" i="83"/>
  <c r="Q34" i="93"/>
  <c r="V112" i="92"/>
  <c r="E70" i="93" s="1"/>
  <c r="G6" i="96"/>
  <c r="J132" i="93"/>
  <c r="F126" i="93"/>
  <c r="L126" i="93"/>
  <c r="R134" i="93"/>
  <c r="F134" i="93"/>
  <c r="K36" i="96"/>
  <c r="J145" i="96" s="1"/>
  <c r="O36" i="96"/>
  <c r="I47" i="96"/>
  <c r="Q47" i="96"/>
  <c r="P63" i="95"/>
  <c r="O125" i="95" s="1"/>
  <c r="N19" i="95"/>
  <c r="D125" i="95" s="1"/>
  <c r="K110" i="96"/>
  <c r="N25" i="51"/>
  <c r="N17" i="51"/>
  <c r="L28" i="68"/>
  <c r="Y125" i="78"/>
  <c r="AI112" i="73"/>
  <c r="AI117" i="73"/>
  <c r="L29" i="73"/>
  <c r="V119" i="73"/>
  <c r="O18" i="79" s="1"/>
  <c r="R18" i="79" s="1"/>
  <c r="F8" i="89"/>
  <c r="H119" i="93"/>
  <c r="L131" i="93"/>
  <c r="J123" i="93"/>
  <c r="N16" i="51"/>
  <c r="K30" i="51"/>
  <c r="N30" i="51" s="1"/>
  <c r="Z24" i="17"/>
  <c r="Z11" i="17"/>
  <c r="R23" i="68" s="1"/>
  <c r="U23" i="68" s="1"/>
  <c r="L28" i="73"/>
  <c r="F114" i="73"/>
  <c r="F108" i="73"/>
  <c r="Z117" i="85"/>
  <c r="N62" i="95"/>
  <c r="E124" i="95" s="1"/>
  <c r="I33" i="94"/>
  <c r="C4" i="76"/>
  <c r="N21" i="51"/>
  <c r="P21" i="51" s="1"/>
  <c r="N10" i="51"/>
  <c r="Z21" i="17"/>
  <c r="R14" i="68" s="1"/>
  <c r="U14" i="68" s="1"/>
  <c r="J37" i="41"/>
  <c r="F13" i="85" s="1"/>
  <c r="N37" i="41"/>
  <c r="H13" i="85" s="1"/>
  <c r="N13" i="85" s="1"/>
  <c r="N115" i="85" s="1"/>
  <c r="M12" i="66"/>
  <c r="M113" i="66" s="1"/>
  <c r="X22" i="69" s="1"/>
  <c r="L113" i="66"/>
  <c r="M22" i="69" s="1"/>
  <c r="P22" i="69" s="1"/>
  <c r="M16" i="66"/>
  <c r="M117" i="66" s="1"/>
  <c r="L117" i="66"/>
  <c r="M11" i="69" s="1"/>
  <c r="P11" i="69" s="1"/>
  <c r="M62" i="66"/>
  <c r="M119" i="66" s="1"/>
  <c r="L119" i="66"/>
  <c r="M19" i="69" s="1"/>
  <c r="P19" i="69" s="1"/>
  <c r="Q11" i="51"/>
  <c r="T11" i="51" s="1"/>
  <c r="V11" i="51" s="1"/>
  <c r="W11" i="51" s="1"/>
  <c r="N11" i="51"/>
  <c r="Q8" i="51"/>
  <c r="T8" i="51" s="1"/>
  <c r="V8" i="51" s="1"/>
  <c r="Y8" i="51" s="1"/>
  <c r="W5" i="68" s="1"/>
  <c r="N8" i="51"/>
  <c r="K10" i="79"/>
  <c r="K10" i="74"/>
  <c r="K14" i="74"/>
  <c r="K14" i="79"/>
  <c r="Z115" i="78"/>
  <c r="J110" i="73"/>
  <c r="L30" i="73"/>
  <c r="K44" i="92"/>
  <c r="K88" i="92"/>
  <c r="M88" i="92" s="1"/>
  <c r="M46" i="93"/>
  <c r="O46" i="93"/>
  <c r="G46" i="93"/>
  <c r="I46" i="93"/>
  <c r="K46" i="93"/>
  <c r="Q46" i="93"/>
  <c r="E60" i="95"/>
  <c r="J169" i="96"/>
  <c r="R169" i="96" s="1"/>
  <c r="N17" i="95"/>
  <c r="D123" i="95" s="1"/>
  <c r="I34" i="94"/>
  <c r="D39" i="66"/>
  <c r="G59" i="78"/>
  <c r="F21" i="85"/>
  <c r="H94" i="93" s="1"/>
  <c r="H11" i="61"/>
  <c r="J41" i="41"/>
  <c r="F17" i="66" s="1"/>
  <c r="K17" i="79"/>
  <c r="L20" i="41"/>
  <c r="G20" i="17" s="1"/>
  <c r="N20" i="41"/>
  <c r="H20" i="17" s="1"/>
  <c r="N7" i="41"/>
  <c r="H7" i="17" s="1"/>
  <c r="H7" i="41"/>
  <c r="E7" i="17" s="1"/>
  <c r="F30" i="41"/>
  <c r="D6" i="85" s="1"/>
  <c r="J30" i="41"/>
  <c r="F72" i="85" s="1"/>
  <c r="AE21" i="81"/>
  <c r="L78" i="73"/>
  <c r="K9" i="91"/>
  <c r="K9" i="84"/>
  <c r="P118" i="93"/>
  <c r="R118" i="93"/>
  <c r="N118" i="93"/>
  <c r="F118" i="93"/>
  <c r="P134" i="93"/>
  <c r="J134" i="93"/>
  <c r="L134" i="93"/>
  <c r="N134" i="93"/>
  <c r="H134" i="93"/>
  <c r="G32" i="96"/>
  <c r="Q32" i="96"/>
  <c r="M32" i="96"/>
  <c r="I32" i="96"/>
  <c r="O32" i="96"/>
  <c r="Q36" i="96"/>
  <c r="G36" i="96"/>
  <c r="M36" i="96"/>
  <c r="M39" i="96"/>
  <c r="L148" i="96" s="1"/>
  <c r="Q39" i="96"/>
  <c r="D152" i="96"/>
  <c r="Q43" i="96"/>
  <c r="N152" i="96" s="1"/>
  <c r="G43" i="96"/>
  <c r="M43" i="96"/>
  <c r="L152" i="96" s="1"/>
  <c r="I43" i="96"/>
  <c r="H152" i="96" s="1"/>
  <c r="O43" i="96"/>
  <c r="R152" i="96" s="1"/>
  <c r="D141" i="96"/>
  <c r="F119" i="96"/>
  <c r="G74" i="95" s="1"/>
  <c r="P119" i="96"/>
  <c r="J127" i="96"/>
  <c r="D38" i="95" s="1"/>
  <c r="R127" i="96"/>
  <c r="J60" i="95" s="1"/>
  <c r="F127" i="96"/>
  <c r="G60" i="95" s="1"/>
  <c r="L112" i="66"/>
  <c r="M17" i="69" s="1"/>
  <c r="P17" i="69" s="1"/>
  <c r="M11" i="66"/>
  <c r="M112" i="66" s="1"/>
  <c r="D109" i="73"/>
  <c r="F109" i="73" s="1"/>
  <c r="O7" i="73"/>
  <c r="L37" i="73"/>
  <c r="J117" i="73"/>
  <c r="V119" i="85"/>
  <c r="O18" i="84" s="1"/>
  <c r="W18" i="84" s="1"/>
  <c r="P17" i="85"/>
  <c r="Y119" i="85" s="1"/>
  <c r="Q50" i="92"/>
  <c r="Y110" i="92" s="1"/>
  <c r="O50" i="92"/>
  <c r="O110" i="92" s="1"/>
  <c r="Q66" i="92"/>
  <c r="O66" i="92"/>
  <c r="O126" i="92" s="1"/>
  <c r="M8" i="93"/>
  <c r="G8" i="93"/>
  <c r="K8" i="93"/>
  <c r="I8" i="93"/>
  <c r="O8" i="93"/>
  <c r="M20" i="93"/>
  <c r="O20" i="93"/>
  <c r="I36" i="93"/>
  <c r="E12" i="92" s="1"/>
  <c r="Q36" i="93"/>
  <c r="I12" i="92" s="1"/>
  <c r="O12" i="92" s="1"/>
  <c r="N116" i="92" s="1"/>
  <c r="M36" i="93"/>
  <c r="G12" i="92" s="1"/>
  <c r="V114" i="95"/>
  <c r="O6" i="94" s="1"/>
  <c r="Q6" i="94" s="1"/>
  <c r="R8" i="95"/>
  <c r="Y114" i="95" s="1"/>
  <c r="AA114" i="95" s="1"/>
  <c r="L89" i="73"/>
  <c r="K125" i="73"/>
  <c r="P13" i="85"/>
  <c r="Y115" i="85" s="1"/>
  <c r="Q22" i="92"/>
  <c r="K20" i="93"/>
  <c r="K22" i="96"/>
  <c r="I22" i="96"/>
  <c r="O22" i="96"/>
  <c r="N61" i="95"/>
  <c r="E123" i="95" s="1"/>
  <c r="D53" i="66"/>
  <c r="G37" i="78"/>
  <c r="D30" i="78"/>
  <c r="D9" i="85"/>
  <c r="F74" i="96" s="1"/>
  <c r="J7" i="41"/>
  <c r="F7" i="17" s="1"/>
  <c r="L33" i="41"/>
  <c r="G75" i="66" s="1"/>
  <c r="J20" i="41"/>
  <c r="F20" i="17" s="1"/>
  <c r="L120" i="66"/>
  <c r="M20" i="69" s="1"/>
  <c r="P20" i="69" s="1"/>
  <c r="K12" i="79"/>
  <c r="L43" i="73"/>
  <c r="L88" i="73"/>
  <c r="K124" i="73"/>
  <c r="L124" i="73" s="1"/>
  <c r="K6" i="84"/>
  <c r="K14" i="84"/>
  <c r="O58" i="92"/>
  <c r="O118" i="92" s="1"/>
  <c r="L119" i="96"/>
  <c r="H52" i="95" s="1"/>
  <c r="Z15" i="17"/>
  <c r="S40" i="41" s="1"/>
  <c r="L114" i="66"/>
  <c r="M9" i="69" s="1"/>
  <c r="P9" i="69" s="1"/>
  <c r="N110" i="66"/>
  <c r="Y7" i="69" s="1"/>
  <c r="J29" i="69"/>
  <c r="S125" i="73"/>
  <c r="S110" i="73"/>
  <c r="Z113" i="73"/>
  <c r="V116" i="85"/>
  <c r="O23" i="84" s="1"/>
  <c r="W23" i="84" s="1"/>
  <c r="P58" i="85"/>
  <c r="Y116" i="85" s="1"/>
  <c r="AA116" i="85" s="1"/>
  <c r="Z110" i="92"/>
  <c r="K33" i="92"/>
  <c r="J115" i="92" s="1"/>
  <c r="K85" i="92"/>
  <c r="K38" i="92"/>
  <c r="N65" i="92"/>
  <c r="H125" i="92" s="1"/>
  <c r="K89" i="92"/>
  <c r="K127" i="92" s="1"/>
  <c r="M58" i="92"/>
  <c r="E118" i="92" s="1"/>
  <c r="M63" i="92"/>
  <c r="E123" i="92" s="1"/>
  <c r="L39" i="92"/>
  <c r="Q121" i="92" s="1"/>
  <c r="L37" i="92"/>
  <c r="Q119" i="92" s="1"/>
  <c r="L35" i="92"/>
  <c r="Q117" i="92" s="1"/>
  <c r="L75" i="92"/>
  <c r="R113" i="92" s="1"/>
  <c r="O63" i="92"/>
  <c r="O123" i="92" s="1"/>
  <c r="L76" i="92"/>
  <c r="R114" i="92" s="1"/>
  <c r="O55" i="92"/>
  <c r="O115" i="92" s="1"/>
  <c r="L45" i="92"/>
  <c r="Q127" i="92" s="1"/>
  <c r="L28" i="92"/>
  <c r="Q110" i="92" s="1"/>
  <c r="L77" i="92"/>
  <c r="R115" i="92" s="1"/>
  <c r="L36" i="92"/>
  <c r="Q118" i="92" s="1"/>
  <c r="L80" i="92"/>
  <c r="R118" i="92" s="1"/>
  <c r="L87" i="92"/>
  <c r="R125" i="92" s="1"/>
  <c r="L85" i="92"/>
  <c r="R123" i="92" s="1"/>
  <c r="L83" i="92"/>
  <c r="R121" i="92" s="1"/>
  <c r="O61" i="92"/>
  <c r="O121" i="92" s="1"/>
  <c r="L40" i="92"/>
  <c r="Q122" i="92" s="1"/>
  <c r="G18" i="93"/>
  <c r="K18" i="93"/>
  <c r="Q41" i="93"/>
  <c r="I17" i="92" s="1"/>
  <c r="O17" i="92" s="1"/>
  <c r="N121" i="92" s="1"/>
  <c r="P121" i="92" s="1"/>
  <c r="O41" i="93"/>
  <c r="H17" i="92" s="1"/>
  <c r="M41" i="93"/>
  <c r="G17" i="92" s="1"/>
  <c r="P61" i="95"/>
  <c r="O123" i="95" s="1"/>
  <c r="H26" i="60"/>
  <c r="N123" i="66"/>
  <c r="Y14" i="69" s="1"/>
  <c r="N119" i="66"/>
  <c r="Y19" i="69" s="1"/>
  <c r="N115" i="66"/>
  <c r="Y23" i="69" s="1"/>
  <c r="N111" i="66"/>
  <c r="Y8" i="69" s="1"/>
  <c r="N107" i="66"/>
  <c r="Y4" i="69" s="1"/>
  <c r="N117" i="66"/>
  <c r="Y11" i="69" s="1"/>
  <c r="N113" i="66"/>
  <c r="Y22" i="69" s="1"/>
  <c r="AE23" i="81"/>
  <c r="AI122" i="73"/>
  <c r="I112" i="73"/>
  <c r="L82" i="73"/>
  <c r="I109" i="73"/>
  <c r="Z111" i="73"/>
  <c r="V112" i="73"/>
  <c r="O8" i="79" s="1"/>
  <c r="R8" i="79" s="1"/>
  <c r="V116" i="73"/>
  <c r="O23" i="79" s="1"/>
  <c r="R23" i="79" s="1"/>
  <c r="G22" i="93"/>
  <c r="K41" i="93"/>
  <c r="I18" i="93"/>
  <c r="G41" i="93"/>
  <c r="D17" i="92" s="1"/>
  <c r="L38" i="92"/>
  <c r="Q120" i="92" s="1"/>
  <c r="S120" i="92" s="1"/>
  <c r="M51" i="92"/>
  <c r="E111" i="92" s="1"/>
  <c r="L86" i="92"/>
  <c r="R124" i="92" s="1"/>
  <c r="L43" i="92"/>
  <c r="Q125" i="92" s="1"/>
  <c r="L32" i="92"/>
  <c r="Q114" i="92" s="1"/>
  <c r="L73" i="92"/>
  <c r="R111" i="92" s="1"/>
  <c r="K43" i="92"/>
  <c r="J125" i="92" s="1"/>
  <c r="L29" i="92"/>
  <c r="Q111" i="92" s="1"/>
  <c r="L31" i="92"/>
  <c r="Q113" i="92" s="1"/>
  <c r="S113" i="92" s="1"/>
  <c r="L42" i="92"/>
  <c r="Q124" i="92" s="1"/>
  <c r="N120" i="93"/>
  <c r="L120" i="93"/>
  <c r="M10" i="96"/>
  <c r="I10" i="96"/>
  <c r="O13" i="96"/>
  <c r="G13" i="96"/>
  <c r="M13" i="96"/>
  <c r="K13" i="96"/>
  <c r="F121" i="96"/>
  <c r="I163" i="96" s="1"/>
  <c r="Q163" i="96" s="1"/>
  <c r="J121" i="96"/>
  <c r="D10" i="95" s="1"/>
  <c r="H125" i="96"/>
  <c r="E80" i="95" s="1"/>
  <c r="R125" i="96"/>
  <c r="J14" i="95" s="1"/>
  <c r="J125" i="96"/>
  <c r="D14" i="95" s="1"/>
  <c r="Z115" i="85"/>
  <c r="Z119" i="85"/>
  <c r="Z123" i="85"/>
  <c r="V120" i="85"/>
  <c r="O19" i="84" s="1"/>
  <c r="Z19" i="84" s="1"/>
  <c r="Z110" i="85"/>
  <c r="Z114" i="85"/>
  <c r="Z118" i="85"/>
  <c r="Z122" i="85"/>
  <c r="K85" i="96"/>
  <c r="I42" i="96"/>
  <c r="H151" i="96" s="1"/>
  <c r="R119" i="93"/>
  <c r="N11" i="95"/>
  <c r="D117" i="95" s="1"/>
  <c r="V119" i="95"/>
  <c r="O9" i="94" s="1"/>
  <c r="Q9" i="94" s="1"/>
  <c r="D25" i="79"/>
  <c r="D30" i="74" s="1"/>
  <c r="P18" i="95"/>
  <c r="N124" i="95" s="1"/>
  <c r="AA26" i="101"/>
  <c r="AA59" i="101" s="1"/>
  <c r="C32" i="102"/>
  <c r="D9" i="102" s="1"/>
  <c r="W10" i="51"/>
  <c r="Y10" i="51"/>
  <c r="W7" i="68" s="1"/>
  <c r="D20" i="85"/>
  <c r="D86" i="78"/>
  <c r="D42" i="66"/>
  <c r="D42" i="85"/>
  <c r="D20" i="78"/>
  <c r="D64" i="66"/>
  <c r="L21" i="41"/>
  <c r="G21" i="17" s="1"/>
  <c r="F21" i="41"/>
  <c r="D21" i="17" s="1"/>
  <c r="M10" i="66"/>
  <c r="M111" i="66" s="1"/>
  <c r="L111" i="66"/>
  <c r="M8" i="69" s="1"/>
  <c r="P8" i="69" s="1"/>
  <c r="W20" i="51"/>
  <c r="Y20" i="51"/>
  <c r="W18" i="68" s="1"/>
  <c r="L75" i="73"/>
  <c r="K111" i="73"/>
  <c r="L111" i="73" s="1"/>
  <c r="E74" i="78"/>
  <c r="M121" i="66"/>
  <c r="X12" i="69" s="1"/>
  <c r="J21" i="41"/>
  <c r="F21" i="17" s="1"/>
  <c r="H75" i="85"/>
  <c r="K75" i="85" s="1"/>
  <c r="R111" i="85" s="1"/>
  <c r="H53" i="78"/>
  <c r="N53" i="78" s="1"/>
  <c r="O111" i="78" s="1"/>
  <c r="K120" i="73"/>
  <c r="L84" i="73"/>
  <c r="H75" i="66"/>
  <c r="D64" i="78"/>
  <c r="G33" i="85"/>
  <c r="G77" i="85"/>
  <c r="G33" i="78"/>
  <c r="G55" i="66"/>
  <c r="G55" i="85"/>
  <c r="G55" i="78"/>
  <c r="G33" i="66"/>
  <c r="Z20" i="17"/>
  <c r="S45" i="41" s="1"/>
  <c r="D80" i="78"/>
  <c r="D14" i="85"/>
  <c r="F109" i="93" s="1"/>
  <c r="F110" i="93" s="1"/>
  <c r="F111" i="93" s="1"/>
  <c r="D36" i="66"/>
  <c r="H42" i="41"/>
  <c r="E62" i="85" s="1"/>
  <c r="N42" i="41"/>
  <c r="L42" i="41"/>
  <c r="F42" i="41"/>
  <c r="J42" i="41"/>
  <c r="F46" i="41"/>
  <c r="D66" i="78" s="1"/>
  <c r="L46" i="41"/>
  <c r="G44" i="85" s="1"/>
  <c r="J46" i="41"/>
  <c r="F44" i="66" s="1"/>
  <c r="Q15" i="51"/>
  <c r="T15" i="51" s="1"/>
  <c r="V15" i="51" s="1"/>
  <c r="N15" i="51"/>
  <c r="V25" i="17"/>
  <c r="W24" i="17"/>
  <c r="V111" i="78"/>
  <c r="O7" i="74" s="1"/>
  <c r="R7" i="74" s="1"/>
  <c r="P9" i="78"/>
  <c r="Y111" i="78" s="1"/>
  <c r="V119" i="78"/>
  <c r="O18" i="74" s="1"/>
  <c r="R18" i="74" s="1"/>
  <c r="P17" i="78"/>
  <c r="Y119" i="78" s="1"/>
  <c r="V123" i="78"/>
  <c r="O13" i="74" s="1"/>
  <c r="R13" i="74" s="1"/>
  <c r="P21" i="78"/>
  <c r="Y123" i="78" s="1"/>
  <c r="L74" i="73"/>
  <c r="K110" i="73"/>
  <c r="K10" i="84"/>
  <c r="K10" i="91"/>
  <c r="K4" i="91"/>
  <c r="K4" i="84"/>
  <c r="K13" i="91"/>
  <c r="K13" i="84"/>
  <c r="K18" i="91"/>
  <c r="K18" i="84"/>
  <c r="K22" i="84"/>
  <c r="K22" i="91"/>
  <c r="K85" i="93"/>
  <c r="F65" i="85"/>
  <c r="F13" i="41"/>
  <c r="D13" i="17" s="1"/>
  <c r="N13" i="41"/>
  <c r="H13" i="17" s="1"/>
  <c r="L13" i="41"/>
  <c r="G13" i="17" s="1"/>
  <c r="L14" i="41"/>
  <c r="G14" i="17" s="1"/>
  <c r="N14" i="41"/>
  <c r="H14" i="17" s="1"/>
  <c r="F14" i="41"/>
  <c r="H14" i="41"/>
  <c r="E14" i="17" s="1"/>
  <c r="F18" i="41"/>
  <c r="D18" i="17" s="1"/>
  <c r="J18" i="41"/>
  <c r="F18" i="17" s="1"/>
  <c r="H18" i="41"/>
  <c r="E18" i="17" s="1"/>
  <c r="L27" i="51"/>
  <c r="L34" i="51" s="1"/>
  <c r="N7" i="51"/>
  <c r="N27" i="51" s="1"/>
  <c r="V26" i="60"/>
  <c r="Y26" i="60" s="1"/>
  <c r="Y7" i="60"/>
  <c r="L34" i="73"/>
  <c r="J114" i="73"/>
  <c r="L114" i="73" s="1"/>
  <c r="K109" i="73"/>
  <c r="L109" i="73" s="1"/>
  <c r="L73" i="73"/>
  <c r="P9" i="73"/>
  <c r="V111" i="73"/>
  <c r="O7" i="79" s="1"/>
  <c r="R7" i="79" s="1"/>
  <c r="N9" i="73"/>
  <c r="N111" i="73" s="1"/>
  <c r="N12" i="73"/>
  <c r="P12" i="73"/>
  <c r="V121" i="73"/>
  <c r="O20" i="79" s="1"/>
  <c r="R20" i="79" s="1"/>
  <c r="N19" i="73"/>
  <c r="N121" i="73" s="1"/>
  <c r="P19" i="73"/>
  <c r="O62" i="73"/>
  <c r="V120" i="73"/>
  <c r="O19" i="79" s="1"/>
  <c r="R19" i="79" s="1"/>
  <c r="E88" i="66"/>
  <c r="F87" i="78"/>
  <c r="D42" i="78"/>
  <c r="L18" i="41"/>
  <c r="G18" i="17" s="1"/>
  <c r="W25" i="51"/>
  <c r="Y25" i="51"/>
  <c r="W24" i="68" s="1"/>
  <c r="D19" i="78"/>
  <c r="D19" i="66"/>
  <c r="D19" i="85"/>
  <c r="D43" i="85"/>
  <c r="D65" i="78"/>
  <c r="H26" i="80"/>
  <c r="AE17" i="60"/>
  <c r="H31" i="66"/>
  <c r="F6" i="66"/>
  <c r="D20" i="66"/>
  <c r="D39" i="78"/>
  <c r="D86" i="85"/>
  <c r="G11" i="85"/>
  <c r="G82" i="85"/>
  <c r="G82" i="66"/>
  <c r="W18" i="51"/>
  <c r="Y18" i="51"/>
  <c r="W15" i="68" s="1"/>
  <c r="N20" i="51"/>
  <c r="P20" i="51" s="1"/>
  <c r="P27" i="51" s="1"/>
  <c r="J22" i="41"/>
  <c r="F22" i="17" s="1"/>
  <c r="F22" i="41"/>
  <c r="D22" i="17" s="1"/>
  <c r="N22" i="41"/>
  <c r="H22" i="17" s="1"/>
  <c r="H22" i="41"/>
  <c r="E22" i="17" s="1"/>
  <c r="F15" i="41"/>
  <c r="D15" i="17" s="1"/>
  <c r="H15" i="41"/>
  <c r="E15" i="17" s="1"/>
  <c r="N15" i="41"/>
  <c r="H15" i="17" s="1"/>
  <c r="L15" i="41"/>
  <c r="G15" i="17" s="1"/>
  <c r="L10" i="41"/>
  <c r="G10" i="17" s="1"/>
  <c r="F10" i="41"/>
  <c r="D10" i="17" s="1"/>
  <c r="J10" i="41"/>
  <c r="F10" i="17" s="1"/>
  <c r="K31" i="51"/>
  <c r="N31" i="51" s="1"/>
  <c r="X26" i="60"/>
  <c r="Z5" i="17"/>
  <c r="Z8" i="17"/>
  <c r="V33" i="93" s="1"/>
  <c r="E7" i="66"/>
  <c r="E7" i="78"/>
  <c r="J35" i="41"/>
  <c r="F55" i="85" s="1"/>
  <c r="F35" i="41"/>
  <c r="D11" i="66" s="1"/>
  <c r="H35" i="41"/>
  <c r="M107" i="66"/>
  <c r="L118" i="66"/>
  <c r="M18" i="69" s="1"/>
  <c r="P18" i="69" s="1"/>
  <c r="M17" i="66"/>
  <c r="M118" i="66" s="1"/>
  <c r="X18" i="69" s="1"/>
  <c r="W25" i="17"/>
  <c r="V116" i="78"/>
  <c r="O23" i="74" s="1"/>
  <c r="R23" i="74" s="1"/>
  <c r="R123" i="73"/>
  <c r="S123" i="73" s="1"/>
  <c r="L87" i="73"/>
  <c r="N16" i="73"/>
  <c r="N118" i="73" s="1"/>
  <c r="E32" i="78"/>
  <c r="E54" i="85"/>
  <c r="L45" i="41"/>
  <c r="G87" i="66" s="1"/>
  <c r="H30" i="41"/>
  <c r="E72" i="78" s="1"/>
  <c r="L37" i="41"/>
  <c r="H37" i="41"/>
  <c r="E79" i="78" s="1"/>
  <c r="H20" i="41"/>
  <c r="E20" i="17" s="1"/>
  <c r="F20" i="41"/>
  <c r="W12" i="51"/>
  <c r="Z113" i="78"/>
  <c r="Z117" i="78"/>
  <c r="Z121" i="78"/>
  <c r="Z125" i="78"/>
  <c r="P56" i="78"/>
  <c r="Y114" i="78" s="1"/>
  <c r="V114" i="78"/>
  <c r="O22" i="74" s="1"/>
  <c r="R22" i="74" s="1"/>
  <c r="AE17" i="81"/>
  <c r="AE20" i="81"/>
  <c r="B7" i="89"/>
  <c r="F118" i="73"/>
  <c r="K18" i="96"/>
  <c r="M18" i="96"/>
  <c r="I18" i="96"/>
  <c r="O18" i="96"/>
  <c r="G18" i="96"/>
  <c r="D142" i="96"/>
  <c r="N120" i="96"/>
  <c r="F9" i="95" s="1"/>
  <c r="P9" i="95" s="1"/>
  <c r="N115" i="95" s="1"/>
  <c r="F120" i="96"/>
  <c r="J120" i="96"/>
  <c r="D75" i="95" s="1"/>
  <c r="P120" i="96"/>
  <c r="N162" i="96" s="1"/>
  <c r="V162" i="96" s="1"/>
  <c r="L120" i="96"/>
  <c r="H9" i="95" s="1"/>
  <c r="L124" i="96"/>
  <c r="H57" i="95" s="1"/>
  <c r="D146" i="96"/>
  <c r="H124" i="96"/>
  <c r="E57" i="95" s="1"/>
  <c r="P124" i="96"/>
  <c r="N124" i="96"/>
  <c r="F79" i="95" s="1"/>
  <c r="M79" i="95" s="1"/>
  <c r="R119" i="95" s="1"/>
  <c r="J124" i="96"/>
  <c r="D35" i="95" s="1"/>
  <c r="V116" i="95"/>
  <c r="O8" i="94" s="1"/>
  <c r="Q8" i="94" s="1"/>
  <c r="R54" i="95"/>
  <c r="Y116" i="95" s="1"/>
  <c r="AA116" i="95" s="1"/>
  <c r="V120" i="95"/>
  <c r="O23" i="94" s="1"/>
  <c r="Q23" i="94" s="1"/>
  <c r="R58" i="95"/>
  <c r="Y120" i="95" s="1"/>
  <c r="V124" i="95"/>
  <c r="O19" i="94" s="1"/>
  <c r="Q19" i="94" s="1"/>
  <c r="R62" i="95"/>
  <c r="Y124" i="95" s="1"/>
  <c r="P62" i="95"/>
  <c r="O124" i="95" s="1"/>
  <c r="R66" i="95"/>
  <c r="Y128" i="95" s="1"/>
  <c r="AA128" i="95" s="1"/>
  <c r="V128" i="95"/>
  <c r="O14" i="94" s="1"/>
  <c r="Q14" i="94" s="1"/>
  <c r="F55" i="98"/>
  <c r="B68" i="90"/>
  <c r="B74" i="90"/>
  <c r="F64" i="98"/>
  <c r="H65" i="98" s="1"/>
  <c r="V127" i="95"/>
  <c r="O13" i="94" s="1"/>
  <c r="Q13" i="94" s="1"/>
  <c r="R21" i="95"/>
  <c r="Y127" i="95" s="1"/>
  <c r="AA127" i="95" s="1"/>
  <c r="R17" i="95"/>
  <c r="Y123" i="95" s="1"/>
  <c r="AA123" i="95" s="1"/>
  <c r="V123" i="95"/>
  <c r="O18" i="94" s="1"/>
  <c r="Q18" i="94" s="1"/>
  <c r="P17" i="95"/>
  <c r="N123" i="95" s="1"/>
  <c r="N18" i="95"/>
  <c r="D124" i="95" s="1"/>
  <c r="N25" i="17"/>
  <c r="V24" i="17"/>
  <c r="L34" i="41"/>
  <c r="L7" i="41"/>
  <c r="G7" i="17" s="1"/>
  <c r="K6" i="74"/>
  <c r="H33" i="41"/>
  <c r="E75" i="78" s="1"/>
  <c r="J33" i="41"/>
  <c r="F9" i="66" s="1"/>
  <c r="F37" i="41"/>
  <c r="D79" i="85" s="1"/>
  <c r="AB64" i="60"/>
  <c r="B6" i="82" s="1"/>
  <c r="AB62" i="60"/>
  <c r="M23" i="66"/>
  <c r="M124" i="66" s="1"/>
  <c r="N121" i="66"/>
  <c r="Y12" i="69" s="1"/>
  <c r="O25" i="17"/>
  <c r="N24" i="17"/>
  <c r="P14" i="78"/>
  <c r="Y116" i="78" s="1"/>
  <c r="V108" i="78"/>
  <c r="O4" i="74" s="1"/>
  <c r="AF120" i="73"/>
  <c r="AI113" i="73"/>
  <c r="AI115" i="73"/>
  <c r="AI124" i="73"/>
  <c r="J108" i="73"/>
  <c r="P62" i="85"/>
  <c r="Y120" i="85" s="1"/>
  <c r="AA120" i="85" s="1"/>
  <c r="E101" i="96"/>
  <c r="K102" i="96" s="1"/>
  <c r="G32" i="93"/>
  <c r="Q32" i="93"/>
  <c r="M32" i="93"/>
  <c r="I32" i="93"/>
  <c r="K32" i="93"/>
  <c r="O32" i="93"/>
  <c r="N30" i="41"/>
  <c r="L30" i="41"/>
  <c r="H45" i="41"/>
  <c r="E21" i="78" s="1"/>
  <c r="N45" i="41"/>
  <c r="K4" i="79"/>
  <c r="B15" i="61" s="1"/>
  <c r="K4" i="74"/>
  <c r="D15" i="61" s="1"/>
  <c r="G32" i="74"/>
  <c r="AI110" i="73"/>
  <c r="AI108" i="73"/>
  <c r="AF121" i="73"/>
  <c r="AI123" i="73"/>
  <c r="D119" i="73"/>
  <c r="F119" i="73" s="1"/>
  <c r="G122" i="73"/>
  <c r="I122" i="73" s="1"/>
  <c r="O20" i="73"/>
  <c r="O6" i="73"/>
  <c r="F120" i="73"/>
  <c r="Z114" i="73"/>
  <c r="Z118" i="73"/>
  <c r="P65" i="73"/>
  <c r="Y123" i="73" s="1"/>
  <c r="N65" i="73"/>
  <c r="O123" i="73" s="1"/>
  <c r="O65" i="73"/>
  <c r="V108" i="85"/>
  <c r="O4" i="84" s="1"/>
  <c r="AI4" i="84" s="1"/>
  <c r="P6" i="85"/>
  <c r="Y108" i="85" s="1"/>
  <c r="AA108" i="85" s="1"/>
  <c r="P10" i="85"/>
  <c r="Y112" i="85" s="1"/>
  <c r="AA112" i="85" s="1"/>
  <c r="V112" i="85"/>
  <c r="O8" i="84" s="1"/>
  <c r="W9" i="84"/>
  <c r="AI9" i="84"/>
  <c r="P52" i="85"/>
  <c r="V110" i="85"/>
  <c r="O6" i="84" s="1"/>
  <c r="Z6" i="84" s="1"/>
  <c r="V124" i="85"/>
  <c r="O14" i="84" s="1"/>
  <c r="AI14" i="84" s="1"/>
  <c r="P66" i="85"/>
  <c r="Y124" i="85" s="1"/>
  <c r="AA124" i="85" s="1"/>
  <c r="AE19" i="86"/>
  <c r="AA26" i="86"/>
  <c r="AA59" i="86" s="1"/>
  <c r="K11" i="91"/>
  <c r="K11" i="84"/>
  <c r="K15" i="91"/>
  <c r="K15" i="84"/>
  <c r="H14" i="83" s="1"/>
  <c r="E100" i="93"/>
  <c r="O14" i="91"/>
  <c r="Z10" i="17"/>
  <c r="V35" i="93" s="1"/>
  <c r="AE20" i="60"/>
  <c r="Y109" i="78"/>
  <c r="V109" i="78"/>
  <c r="O5" i="74" s="1"/>
  <c r="R5" i="74" s="1"/>
  <c r="Z116" i="78"/>
  <c r="AE7" i="81"/>
  <c r="AI125" i="73"/>
  <c r="AF114" i="73"/>
  <c r="S119" i="73"/>
  <c r="P6" i="73"/>
  <c r="V108" i="73"/>
  <c r="O4" i="79" s="1"/>
  <c r="Z125" i="85"/>
  <c r="K87" i="96"/>
  <c r="I13" i="93"/>
  <c r="I20" i="93"/>
  <c r="M54" i="92"/>
  <c r="E114" i="92" s="1"/>
  <c r="K39" i="92"/>
  <c r="J121" i="92" s="1"/>
  <c r="K40" i="92"/>
  <c r="K75" i="92"/>
  <c r="AA115" i="92"/>
  <c r="Q19" i="92"/>
  <c r="Y123" i="92" s="1"/>
  <c r="AA123" i="92" s="1"/>
  <c r="V123" i="92"/>
  <c r="O20" i="91" s="1"/>
  <c r="Q59" i="92"/>
  <c r="O59" i="92"/>
  <c r="O119" i="92" s="1"/>
  <c r="M12" i="93"/>
  <c r="I12" i="93"/>
  <c r="K12" i="93"/>
  <c r="M16" i="93"/>
  <c r="I16" i="93"/>
  <c r="O16" i="93"/>
  <c r="K16" i="93"/>
  <c r="G20" i="93"/>
  <c r="J23" i="95"/>
  <c r="O176" i="96"/>
  <c r="W176" i="96" s="1"/>
  <c r="K8" i="96"/>
  <c r="G8" i="96"/>
  <c r="O8" i="96"/>
  <c r="I8" i="96"/>
  <c r="M8" i="96"/>
  <c r="M22" i="96"/>
  <c r="G22" i="96"/>
  <c r="G30" i="96"/>
  <c r="I30" i="96"/>
  <c r="Q30" i="96"/>
  <c r="M30" i="96"/>
  <c r="K30" i="96"/>
  <c r="Q41" i="96"/>
  <c r="N150" i="96" s="1"/>
  <c r="K41" i="96"/>
  <c r="J150" i="96" s="1"/>
  <c r="O45" i="96"/>
  <c r="Q45" i="96"/>
  <c r="I45" i="96"/>
  <c r="G45" i="96"/>
  <c r="K45" i="96"/>
  <c r="D139" i="96"/>
  <c r="F113" i="73"/>
  <c r="V123" i="73"/>
  <c r="O13" i="79" s="1"/>
  <c r="R13" i="79" s="1"/>
  <c r="Q60" i="92"/>
  <c r="Y120" i="92" s="1"/>
  <c r="AA120" i="92" s="1"/>
  <c r="O60" i="92"/>
  <c r="O120" i="92" s="1"/>
  <c r="N57" i="92"/>
  <c r="H117" i="92" s="1"/>
  <c r="K79" i="92"/>
  <c r="N50" i="92"/>
  <c r="H110" i="92" s="1"/>
  <c r="N60" i="92"/>
  <c r="H120" i="92" s="1"/>
  <c r="K30" i="92"/>
  <c r="J112" i="92" s="1"/>
  <c r="K36" i="92"/>
  <c r="K35" i="92"/>
  <c r="M57" i="92"/>
  <c r="E117" i="92" s="1"/>
  <c r="M62" i="92"/>
  <c r="E122" i="92" s="1"/>
  <c r="M53" i="92"/>
  <c r="K41" i="92"/>
  <c r="K83" i="92"/>
  <c r="K73" i="92"/>
  <c r="N52" i="92"/>
  <c r="H112" i="92" s="1"/>
  <c r="K31" i="92"/>
  <c r="M50" i="92"/>
  <c r="E110" i="92" s="1"/>
  <c r="M61" i="92"/>
  <c r="E121" i="92" s="1"/>
  <c r="K9" i="93"/>
  <c r="G9" i="93"/>
  <c r="O30" i="93"/>
  <c r="G30" i="93"/>
  <c r="K30" i="93"/>
  <c r="Z109" i="73"/>
  <c r="L89" i="92"/>
  <c r="R127" i="92" s="1"/>
  <c r="L30" i="92"/>
  <c r="Q112" i="92" s="1"/>
  <c r="H124" i="93"/>
  <c r="P127" i="93"/>
  <c r="H127" i="93"/>
  <c r="P131" i="93"/>
  <c r="N131" i="93"/>
  <c r="J131" i="93"/>
  <c r="G5" i="96"/>
  <c r="O5" i="96"/>
  <c r="I12" i="96"/>
  <c r="G12" i="96"/>
  <c r="M16" i="96"/>
  <c r="K16" i="96"/>
  <c r="S125" i="95"/>
  <c r="V112" i="95"/>
  <c r="O4" i="94" s="1"/>
  <c r="Q4" i="94" s="1"/>
  <c r="S108" i="73"/>
  <c r="N21" i="73"/>
  <c r="P7" i="73"/>
  <c r="Z110" i="73"/>
  <c r="Z117" i="73"/>
  <c r="H10" i="83"/>
  <c r="AA112" i="92"/>
  <c r="K165" i="96"/>
  <c r="S165" i="96" s="1"/>
  <c r="H117" i="93"/>
  <c r="F117" i="93"/>
  <c r="J121" i="93"/>
  <c r="L121" i="93"/>
  <c r="F121" i="93"/>
  <c r="J124" i="93"/>
  <c r="F124" i="93"/>
  <c r="R124" i="93"/>
  <c r="P132" i="93"/>
  <c r="H132" i="93"/>
  <c r="R132" i="93"/>
  <c r="F132" i="93"/>
  <c r="M47" i="96"/>
  <c r="K47" i="96"/>
  <c r="J156" i="96" s="1"/>
  <c r="O47" i="96"/>
  <c r="R156" i="96" s="1"/>
  <c r="G47" i="96"/>
  <c r="H119" i="96"/>
  <c r="E52" i="95" s="1"/>
  <c r="R119" i="96"/>
  <c r="N119" i="96"/>
  <c r="F74" i="95" s="1"/>
  <c r="M74" i="95" s="1"/>
  <c r="R114" i="95" s="1"/>
  <c r="J119" i="96"/>
  <c r="D52" i="95" s="1"/>
  <c r="D145" i="96"/>
  <c r="N123" i="96"/>
  <c r="F123" i="96"/>
  <c r="H123" i="96"/>
  <c r="E78" i="95" s="1"/>
  <c r="P123" i="96"/>
  <c r="I78" i="95" s="1"/>
  <c r="R123" i="96"/>
  <c r="J34" i="95" s="1"/>
  <c r="P127" i="96"/>
  <c r="I82" i="95" s="1"/>
  <c r="L127" i="96"/>
  <c r="H82" i="95" s="1"/>
  <c r="N127" i="96"/>
  <c r="M169" i="96" s="1"/>
  <c r="U169" i="96" s="1"/>
  <c r="H131" i="96"/>
  <c r="E64" i="95" s="1"/>
  <c r="N131" i="96"/>
  <c r="M173" i="96" s="1"/>
  <c r="U173" i="96" s="1"/>
  <c r="R131" i="96"/>
  <c r="J20" i="95" s="1"/>
  <c r="F62" i="98"/>
  <c r="H62" i="98" s="1"/>
  <c r="B72" i="90"/>
  <c r="P64" i="98"/>
  <c r="AB26" i="101"/>
  <c r="AB59" i="101" s="1"/>
  <c r="E48" i="96"/>
  <c r="D151" i="96"/>
  <c r="V120" i="92"/>
  <c r="O11" i="91" s="1"/>
  <c r="Z114" i="92"/>
  <c r="Z118" i="92"/>
  <c r="AA118" i="92" s="1"/>
  <c r="Z122" i="92"/>
  <c r="Z126" i="92"/>
  <c r="H118" i="93"/>
  <c r="G46" i="96"/>
  <c r="Q42" i="96"/>
  <c r="N151" i="96" s="1"/>
  <c r="F125" i="93"/>
  <c r="K10" i="96"/>
  <c r="L6" i="102"/>
  <c r="E37" i="85"/>
  <c r="E59" i="78"/>
  <c r="E15" i="78"/>
  <c r="E59" i="66"/>
  <c r="E81" i="66"/>
  <c r="E37" i="78"/>
  <c r="E37" i="66"/>
  <c r="E59" i="85"/>
  <c r="E81" i="78"/>
  <c r="E15" i="66"/>
  <c r="N124" i="66"/>
  <c r="Y15" i="69" s="1"/>
  <c r="N120" i="66"/>
  <c r="Y20" i="69" s="1"/>
  <c r="N116" i="66"/>
  <c r="Y10" i="69" s="1"/>
  <c r="N112" i="66"/>
  <c r="Y17" i="69" s="1"/>
  <c r="N108" i="66"/>
  <c r="Y5" i="69" s="1"/>
  <c r="N122" i="66"/>
  <c r="Y13" i="69" s="1"/>
  <c r="N118" i="66"/>
  <c r="Y18" i="69" s="1"/>
  <c r="N114" i="66"/>
  <c r="Y9" i="69" s="1"/>
  <c r="D26" i="68"/>
  <c r="D28" i="68" s="1"/>
  <c r="D27" i="69" s="1"/>
  <c r="E26" i="68"/>
  <c r="E28" i="68" s="1"/>
  <c r="E27" i="69" s="1"/>
  <c r="AE15" i="60"/>
  <c r="G125" i="73"/>
  <c r="I125" i="73" s="1"/>
  <c r="M28" i="68"/>
  <c r="I29" i="69"/>
  <c r="P13" i="78"/>
  <c r="Y115" i="78" s="1"/>
  <c r="V115" i="78"/>
  <c r="O9" i="74" s="1"/>
  <c r="R9" i="74" s="1"/>
  <c r="K118" i="73"/>
  <c r="L81" i="73"/>
  <c r="K117" i="73"/>
  <c r="B11" i="83"/>
  <c r="C15" i="76"/>
  <c r="AI120" i="73"/>
  <c r="L80" i="73"/>
  <c r="K116" i="73"/>
  <c r="L116" i="73" s="1"/>
  <c r="D112" i="73"/>
  <c r="F112" i="73" s="1"/>
  <c r="N13" i="51"/>
  <c r="N18" i="51"/>
  <c r="Z18" i="17"/>
  <c r="V43" i="96" s="1"/>
  <c r="AI61" i="81"/>
  <c r="AK26" i="81"/>
  <c r="AL26" i="81" s="1"/>
  <c r="AL20" i="81"/>
  <c r="D111" i="73"/>
  <c r="F111" i="73" s="1"/>
  <c r="F122" i="73"/>
  <c r="AF123" i="73"/>
  <c r="AF109" i="73"/>
  <c r="F125" i="73"/>
  <c r="F121" i="73"/>
  <c r="I118" i="73"/>
  <c r="F123" i="73"/>
  <c r="I114" i="73"/>
  <c r="L76" i="73"/>
  <c r="Y114" i="85"/>
  <c r="V113" i="85"/>
  <c r="O17" i="84" s="1"/>
  <c r="W17" i="84" s="1"/>
  <c r="Z113" i="85"/>
  <c r="Y113" i="92"/>
  <c r="R120" i="93"/>
  <c r="J120" i="93"/>
  <c r="F120" i="93"/>
  <c r="O40" i="96"/>
  <c r="D149" i="96"/>
  <c r="M40" i="96"/>
  <c r="K40" i="96"/>
  <c r="Q40" i="96"/>
  <c r="G40" i="96"/>
  <c r="I40" i="96"/>
  <c r="H149" i="96" s="1"/>
  <c r="H51" i="98"/>
  <c r="H52" i="98"/>
  <c r="P55" i="95"/>
  <c r="O117" i="95" s="1"/>
  <c r="V118" i="95"/>
  <c r="O22" i="94" s="1"/>
  <c r="Q22" i="94" s="1"/>
  <c r="R12" i="95"/>
  <c r="Y118" i="95" s="1"/>
  <c r="AA118" i="95" s="1"/>
  <c r="L107" i="66"/>
  <c r="M4" i="69" s="1"/>
  <c r="P4" i="69" s="1"/>
  <c r="M110" i="66"/>
  <c r="N109" i="66"/>
  <c r="Y6" i="69" s="1"/>
  <c r="G29" i="69"/>
  <c r="F26" i="68"/>
  <c r="F28" i="68" s="1"/>
  <c r="F27" i="69" s="1"/>
  <c r="F29" i="69" s="1"/>
  <c r="Y121" i="78"/>
  <c r="AE15" i="81"/>
  <c r="G55" i="81"/>
  <c r="AF110" i="73"/>
  <c r="AI119" i="73"/>
  <c r="S120" i="73"/>
  <c r="S117" i="73"/>
  <c r="S109" i="73"/>
  <c r="AE7" i="86"/>
  <c r="Z113" i="92"/>
  <c r="Z117" i="92"/>
  <c r="Z121" i="92"/>
  <c r="Z125" i="92"/>
  <c r="M175" i="96"/>
  <c r="U175" i="96" s="1"/>
  <c r="K6" i="96"/>
  <c r="I6" i="96"/>
  <c r="O6" i="96"/>
  <c r="O34" i="96"/>
  <c r="G34" i="96"/>
  <c r="Q34" i="96"/>
  <c r="N143" i="96" s="1"/>
  <c r="M34" i="96"/>
  <c r="L143" i="96" s="1"/>
  <c r="K34" i="96"/>
  <c r="L112" i="73"/>
  <c r="F124" i="73"/>
  <c r="Z119" i="73"/>
  <c r="Z123" i="73"/>
  <c r="AD26" i="86"/>
  <c r="AD66" i="86" s="1"/>
  <c r="AE20" i="86"/>
  <c r="AE64" i="86"/>
  <c r="J133" i="93"/>
  <c r="L133" i="93"/>
  <c r="F133" i="93"/>
  <c r="I20" i="96"/>
  <c r="O20" i="96"/>
  <c r="G20" i="96"/>
  <c r="F133" i="96"/>
  <c r="G88" i="95" s="1"/>
  <c r="P133" i="96"/>
  <c r="I44" i="95" s="1"/>
  <c r="L133" i="96"/>
  <c r="H88" i="95" s="1"/>
  <c r="R133" i="96"/>
  <c r="O175" i="96" s="1"/>
  <c r="W175" i="96" s="1"/>
  <c r="H133" i="96"/>
  <c r="E66" i="95" s="1"/>
  <c r="J133" i="96"/>
  <c r="D88" i="95" s="1"/>
  <c r="Z119" i="95"/>
  <c r="Z26" i="60"/>
  <c r="Z66" i="60" s="1"/>
  <c r="F13" i="58"/>
  <c r="Z111" i="78"/>
  <c r="Z119" i="78"/>
  <c r="Z123" i="78"/>
  <c r="AF108" i="73"/>
  <c r="AF125" i="73"/>
  <c r="AF112" i="73"/>
  <c r="AF119" i="73"/>
  <c r="AF115" i="73"/>
  <c r="AI111" i="73"/>
  <c r="AI118" i="73"/>
  <c r="AF124" i="73"/>
  <c r="X26" i="86"/>
  <c r="AE10" i="86"/>
  <c r="AE15" i="86"/>
  <c r="AE17" i="86"/>
  <c r="E25" i="84"/>
  <c r="D25" i="84"/>
  <c r="V110" i="92"/>
  <c r="V113" i="92"/>
  <c r="Z119" i="92"/>
  <c r="H133" i="93"/>
  <c r="H120" i="93"/>
  <c r="P120" i="93"/>
  <c r="N126" i="93"/>
  <c r="R126" i="93"/>
  <c r="H126" i="93"/>
  <c r="J126" i="93"/>
  <c r="P126" i="93"/>
  <c r="L118" i="96"/>
  <c r="H51" i="95" s="1"/>
  <c r="N118" i="96"/>
  <c r="F73" i="95" s="1"/>
  <c r="M73" i="95" s="1"/>
  <c r="R113" i="95" s="1"/>
  <c r="R118" i="96"/>
  <c r="O160" i="96" s="1"/>
  <c r="W160" i="96" s="1"/>
  <c r="F118" i="96"/>
  <c r="J118" i="96"/>
  <c r="K160" i="96" s="1"/>
  <c r="S160" i="96" s="1"/>
  <c r="P118" i="96"/>
  <c r="J126" i="96"/>
  <c r="D37" i="95" s="1"/>
  <c r="P126" i="96"/>
  <c r="I15" i="95" s="1"/>
  <c r="H126" i="96"/>
  <c r="J168" i="96" s="1"/>
  <c r="R168" i="96" s="1"/>
  <c r="F126" i="96"/>
  <c r="N126" i="96"/>
  <c r="F59" i="95" s="1"/>
  <c r="P59" i="95" s="1"/>
  <c r="O121" i="95" s="1"/>
  <c r="R126" i="96"/>
  <c r="J81" i="95" s="1"/>
  <c r="R6" i="95"/>
  <c r="Y112" i="95" s="1"/>
  <c r="AA112" i="95" s="1"/>
  <c r="J118" i="93"/>
  <c r="V122" i="95"/>
  <c r="Z120" i="95"/>
  <c r="Z124" i="95"/>
  <c r="B64" i="90"/>
  <c r="X26" i="101"/>
  <c r="S117" i="95"/>
  <c r="D150" i="96"/>
  <c r="G55" i="101"/>
  <c r="AI61" i="101"/>
  <c r="Y122" i="95"/>
  <c r="F47" i="98"/>
  <c r="AE7" i="101"/>
  <c r="AE10" i="101"/>
  <c r="AD26" i="101"/>
  <c r="AD66" i="101" s="1"/>
  <c r="AC26" i="101"/>
  <c r="AC59" i="101" s="1"/>
  <c r="AS26" i="101"/>
  <c r="AE21" i="101"/>
  <c r="AE23" i="101"/>
  <c r="E111" i="96"/>
  <c r="K112" i="96" s="1"/>
  <c r="F69" i="93"/>
  <c r="H11" i="41"/>
  <c r="E11" i="17" s="1"/>
  <c r="N11" i="41"/>
  <c r="H11" i="17" s="1"/>
  <c r="J11" i="41"/>
  <c r="F11" i="17" s="1"/>
  <c r="L11" i="41"/>
  <c r="G11" i="17" s="1"/>
  <c r="F11" i="41"/>
  <c r="F8" i="41"/>
  <c r="J8" i="41"/>
  <c r="F8" i="17" s="1"/>
  <c r="H8" i="41"/>
  <c r="E8" i="17" s="1"/>
  <c r="N8" i="41"/>
  <c r="H8" i="17" s="1"/>
  <c r="N5" i="41"/>
  <c r="J5" i="41"/>
  <c r="L5" i="41"/>
  <c r="D24" i="41"/>
  <c r="F5" i="41"/>
  <c r="M7" i="17"/>
  <c r="Z7" i="17" s="1"/>
  <c r="M16" i="17"/>
  <c r="Z16" i="17" s="1"/>
  <c r="U14" i="17"/>
  <c r="Z14" i="17" s="1"/>
  <c r="Q113" i="73"/>
  <c r="S113" i="73" s="1"/>
  <c r="L33" i="73"/>
  <c r="R23" i="95"/>
  <c r="Y129" i="95" s="1"/>
  <c r="AA129" i="95" s="1"/>
  <c r="V129" i="95"/>
  <c r="O15" i="94" s="1"/>
  <c r="Q15" i="94" s="1"/>
  <c r="R19" i="95"/>
  <c r="Y125" i="95" s="1"/>
  <c r="AA125" i="95" s="1"/>
  <c r="V125" i="95"/>
  <c r="O20" i="94" s="1"/>
  <c r="Q20" i="94" s="1"/>
  <c r="P19" i="95"/>
  <c r="N125" i="95" s="1"/>
  <c r="V121" i="95"/>
  <c r="O10" i="94" s="1"/>
  <c r="Q10" i="94" s="1"/>
  <c r="R15" i="95"/>
  <c r="Y121" i="95" s="1"/>
  <c r="AA121" i="95" s="1"/>
  <c r="V117" i="95"/>
  <c r="O17" i="94" s="1"/>
  <c r="Q17" i="94" s="1"/>
  <c r="R11" i="95"/>
  <c r="Y117" i="95" s="1"/>
  <c r="AA117" i="95" s="1"/>
  <c r="P11" i="95"/>
  <c r="N117" i="95" s="1"/>
  <c r="V113" i="95"/>
  <c r="O5" i="94" s="1"/>
  <c r="Q5" i="94" s="1"/>
  <c r="R7" i="95"/>
  <c r="Y113" i="95" s="1"/>
  <c r="AA113" i="95" s="1"/>
  <c r="Y13" i="51"/>
  <c r="W10" i="68" s="1"/>
  <c r="W13" i="51"/>
  <c r="S42" i="41"/>
  <c r="V42" i="96"/>
  <c r="R20" i="68"/>
  <c r="U20" i="68" s="1"/>
  <c r="V42" i="93"/>
  <c r="W22" i="51"/>
  <c r="Y22" i="51"/>
  <c r="W20" i="68" s="1"/>
  <c r="H5" i="41"/>
  <c r="AC26" i="60"/>
  <c r="AC59" i="60" s="1"/>
  <c r="AE22" i="60"/>
  <c r="AD26" i="81"/>
  <c r="AE18" i="81"/>
  <c r="AE64" i="81"/>
  <c r="G124" i="73"/>
  <c r="I124" i="73" s="1"/>
  <c r="D58" i="85"/>
  <c r="D14" i="78"/>
  <c r="D80" i="66"/>
  <c r="D36" i="85"/>
  <c r="D58" i="78"/>
  <c r="D14" i="66"/>
  <c r="D58" i="66"/>
  <c r="D80" i="85"/>
  <c r="D36" i="78"/>
  <c r="E23" i="85"/>
  <c r="E89" i="85"/>
  <c r="E67" i="85"/>
  <c r="E67" i="78"/>
  <c r="E67" i="66"/>
  <c r="E45" i="85"/>
  <c r="E23" i="78"/>
  <c r="E89" i="66"/>
  <c r="E45" i="78"/>
  <c r="E23" i="66"/>
  <c r="N12" i="41"/>
  <c r="H12" i="17" s="1"/>
  <c r="H12" i="41"/>
  <c r="E12" i="17" s="1"/>
  <c r="L12" i="41"/>
  <c r="G12" i="17" s="1"/>
  <c r="J12" i="41"/>
  <c r="F12" i="17" s="1"/>
  <c r="F12" i="41"/>
  <c r="L17" i="41"/>
  <c r="G17" i="17" s="1"/>
  <c r="J17" i="41"/>
  <c r="F17" i="17" s="1"/>
  <c r="F17" i="41"/>
  <c r="H17" i="41"/>
  <c r="E17" i="17" s="1"/>
  <c r="M34" i="51"/>
  <c r="S37" i="41"/>
  <c r="L108" i="66"/>
  <c r="M51" i="66"/>
  <c r="M108" i="66" s="1"/>
  <c r="Y21" i="51"/>
  <c r="W19" i="68" s="1"/>
  <c r="W21" i="51"/>
  <c r="D25" i="69"/>
  <c r="R9" i="68"/>
  <c r="U9" i="68" s="1"/>
  <c r="F31" i="78"/>
  <c r="F31" i="66"/>
  <c r="L110" i="66"/>
  <c r="M7" i="69" s="1"/>
  <c r="P7" i="69" s="1"/>
  <c r="E89" i="78"/>
  <c r="Q14" i="51"/>
  <c r="T14" i="51" s="1"/>
  <c r="V14" i="51" s="1"/>
  <c r="N14" i="51"/>
  <c r="G79" i="96"/>
  <c r="G79" i="93"/>
  <c r="H52" i="78"/>
  <c r="N52" i="78" s="1"/>
  <c r="O110" i="78" s="1"/>
  <c r="E73" i="85"/>
  <c r="E73" i="78"/>
  <c r="E51" i="66"/>
  <c r="E51" i="85"/>
  <c r="E51" i="78"/>
  <c r="E29" i="66"/>
  <c r="E73" i="66"/>
  <c r="E7" i="85"/>
  <c r="E29" i="78"/>
  <c r="D85" i="85"/>
  <c r="D41" i="78"/>
  <c r="D63" i="66"/>
  <c r="D63" i="85"/>
  <c r="D85" i="78"/>
  <c r="D85" i="66"/>
  <c r="D41" i="85"/>
  <c r="D63" i="78"/>
  <c r="D41" i="66"/>
  <c r="M13" i="17"/>
  <c r="Z13" i="17" s="1"/>
  <c r="J31" i="41"/>
  <c r="D48" i="41"/>
  <c r="N31" i="41"/>
  <c r="F31" i="41"/>
  <c r="L31" i="41"/>
  <c r="N38" i="41"/>
  <c r="H38" i="41"/>
  <c r="J38" i="41"/>
  <c r="L38" i="41"/>
  <c r="H41" i="41"/>
  <c r="N41" i="41"/>
  <c r="L41" i="41"/>
  <c r="E21" i="85"/>
  <c r="M8" i="66"/>
  <c r="M109" i="66" s="1"/>
  <c r="L109" i="66"/>
  <c r="M6" i="69" s="1"/>
  <c r="P6" i="69" s="1"/>
  <c r="L115" i="66"/>
  <c r="M23" i="69" s="1"/>
  <c r="P23" i="69" s="1"/>
  <c r="M14" i="66"/>
  <c r="M115" i="66" s="1"/>
  <c r="L116" i="66"/>
  <c r="M10" i="69" s="1"/>
  <c r="P10" i="69" s="1"/>
  <c r="M59" i="66"/>
  <c r="M116" i="66" s="1"/>
  <c r="M65" i="66"/>
  <c r="M122" i="66" s="1"/>
  <c r="L122" i="66"/>
  <c r="M13" i="69" s="1"/>
  <c r="P13" i="69" s="1"/>
  <c r="Y23" i="51"/>
  <c r="W21" i="68" s="1"/>
  <c r="W23" i="51"/>
  <c r="K22" i="74"/>
  <c r="K22" i="79"/>
  <c r="K18" i="74"/>
  <c r="K18" i="79"/>
  <c r="K13" i="74"/>
  <c r="K13" i="79"/>
  <c r="AE25" i="60"/>
  <c r="AA26" i="60"/>
  <c r="G113" i="73"/>
  <c r="I113" i="73" s="1"/>
  <c r="O11" i="73"/>
  <c r="G121" i="73"/>
  <c r="I121" i="73" s="1"/>
  <c r="G116" i="73"/>
  <c r="I116" i="73" s="1"/>
  <c r="J120" i="73"/>
  <c r="L40" i="73"/>
  <c r="E25" i="79"/>
  <c r="E30" i="74" s="1"/>
  <c r="H11" i="80"/>
  <c r="D11" i="80"/>
  <c r="E29" i="85"/>
  <c r="R8" i="68"/>
  <c r="U8" i="68" s="1"/>
  <c r="D17" i="85"/>
  <c r="D83" i="78"/>
  <c r="D17" i="66"/>
  <c r="D83" i="85"/>
  <c r="D61" i="78"/>
  <c r="D83" i="66"/>
  <c r="D61" i="66"/>
  <c r="D61" i="85"/>
  <c r="D17" i="78"/>
  <c r="D56" i="85"/>
  <c r="Q9" i="51"/>
  <c r="N9" i="51"/>
  <c r="K27" i="51"/>
  <c r="G32" i="66"/>
  <c r="U23" i="17"/>
  <c r="Z23" i="17" s="1"/>
  <c r="U6" i="17"/>
  <c r="Z6" i="17" s="1"/>
  <c r="H43" i="41"/>
  <c r="J43" i="41"/>
  <c r="N43" i="41"/>
  <c r="L47" i="41"/>
  <c r="N47" i="41"/>
  <c r="J47" i="41"/>
  <c r="F47" i="41"/>
  <c r="N24" i="51"/>
  <c r="Q24" i="51"/>
  <c r="T24" i="51" s="1"/>
  <c r="V24" i="51" s="1"/>
  <c r="Y7" i="51"/>
  <c r="W4" i="68" s="1"/>
  <c r="W7" i="51"/>
  <c r="P52" i="78"/>
  <c r="Y110" i="78" s="1"/>
  <c r="V110" i="78"/>
  <c r="P60" i="78"/>
  <c r="Y118" i="78" s="1"/>
  <c r="V118" i="78"/>
  <c r="O11" i="74" s="1"/>
  <c r="R11" i="74" s="1"/>
  <c r="D110" i="73"/>
  <c r="P13" i="73"/>
  <c r="N13" i="73"/>
  <c r="V115" i="73"/>
  <c r="O9" i="79" s="1"/>
  <c r="R9" i="79" s="1"/>
  <c r="P52" i="73"/>
  <c r="Y110" i="73" s="1"/>
  <c r="V110" i="73"/>
  <c r="O6" i="79" s="1"/>
  <c r="R6" i="79" s="1"/>
  <c r="N52" i="73"/>
  <c r="O110" i="73" s="1"/>
  <c r="O52" i="73"/>
  <c r="P56" i="73"/>
  <c r="O56" i="73"/>
  <c r="N56" i="73"/>
  <c r="O114" i="73" s="1"/>
  <c r="V114" i="73"/>
  <c r="O22" i="79" s="1"/>
  <c r="R22" i="79" s="1"/>
  <c r="P60" i="73"/>
  <c r="Y118" i="73" s="1"/>
  <c r="O60" i="73"/>
  <c r="N60" i="73"/>
  <c r="O118" i="73" s="1"/>
  <c r="V118" i="73"/>
  <c r="O11" i="79" s="1"/>
  <c r="R11" i="79" s="1"/>
  <c r="P64" i="73"/>
  <c r="O64" i="73"/>
  <c r="N64" i="73"/>
  <c r="O122" i="73" s="1"/>
  <c r="P122" i="73" s="1"/>
  <c r="P22" i="78"/>
  <c r="Y124" i="78" s="1"/>
  <c r="V124" i="78"/>
  <c r="O14" i="74" s="1"/>
  <c r="R14" i="74" s="1"/>
  <c r="Z23" i="84"/>
  <c r="AI5" i="84"/>
  <c r="Z5" i="84"/>
  <c r="W5" i="84"/>
  <c r="Z19" i="17"/>
  <c r="D21" i="85"/>
  <c r="D43" i="78"/>
  <c r="D21" i="66"/>
  <c r="D87" i="85"/>
  <c r="D87" i="78"/>
  <c r="D65" i="66"/>
  <c r="M114" i="66"/>
  <c r="H23" i="41"/>
  <c r="E23" i="17" s="1"/>
  <c r="L23" i="41"/>
  <c r="G23" i="17" s="1"/>
  <c r="N23" i="41"/>
  <c r="H23" i="17" s="1"/>
  <c r="F23" i="41"/>
  <c r="F9" i="58"/>
  <c r="J34" i="41"/>
  <c r="N34" i="41"/>
  <c r="F34" i="41"/>
  <c r="H40" i="41"/>
  <c r="J40" i="41"/>
  <c r="F40" i="41"/>
  <c r="N40" i="41"/>
  <c r="N23" i="51"/>
  <c r="P23" i="51" s="1"/>
  <c r="H30" i="61"/>
  <c r="J115" i="73"/>
  <c r="L35" i="73"/>
  <c r="K115" i="73"/>
  <c r="L79" i="73"/>
  <c r="Q111" i="73"/>
  <c r="S111" i="73" s="1"/>
  <c r="L31" i="73"/>
  <c r="P22" i="73"/>
  <c r="N22" i="73"/>
  <c r="N124" i="73" s="1"/>
  <c r="V124" i="73"/>
  <c r="O14" i="79" s="1"/>
  <c r="O51" i="73"/>
  <c r="P51" i="73"/>
  <c r="N51" i="73"/>
  <c r="O109" i="73" s="1"/>
  <c r="P109" i="73" s="1"/>
  <c r="V109" i="73"/>
  <c r="P55" i="73"/>
  <c r="O55" i="73"/>
  <c r="N55" i="73"/>
  <c r="O113" i="73" s="1"/>
  <c r="P113" i="73" s="1"/>
  <c r="N59" i="73"/>
  <c r="O117" i="73" s="1"/>
  <c r="O59" i="73"/>
  <c r="P59" i="73"/>
  <c r="V117" i="73"/>
  <c r="O10" i="79" s="1"/>
  <c r="R10" i="79" s="1"/>
  <c r="N63" i="73"/>
  <c r="O121" i="73" s="1"/>
  <c r="P63" i="73"/>
  <c r="O63" i="73"/>
  <c r="N67" i="73"/>
  <c r="O125" i="73" s="1"/>
  <c r="O67" i="73"/>
  <c r="P67" i="73"/>
  <c r="Y125" i="73" s="1"/>
  <c r="AA125" i="73" s="1"/>
  <c r="V125" i="73"/>
  <c r="O15" i="79" s="1"/>
  <c r="R15" i="79" s="1"/>
  <c r="AE12" i="86"/>
  <c r="Z26" i="86"/>
  <c r="K12" i="91"/>
  <c r="K12" i="84"/>
  <c r="K19" i="91"/>
  <c r="K19" i="84"/>
  <c r="AI10" i="91"/>
  <c r="W10" i="91"/>
  <c r="J126" i="92"/>
  <c r="G38" i="85"/>
  <c r="G60" i="78"/>
  <c r="G60" i="66"/>
  <c r="G16" i="85"/>
  <c r="G82" i="78"/>
  <c r="G16" i="66"/>
  <c r="D30" i="85"/>
  <c r="D8" i="78"/>
  <c r="D52" i="66"/>
  <c r="D74" i="85"/>
  <c r="D52" i="78"/>
  <c r="D74" i="66"/>
  <c r="F88" i="85"/>
  <c r="H9" i="85"/>
  <c r="H9" i="78"/>
  <c r="N9" i="78" s="1"/>
  <c r="N111" i="78" s="1"/>
  <c r="H53" i="66"/>
  <c r="H31" i="85"/>
  <c r="K31" i="85" s="1"/>
  <c r="Q111" i="85" s="1"/>
  <c r="H75" i="78"/>
  <c r="K75" i="78" s="1"/>
  <c r="R111" i="78" s="1"/>
  <c r="H9" i="66"/>
  <c r="E32" i="85"/>
  <c r="E76" i="78"/>
  <c r="E32" i="66"/>
  <c r="E76" i="85"/>
  <c r="E54" i="78"/>
  <c r="E76" i="66"/>
  <c r="E12" i="85"/>
  <c r="E12" i="78"/>
  <c r="E78" i="85"/>
  <c r="E78" i="78"/>
  <c r="E12" i="66"/>
  <c r="E13" i="85"/>
  <c r="H81" i="78"/>
  <c r="K81" i="78" s="1"/>
  <c r="R117" i="78" s="1"/>
  <c r="H21" i="41"/>
  <c r="E21" i="17" s="1"/>
  <c r="N21" i="41"/>
  <c r="H21" i="17" s="1"/>
  <c r="F6" i="41"/>
  <c r="N6" i="41"/>
  <c r="H6" i="17" s="1"/>
  <c r="F16" i="41"/>
  <c r="L16" i="41"/>
  <c r="G16" i="17" s="1"/>
  <c r="J16" i="41"/>
  <c r="F16" i="17" s="1"/>
  <c r="H16" i="41"/>
  <c r="E16" i="17" s="1"/>
  <c r="AA64" i="60"/>
  <c r="Y19" i="51"/>
  <c r="W16" i="68" s="1"/>
  <c r="W19" i="51"/>
  <c r="B5" i="82"/>
  <c r="D10" i="61"/>
  <c r="D25" i="74"/>
  <c r="H10" i="61"/>
  <c r="K19" i="74"/>
  <c r="K19" i="79"/>
  <c r="K15" i="74"/>
  <c r="B14" i="83" s="1"/>
  <c r="K15" i="79"/>
  <c r="K11" i="74"/>
  <c r="K11" i="79"/>
  <c r="D23" i="75"/>
  <c r="D30" i="75" s="1"/>
  <c r="V113" i="78"/>
  <c r="O17" i="74" s="1"/>
  <c r="R17" i="74" s="1"/>
  <c r="P11" i="78"/>
  <c r="Y113" i="78" s="1"/>
  <c r="V117" i="78"/>
  <c r="O10" i="74" s="1"/>
  <c r="R10" i="74" s="1"/>
  <c r="P15" i="78"/>
  <c r="Y117" i="78" s="1"/>
  <c r="V120" i="78"/>
  <c r="O19" i="74" s="1"/>
  <c r="R19" i="74" s="1"/>
  <c r="P18" i="78"/>
  <c r="Y120" i="78" s="1"/>
  <c r="AA120" i="78" s="1"/>
  <c r="V125" i="78"/>
  <c r="O15" i="74" s="1"/>
  <c r="C18" i="76"/>
  <c r="E25" i="74"/>
  <c r="B5" i="77"/>
  <c r="F5" i="77" s="1"/>
  <c r="F30" i="74"/>
  <c r="F32" i="74" s="1"/>
  <c r="Z26" i="81"/>
  <c r="AC26" i="81"/>
  <c r="AC59" i="81" s="1"/>
  <c r="I117" i="73"/>
  <c r="L85" i="73"/>
  <c r="K121" i="73"/>
  <c r="Z20" i="84"/>
  <c r="W20" i="84"/>
  <c r="AI20" i="84"/>
  <c r="E15" i="85"/>
  <c r="E81" i="85"/>
  <c r="Z110" i="78"/>
  <c r="Z122" i="78"/>
  <c r="P64" i="78"/>
  <c r="Y122" i="78" s="1"/>
  <c r="V122" i="78"/>
  <c r="O12" i="74" s="1"/>
  <c r="R12" i="74" s="1"/>
  <c r="AE19" i="81"/>
  <c r="AA26" i="81"/>
  <c r="AA59" i="81" s="1"/>
  <c r="AI114" i="73"/>
  <c r="I110" i="73"/>
  <c r="I115" i="73"/>
  <c r="P14" i="73"/>
  <c r="N14" i="73"/>
  <c r="N116" i="73" s="1"/>
  <c r="V111" i="85"/>
  <c r="O7" i="84" s="1"/>
  <c r="V111" i="92"/>
  <c r="O51" i="92"/>
  <c r="O111" i="92" s="1"/>
  <c r="Q51" i="92"/>
  <c r="Y111" i="92" s="1"/>
  <c r="Q54" i="92"/>
  <c r="Y114" i="92" s="1"/>
  <c r="V114" i="92"/>
  <c r="O57" i="92"/>
  <c r="O117" i="92" s="1"/>
  <c r="Q57" i="92"/>
  <c r="Y117" i="92" s="1"/>
  <c r="Q64" i="92"/>
  <c r="Y124" i="92" s="1"/>
  <c r="AA124" i="92" s="1"/>
  <c r="V124" i="92"/>
  <c r="O64" i="92"/>
  <c r="O124" i="92" s="1"/>
  <c r="V127" i="92"/>
  <c r="O67" i="92"/>
  <c r="O127" i="92" s="1"/>
  <c r="Q67" i="92"/>
  <c r="Y127" i="92" s="1"/>
  <c r="AA127" i="92" s="1"/>
  <c r="I14" i="93"/>
  <c r="M14" i="93"/>
  <c r="K14" i="93"/>
  <c r="O17" i="93"/>
  <c r="G17" i="93"/>
  <c r="I17" i="93"/>
  <c r="M17" i="93"/>
  <c r="K17" i="93"/>
  <c r="I42" i="93"/>
  <c r="E18" i="92" s="1"/>
  <c r="M42" i="93"/>
  <c r="G18" i="92" s="1"/>
  <c r="G42" i="93"/>
  <c r="O42" i="93"/>
  <c r="H18" i="92" s="1"/>
  <c r="Q42" i="93"/>
  <c r="I18" i="92" s="1"/>
  <c r="O18" i="92" s="1"/>
  <c r="N122" i="92" s="1"/>
  <c r="K42" i="93"/>
  <c r="F18" i="92" s="1"/>
  <c r="O39" i="93"/>
  <c r="I39" i="93"/>
  <c r="M39" i="93"/>
  <c r="Q39" i="93"/>
  <c r="K39" i="93"/>
  <c r="F76" i="95"/>
  <c r="M76" i="95" s="1"/>
  <c r="R116" i="95" s="1"/>
  <c r="F32" i="95"/>
  <c r="M32" i="95" s="1"/>
  <c r="Q116" i="95" s="1"/>
  <c r="F10" i="95"/>
  <c r="P10" i="95" s="1"/>
  <c r="N116" i="95" s="1"/>
  <c r="F54" i="95"/>
  <c r="P54" i="95" s="1"/>
  <c r="O116" i="95" s="1"/>
  <c r="M163" i="96"/>
  <c r="U163" i="96" s="1"/>
  <c r="P54" i="78"/>
  <c r="Y112" i="78" s="1"/>
  <c r="V112" i="78"/>
  <c r="O8" i="74" s="1"/>
  <c r="R8" i="74" s="1"/>
  <c r="X26" i="81"/>
  <c r="AB26" i="81"/>
  <c r="AB59" i="81" s="1"/>
  <c r="AE10" i="81"/>
  <c r="AF122" i="73"/>
  <c r="J121" i="73"/>
  <c r="L41" i="73"/>
  <c r="F116" i="73"/>
  <c r="H127" i="73"/>
  <c r="S114" i="73"/>
  <c r="P11" i="73"/>
  <c r="V113" i="73"/>
  <c r="O17" i="79" s="1"/>
  <c r="R17" i="79" s="1"/>
  <c r="V114" i="85"/>
  <c r="O22" i="84" s="1"/>
  <c r="V118" i="85"/>
  <c r="O11" i="84" s="1"/>
  <c r="P16" i="85"/>
  <c r="Y118" i="85" s="1"/>
  <c r="V125" i="85"/>
  <c r="O15" i="84" s="1"/>
  <c r="P23" i="85"/>
  <c r="Y125" i="85" s="1"/>
  <c r="P59" i="85"/>
  <c r="Y117" i="85" s="1"/>
  <c r="V117" i="85"/>
  <c r="O10" i="84" s="1"/>
  <c r="P65" i="85"/>
  <c r="Y123" i="85" s="1"/>
  <c r="V123" i="85"/>
  <c r="O13" i="84" s="1"/>
  <c r="I119" i="73"/>
  <c r="E127" i="73"/>
  <c r="S112" i="73"/>
  <c r="V122" i="73"/>
  <c r="O12" i="79" s="1"/>
  <c r="R12" i="79" s="1"/>
  <c r="P20" i="73"/>
  <c r="Z115" i="73"/>
  <c r="P57" i="73"/>
  <c r="N57" i="73"/>
  <c r="O115" i="73" s="1"/>
  <c r="P61" i="73"/>
  <c r="Y119" i="73" s="1"/>
  <c r="N61" i="73"/>
  <c r="O119" i="73" s="1"/>
  <c r="O61" i="73"/>
  <c r="Y113" i="85"/>
  <c r="Z109" i="85"/>
  <c r="Z121" i="85"/>
  <c r="AS26" i="86"/>
  <c r="D23" i="87"/>
  <c r="H29" i="83"/>
  <c r="E25" i="91"/>
  <c r="O13" i="92"/>
  <c r="N117" i="92" s="1"/>
  <c r="V117" i="92"/>
  <c r="O9" i="91" s="1"/>
  <c r="V121" i="92"/>
  <c r="O18" i="91" s="1"/>
  <c r="Q17" i="92"/>
  <c r="Y121" i="92" s="1"/>
  <c r="V125" i="92"/>
  <c r="Q21" i="92"/>
  <c r="Y125" i="92" s="1"/>
  <c r="V122" i="92"/>
  <c r="O19" i="91" s="1"/>
  <c r="Q62" i="92"/>
  <c r="Y122" i="92" s="1"/>
  <c r="I6" i="93"/>
  <c r="M6" i="93"/>
  <c r="O6" i="93"/>
  <c r="E24" i="93"/>
  <c r="F25" i="93" s="1"/>
  <c r="O9" i="93"/>
  <c r="I9" i="93"/>
  <c r="M9" i="93"/>
  <c r="I22" i="93"/>
  <c r="M22" i="93"/>
  <c r="K22" i="93"/>
  <c r="O44" i="93"/>
  <c r="Q44" i="93"/>
  <c r="I44" i="93"/>
  <c r="K44" i="93"/>
  <c r="O35" i="93"/>
  <c r="H11" i="92" s="1"/>
  <c r="G35" i="93"/>
  <c r="I35" i="93"/>
  <c r="E11" i="92" s="1"/>
  <c r="M35" i="93"/>
  <c r="G11" i="92" s="1"/>
  <c r="Q35" i="93"/>
  <c r="I11" i="92" s="1"/>
  <c r="O11" i="92" s="1"/>
  <c r="N115" i="92" s="1"/>
  <c r="E48" i="93"/>
  <c r="L49" i="93" s="1"/>
  <c r="I111" i="73"/>
  <c r="I108" i="73"/>
  <c r="I120" i="73"/>
  <c r="L42" i="73"/>
  <c r="J122" i="73"/>
  <c r="L122" i="73" s="1"/>
  <c r="K108" i="73"/>
  <c r="L72" i="73"/>
  <c r="S115" i="73"/>
  <c r="R122" i="73"/>
  <c r="S122" i="73" s="1"/>
  <c r="L86" i="73"/>
  <c r="N18" i="73"/>
  <c r="P18" i="73"/>
  <c r="P50" i="73"/>
  <c r="N50" i="73"/>
  <c r="O108" i="73" s="1"/>
  <c r="P54" i="73"/>
  <c r="Y112" i="73" s="1"/>
  <c r="N54" i="73"/>
  <c r="O112" i="73" s="1"/>
  <c r="P112" i="73" s="1"/>
  <c r="O54" i="73"/>
  <c r="P58" i="73"/>
  <c r="N58" i="73"/>
  <c r="O116" i="73" s="1"/>
  <c r="O58" i="73"/>
  <c r="P62" i="73"/>
  <c r="N62" i="73"/>
  <c r="O120" i="73" s="1"/>
  <c r="P66" i="73"/>
  <c r="N66" i="73"/>
  <c r="O124" i="73" s="1"/>
  <c r="AC26" i="86"/>
  <c r="AC59" i="86" s="1"/>
  <c r="AE18" i="86"/>
  <c r="AB26" i="86"/>
  <c r="AB59" i="86" s="1"/>
  <c r="AL20" i="86"/>
  <c r="AK26" i="86"/>
  <c r="AL26" i="86" s="1"/>
  <c r="K167" i="96"/>
  <c r="S167" i="96" s="1"/>
  <c r="H50" i="95"/>
  <c r="G10" i="93"/>
  <c r="I10" i="93"/>
  <c r="O10" i="93"/>
  <c r="O13" i="93"/>
  <c r="G13" i="93"/>
  <c r="K13" i="93"/>
  <c r="O43" i="93"/>
  <c r="H19" i="92" s="1"/>
  <c r="G43" i="93"/>
  <c r="M40" i="93"/>
  <c r="G16" i="92" s="1"/>
  <c r="I40" i="93"/>
  <c r="Q40" i="93"/>
  <c r="I16" i="92" s="1"/>
  <c r="O16" i="92" s="1"/>
  <c r="N120" i="92" s="1"/>
  <c r="G34" i="93"/>
  <c r="M34" i="93"/>
  <c r="O34" i="93"/>
  <c r="M9" i="96"/>
  <c r="K9" i="96"/>
  <c r="O9" i="96"/>
  <c r="M15" i="96"/>
  <c r="O15" i="96"/>
  <c r="K15" i="96"/>
  <c r="I15" i="96"/>
  <c r="G15" i="96"/>
  <c r="Q31" i="96"/>
  <c r="K31" i="96"/>
  <c r="I31" i="96"/>
  <c r="H140" i="96" s="1"/>
  <c r="M31" i="96"/>
  <c r="D140" i="96"/>
  <c r="G31" i="96"/>
  <c r="O31" i="96"/>
  <c r="M44" i="96"/>
  <c r="I44" i="96"/>
  <c r="H153" i="96" s="1"/>
  <c r="O44" i="96"/>
  <c r="K44" i="96"/>
  <c r="J153" i="96" s="1"/>
  <c r="G44" i="96"/>
  <c r="B66" i="90"/>
  <c r="F53" i="98"/>
  <c r="H53" i="98" s="1"/>
  <c r="P58" i="98"/>
  <c r="P59" i="98" s="1"/>
  <c r="P60" i="98" s="1"/>
  <c r="P62" i="98" s="1"/>
  <c r="D25" i="91"/>
  <c r="L83" i="95"/>
  <c r="O17" i="95"/>
  <c r="L41" i="95"/>
  <c r="O55" i="95"/>
  <c r="O11" i="95"/>
  <c r="O61" i="95"/>
  <c r="H123" i="95" s="1"/>
  <c r="L33" i="95"/>
  <c r="L84" i="95"/>
  <c r="O62" i="95"/>
  <c r="K87" i="92"/>
  <c r="K74" i="92"/>
  <c r="K82" i="92"/>
  <c r="K72" i="92"/>
  <c r="K80" i="92"/>
  <c r="K81" i="92"/>
  <c r="K28" i="92"/>
  <c r="K34" i="92"/>
  <c r="N62" i="92"/>
  <c r="N54" i="92"/>
  <c r="H114" i="92" s="1"/>
  <c r="K37" i="92"/>
  <c r="N61" i="92"/>
  <c r="H121" i="92" s="1"/>
  <c r="K32" i="92"/>
  <c r="N56" i="92"/>
  <c r="H116" i="92" s="1"/>
  <c r="N63" i="92"/>
  <c r="N55" i="92"/>
  <c r="H115" i="92" s="1"/>
  <c r="M56" i="92"/>
  <c r="M66" i="92"/>
  <c r="M59" i="92"/>
  <c r="K77" i="92"/>
  <c r="K78" i="92"/>
  <c r="K86" i="92"/>
  <c r="K76" i="92"/>
  <c r="K84" i="92"/>
  <c r="K42" i="92"/>
  <c r="N66" i="92"/>
  <c r="H126" i="92" s="1"/>
  <c r="N58" i="92"/>
  <c r="K45" i="92"/>
  <c r="K29" i="92"/>
  <c r="N64" i="92"/>
  <c r="H124" i="92" s="1"/>
  <c r="N67" i="92"/>
  <c r="H127" i="92" s="1"/>
  <c r="N59" i="92"/>
  <c r="H119" i="92" s="1"/>
  <c r="N51" i="92"/>
  <c r="M67" i="92"/>
  <c r="M55" i="92"/>
  <c r="M52" i="92"/>
  <c r="M60" i="92"/>
  <c r="M65" i="92"/>
  <c r="M64" i="92"/>
  <c r="I5" i="93"/>
  <c r="O5" i="93"/>
  <c r="M5" i="93"/>
  <c r="M18" i="93"/>
  <c r="O18" i="93"/>
  <c r="I21" i="93"/>
  <c r="K21" i="93"/>
  <c r="O21" i="93"/>
  <c r="O45" i="93"/>
  <c r="Q45" i="93"/>
  <c r="K36" i="93"/>
  <c r="F12" i="92" s="1"/>
  <c r="G36" i="93"/>
  <c r="O36" i="93"/>
  <c r="H12" i="92" s="1"/>
  <c r="G9" i="96"/>
  <c r="D153" i="96"/>
  <c r="H34" i="95"/>
  <c r="H78" i="95"/>
  <c r="H56" i="95"/>
  <c r="H12" i="95"/>
  <c r="L165" i="96"/>
  <c r="T165" i="96" s="1"/>
  <c r="I19" i="96"/>
  <c r="K19" i="96"/>
  <c r="O19" i="96"/>
  <c r="G19" i="96"/>
  <c r="M19" i="96"/>
  <c r="K39" i="96"/>
  <c r="I39" i="96"/>
  <c r="D148" i="96"/>
  <c r="O39" i="96"/>
  <c r="G39" i="96"/>
  <c r="F151" i="96"/>
  <c r="I8" i="95"/>
  <c r="D86" i="95"/>
  <c r="D42" i="95"/>
  <c r="D64" i="95"/>
  <c r="K173" i="96"/>
  <c r="S173" i="96" s="1"/>
  <c r="Y119" i="95"/>
  <c r="I7" i="96"/>
  <c r="M7" i="96"/>
  <c r="M21" i="96"/>
  <c r="K21" i="96"/>
  <c r="O21" i="96"/>
  <c r="I21" i="96"/>
  <c r="G21" i="96"/>
  <c r="I41" i="96"/>
  <c r="H150" i="96" s="1"/>
  <c r="O41" i="96"/>
  <c r="R150" i="96" s="1"/>
  <c r="M41" i="96"/>
  <c r="L150" i="96" s="1"/>
  <c r="G41" i="96"/>
  <c r="B62" i="90"/>
  <c r="F49" i="98"/>
  <c r="D20" i="95"/>
  <c r="L39" i="95"/>
  <c r="H21" i="95"/>
  <c r="H65" i="95"/>
  <c r="H43" i="95"/>
  <c r="L154" i="96"/>
  <c r="H87" i="95"/>
  <c r="H76" i="95"/>
  <c r="H32" i="95"/>
  <c r="H10" i="95"/>
  <c r="H54" i="95"/>
  <c r="K7" i="96"/>
  <c r="H81" i="95"/>
  <c r="H37" i="95"/>
  <c r="H59" i="95"/>
  <c r="H15" i="95"/>
  <c r="J72" i="95"/>
  <c r="J50" i="95"/>
  <c r="J6" i="95"/>
  <c r="J28" i="95"/>
  <c r="O159" i="96"/>
  <c r="W159" i="96" s="1"/>
  <c r="R139" i="96"/>
  <c r="M17" i="96"/>
  <c r="I17" i="96"/>
  <c r="G17" i="96"/>
  <c r="O17" i="96"/>
  <c r="Q33" i="96"/>
  <c r="I33" i="96"/>
  <c r="M33" i="96"/>
  <c r="K33" i="96"/>
  <c r="G33" i="96"/>
  <c r="O33" i="96"/>
  <c r="M37" i="96"/>
  <c r="G37" i="96"/>
  <c r="Q37" i="96"/>
  <c r="O37" i="96"/>
  <c r="K37" i="96"/>
  <c r="I46" i="96"/>
  <c r="D155" i="96"/>
  <c r="Q46" i="96"/>
  <c r="N155" i="96" s="1"/>
  <c r="M46" i="96"/>
  <c r="N117" i="96"/>
  <c r="P117" i="96"/>
  <c r="H117" i="96"/>
  <c r="F117" i="96"/>
  <c r="D143" i="96"/>
  <c r="H121" i="96"/>
  <c r="R121" i="96"/>
  <c r="P121" i="96"/>
  <c r="L125" i="96"/>
  <c r="P125" i="96"/>
  <c r="D147" i="96"/>
  <c r="F125" i="96"/>
  <c r="N125" i="96"/>
  <c r="R132" i="96"/>
  <c r="H132" i="96"/>
  <c r="J132" i="96"/>
  <c r="D154" i="96"/>
  <c r="N132" i="96"/>
  <c r="P132" i="96"/>
  <c r="F132" i="96"/>
  <c r="F119" i="93"/>
  <c r="D45" i="95"/>
  <c r="D23" i="95"/>
  <c r="D89" i="95"/>
  <c r="Q35" i="96"/>
  <c r="N144" i="96" s="1"/>
  <c r="V126" i="95"/>
  <c r="O12" i="94" s="1"/>
  <c r="Q12" i="94" s="1"/>
  <c r="E82" i="95"/>
  <c r="E16" i="95"/>
  <c r="F127" i="93"/>
  <c r="R127" i="93"/>
  <c r="R125" i="93"/>
  <c r="D144" i="96"/>
  <c r="D156" i="96"/>
  <c r="F134" i="96"/>
  <c r="P134" i="96"/>
  <c r="L134" i="96"/>
  <c r="D67" i="95"/>
  <c r="L77" i="95"/>
  <c r="D78" i="95"/>
  <c r="D12" i="95"/>
  <c r="D34" i="95"/>
  <c r="D56" i="95"/>
  <c r="J89" i="95"/>
  <c r="J45" i="95"/>
  <c r="J67" i="95"/>
  <c r="P117" i="93"/>
  <c r="J117" i="93"/>
  <c r="R117" i="93"/>
  <c r="L117" i="93"/>
  <c r="N117" i="93"/>
  <c r="J119" i="93"/>
  <c r="N119" i="93"/>
  <c r="L123" i="93"/>
  <c r="R123" i="93"/>
  <c r="P123" i="93"/>
  <c r="F123" i="93"/>
  <c r="H125" i="93"/>
  <c r="P125" i="93"/>
  <c r="N125" i="93"/>
  <c r="J125" i="93"/>
  <c r="L127" i="93"/>
  <c r="J127" i="93"/>
  <c r="P133" i="93"/>
  <c r="R133" i="93"/>
  <c r="M5" i="96"/>
  <c r="E24" i="96"/>
  <c r="F25" i="96" s="1"/>
  <c r="K5" i="96"/>
  <c r="I11" i="96"/>
  <c r="K11" i="96"/>
  <c r="M14" i="96"/>
  <c r="K14" i="96"/>
  <c r="O14" i="96"/>
  <c r="M23" i="96"/>
  <c r="O23" i="96"/>
  <c r="K23" i="96"/>
  <c r="G23" i="96"/>
  <c r="I23" i="96"/>
  <c r="K35" i="96"/>
  <c r="J144" i="96" s="1"/>
  <c r="I35" i="96"/>
  <c r="H144" i="96" s="1"/>
  <c r="G35" i="96"/>
  <c r="R120" i="96"/>
  <c r="H120" i="96"/>
  <c r="F124" i="96"/>
  <c r="R124" i="96"/>
  <c r="F131" i="96"/>
  <c r="P131" i="96"/>
  <c r="L131" i="96"/>
  <c r="R53" i="95"/>
  <c r="Y115" i="95" s="1"/>
  <c r="AA115" i="95" s="1"/>
  <c r="V115" i="95"/>
  <c r="O7" i="94" s="1"/>
  <c r="Q7" i="94" s="1"/>
  <c r="L40" i="95"/>
  <c r="E38" i="95"/>
  <c r="E51" i="95"/>
  <c r="E73" i="95"/>
  <c r="E7" i="95"/>
  <c r="F44" i="95"/>
  <c r="M44" i="95" s="1"/>
  <c r="Q128" i="95" s="1"/>
  <c r="S128" i="95" s="1"/>
  <c r="F66" i="95"/>
  <c r="P66" i="95" s="1"/>
  <c r="O128" i="95" s="1"/>
  <c r="H60" i="95"/>
  <c r="L85" i="95"/>
  <c r="K9" i="94"/>
  <c r="K25" i="94" s="1"/>
  <c r="D23" i="100"/>
  <c r="D30" i="100" s="1"/>
  <c r="K8" i="102"/>
  <c r="L4" i="102"/>
  <c r="E88" i="95"/>
  <c r="J82" i="95"/>
  <c r="O19" i="95"/>
  <c r="F22" i="95"/>
  <c r="P22" i="95" s="1"/>
  <c r="N128" i="95" s="1"/>
  <c r="E29" i="95"/>
  <c r="O18" i="95"/>
  <c r="AY26" i="101"/>
  <c r="AZ26" i="101" s="1"/>
  <c r="AZ20" i="101"/>
  <c r="J8" i="102"/>
  <c r="L14" i="102" s="1"/>
  <c r="O63" i="95"/>
  <c r="AE15" i="101"/>
  <c r="Z26" i="101"/>
  <c r="AE18" i="101"/>
  <c r="AK26" i="101"/>
  <c r="AL26" i="101" s="1"/>
  <c r="AL20" i="101"/>
  <c r="AE20" i="101"/>
  <c r="J36" i="102"/>
  <c r="J41" i="102" s="1"/>
  <c r="K41" i="102" s="1"/>
  <c r="N41" i="102" s="1"/>
  <c r="K18" i="102"/>
  <c r="K36" i="102" s="1"/>
  <c r="I45" i="102"/>
  <c r="I49" i="102" s="1"/>
  <c r="I51" i="102" s="1"/>
  <c r="I53" i="102" s="1"/>
  <c r="AE64" i="101"/>
  <c r="L5" i="102"/>
  <c r="L7" i="102"/>
  <c r="R19" i="112" l="1"/>
  <c r="S19" i="112" s="1"/>
  <c r="AA20" i="112"/>
  <c r="AC20" i="112" s="1"/>
  <c r="R17" i="112"/>
  <c r="S17" i="112" s="1"/>
  <c r="AA18" i="112"/>
  <c r="AC18" i="112" s="1"/>
  <c r="E25" i="112"/>
  <c r="K14" i="112"/>
  <c r="L14" i="112" s="1"/>
  <c r="R14" i="112" s="1"/>
  <c r="S14" i="112" s="1"/>
  <c r="P49" i="98"/>
  <c r="H47" i="98"/>
  <c r="AA13" i="112"/>
  <c r="AC13" i="112" s="1"/>
  <c r="AA15" i="112"/>
  <c r="AC15" i="112" s="1"/>
  <c r="D25" i="112"/>
  <c r="R23" i="112"/>
  <c r="S23" i="112" s="1"/>
  <c r="Q4" i="104"/>
  <c r="AP118" i="121"/>
  <c r="AR118" i="121" s="1"/>
  <c r="AP121" i="121"/>
  <c r="AR121" i="121" s="1"/>
  <c r="F12" i="118"/>
  <c r="K12" i="118"/>
  <c r="I12" i="118"/>
  <c r="H12" i="118"/>
  <c r="J12" i="118"/>
  <c r="G12" i="118"/>
  <c r="L12" i="118"/>
  <c r="O11" i="104"/>
  <c r="E74" i="118"/>
  <c r="I5" i="117"/>
  <c r="AP122" i="113"/>
  <c r="AR122" i="113" s="1"/>
  <c r="O15" i="104"/>
  <c r="E123" i="118"/>
  <c r="AP129" i="113"/>
  <c r="AR129" i="113" s="1"/>
  <c r="O7" i="104"/>
  <c r="E25" i="118"/>
  <c r="AP115" i="113"/>
  <c r="AR115" i="113" s="1"/>
  <c r="O12" i="104"/>
  <c r="E102" i="118"/>
  <c r="AP126" i="113"/>
  <c r="AR126" i="113" s="1"/>
  <c r="O8" i="104"/>
  <c r="V8" i="112" s="1"/>
  <c r="E32" i="118"/>
  <c r="AP116" i="113"/>
  <c r="AR116" i="113" s="1"/>
  <c r="O10" i="104"/>
  <c r="E67" i="118"/>
  <c r="AP121" i="113"/>
  <c r="AR121" i="113" s="1"/>
  <c r="AP118" i="113"/>
  <c r="AR118" i="113" s="1"/>
  <c r="E18" i="118"/>
  <c r="AP114" i="113"/>
  <c r="AR114" i="113" s="1"/>
  <c r="O23" i="104"/>
  <c r="E60" i="118"/>
  <c r="E68" i="125" s="1"/>
  <c r="AP120" i="113"/>
  <c r="AR120" i="113" s="1"/>
  <c r="O18" i="104"/>
  <c r="E81" i="118"/>
  <c r="AP123" i="113"/>
  <c r="AR123" i="113" s="1"/>
  <c r="H4" i="118"/>
  <c r="K4" i="118"/>
  <c r="G4" i="118"/>
  <c r="L4" i="118"/>
  <c r="J4" i="118"/>
  <c r="I4" i="118"/>
  <c r="F4" i="118"/>
  <c r="O14" i="104"/>
  <c r="E116" i="118"/>
  <c r="AP128" i="113"/>
  <c r="AR128" i="113" s="1"/>
  <c r="O9" i="104"/>
  <c r="E53" i="118"/>
  <c r="AP119" i="113"/>
  <c r="AR119" i="113" s="1"/>
  <c r="O20" i="104"/>
  <c r="E95" i="118"/>
  <c r="AP125" i="113"/>
  <c r="AR125" i="113" s="1"/>
  <c r="AW129" i="108"/>
  <c r="R15" i="94" s="1"/>
  <c r="D39" i="104"/>
  <c r="K39" i="104" s="1"/>
  <c r="L39" i="104" s="1"/>
  <c r="R39" i="104" s="1"/>
  <c r="S39" i="104" s="1"/>
  <c r="U39" i="104" s="1"/>
  <c r="V39" i="104" s="1"/>
  <c r="AW116" i="108"/>
  <c r="R8" i="94" s="1"/>
  <c r="AW127" i="108"/>
  <c r="R13" i="94" s="1"/>
  <c r="AW122" i="108"/>
  <c r="R11" i="94" s="1"/>
  <c r="AW117" i="108"/>
  <c r="R17" i="94" s="1"/>
  <c r="AW113" i="108"/>
  <c r="R5" i="94" s="1"/>
  <c r="L4" i="112"/>
  <c r="R4" i="112" s="1"/>
  <c r="AL123" i="108"/>
  <c r="AL128" i="108"/>
  <c r="AO121" i="108"/>
  <c r="AR121" i="108"/>
  <c r="AL120" i="108"/>
  <c r="AL114" i="108"/>
  <c r="AR126" i="108"/>
  <c r="AR116" i="108"/>
  <c r="AL116" i="108"/>
  <c r="AO128" i="108"/>
  <c r="AO114" i="108"/>
  <c r="AL126" i="108"/>
  <c r="AR114" i="108"/>
  <c r="AR122" i="108"/>
  <c r="AL129" i="108"/>
  <c r="AL115" i="108"/>
  <c r="AR119" i="108"/>
  <c r="O6" i="104"/>
  <c r="Z19" i="94"/>
  <c r="AW125" i="108"/>
  <c r="AW128" i="108"/>
  <c r="AW123" i="108"/>
  <c r="AW118" i="108"/>
  <c r="Z9" i="94"/>
  <c r="AW124" i="108"/>
  <c r="AW119" i="108"/>
  <c r="AW112" i="108"/>
  <c r="U91" i="95"/>
  <c r="AW114" i="108"/>
  <c r="AW121" i="108"/>
  <c r="AC23" i="94"/>
  <c r="AW120" i="108"/>
  <c r="AW115" i="108"/>
  <c r="AW126" i="108"/>
  <c r="AR129" i="108"/>
  <c r="AR115" i="108"/>
  <c r="AO119" i="108"/>
  <c r="AL125" i="108"/>
  <c r="AO122" i="108"/>
  <c r="AO125" i="108"/>
  <c r="T124" i="108"/>
  <c r="AO124" i="108" s="1"/>
  <c r="M19" i="104"/>
  <c r="AP124" i="121" s="1"/>
  <c r="AR124" i="121" s="1"/>
  <c r="AA14" i="104"/>
  <c r="X14" i="104"/>
  <c r="AJ14" i="104"/>
  <c r="AJ6" i="104"/>
  <c r="AA6" i="104"/>
  <c r="X6" i="104"/>
  <c r="X10" i="104"/>
  <c r="AA10" i="104"/>
  <c r="AJ10" i="104"/>
  <c r="AA23" i="104"/>
  <c r="AJ23" i="104"/>
  <c r="X23" i="104"/>
  <c r="AA12" i="104"/>
  <c r="AJ12" i="104"/>
  <c r="X12" i="104"/>
  <c r="AO123" i="108"/>
  <c r="T127" i="108"/>
  <c r="AR127" i="108" s="1"/>
  <c r="M13" i="104"/>
  <c r="AP127" i="121" s="1"/>
  <c r="AR127" i="121" s="1"/>
  <c r="T117" i="108"/>
  <c r="AO117" i="108" s="1"/>
  <c r="M17" i="104"/>
  <c r="AP117" i="121" s="1"/>
  <c r="AR117" i="121" s="1"/>
  <c r="AA18" i="104"/>
  <c r="AJ18" i="104"/>
  <c r="X18" i="104"/>
  <c r="T113" i="108"/>
  <c r="AL113" i="108" s="1"/>
  <c r="M5" i="104"/>
  <c r="AP113" i="121" s="1"/>
  <c r="AR113" i="121" s="1"/>
  <c r="AJ11" i="104"/>
  <c r="AA11" i="104"/>
  <c r="X11" i="104"/>
  <c r="AJ9" i="104"/>
  <c r="X9" i="104"/>
  <c r="AA9" i="104"/>
  <c r="AA15" i="104"/>
  <c r="AJ15" i="104"/>
  <c r="X15" i="104"/>
  <c r="AA20" i="104"/>
  <c r="AJ20" i="104"/>
  <c r="X20" i="104"/>
  <c r="AA7" i="104"/>
  <c r="AJ7" i="104"/>
  <c r="X7" i="104"/>
  <c r="X8" i="104"/>
  <c r="AA8" i="104"/>
  <c r="AJ8" i="104"/>
  <c r="T118" i="108"/>
  <c r="AR118" i="108" s="1"/>
  <c r="M22" i="104"/>
  <c r="F125" i="95"/>
  <c r="R131" i="108"/>
  <c r="K10" i="104"/>
  <c r="L10" i="104" s="1"/>
  <c r="K18" i="104"/>
  <c r="L18" i="104" s="1"/>
  <c r="R18" i="104" s="1"/>
  <c r="K7" i="104"/>
  <c r="L7" i="104" s="1"/>
  <c r="R7" i="104" s="1"/>
  <c r="K9" i="104"/>
  <c r="L9" i="104" s="1"/>
  <c r="R9" i="104" s="1"/>
  <c r="K6" i="104"/>
  <c r="L6" i="104" s="1"/>
  <c r="K20" i="104"/>
  <c r="L20" i="104" s="1"/>
  <c r="I25" i="104"/>
  <c r="K14" i="104"/>
  <c r="L14" i="104" s="1"/>
  <c r="R14" i="104" s="1"/>
  <c r="K23" i="104"/>
  <c r="L23" i="104" s="1"/>
  <c r="K11" i="104"/>
  <c r="L11" i="104" s="1"/>
  <c r="R11" i="104" s="1"/>
  <c r="K15" i="104"/>
  <c r="L15" i="104" s="1"/>
  <c r="R15" i="104" s="1"/>
  <c r="J131" i="108"/>
  <c r="AR112" i="108"/>
  <c r="AL112" i="108"/>
  <c r="AO112" i="108"/>
  <c r="AI23" i="91"/>
  <c r="D9" i="66"/>
  <c r="D19" i="102"/>
  <c r="H28" i="95"/>
  <c r="AJ114" i="73"/>
  <c r="E9" i="66"/>
  <c r="AJ111" i="73"/>
  <c r="AA109" i="78"/>
  <c r="E8" i="78"/>
  <c r="S123" i="92"/>
  <c r="D9" i="78"/>
  <c r="P116" i="92"/>
  <c r="D75" i="78"/>
  <c r="AA112" i="73"/>
  <c r="AI17" i="91"/>
  <c r="F59" i="66"/>
  <c r="S34" i="41"/>
  <c r="E20" i="78"/>
  <c r="G20" i="78"/>
  <c r="Y110" i="85"/>
  <c r="W23" i="91"/>
  <c r="Q15" i="93"/>
  <c r="Q11" i="93"/>
  <c r="M123" i="73"/>
  <c r="I13" i="79" s="1"/>
  <c r="D13" i="95"/>
  <c r="G22" i="78"/>
  <c r="D12" i="85"/>
  <c r="F43" i="66"/>
  <c r="F87" i="66"/>
  <c r="K163" i="96"/>
  <c r="S163" i="96" s="1"/>
  <c r="H77" i="85"/>
  <c r="K77" i="85" s="1"/>
  <c r="R113" i="85" s="1"/>
  <c r="P50" i="98"/>
  <c r="P51" i="98" s="1"/>
  <c r="P55" i="98" s="1"/>
  <c r="AL61" i="81"/>
  <c r="P123" i="95"/>
  <c r="T123" i="95" s="1"/>
  <c r="J18" i="94" s="1"/>
  <c r="F87" i="85"/>
  <c r="F21" i="66"/>
  <c r="F65" i="78"/>
  <c r="D7" i="102"/>
  <c r="J29" i="95"/>
  <c r="D31" i="95"/>
  <c r="E6" i="66"/>
  <c r="F65" i="66"/>
  <c r="F21" i="78"/>
  <c r="F43" i="85"/>
  <c r="J58" i="95"/>
  <c r="AA123" i="85"/>
  <c r="H55" i="66"/>
  <c r="G42" i="78"/>
  <c r="AA122" i="95"/>
  <c r="P119" i="73"/>
  <c r="O11" i="94"/>
  <c r="Q11" i="94" s="1"/>
  <c r="Q25" i="94" s="1"/>
  <c r="O23" i="73"/>
  <c r="G20" i="66"/>
  <c r="H66" i="85"/>
  <c r="N66" i="85" s="1"/>
  <c r="O124" i="85" s="1"/>
  <c r="Q23" i="93"/>
  <c r="F23" i="95"/>
  <c r="P23" i="95" s="1"/>
  <c r="N129" i="95" s="1"/>
  <c r="J140" i="96"/>
  <c r="S111" i="78"/>
  <c r="E64" i="78"/>
  <c r="J37" i="95"/>
  <c r="G22" i="95"/>
  <c r="AA117" i="85"/>
  <c r="P14" i="69"/>
  <c r="H55" i="78"/>
  <c r="F52" i="85"/>
  <c r="E86" i="78"/>
  <c r="F53" i="85"/>
  <c r="O123" i="66"/>
  <c r="Z14" i="69" s="1"/>
  <c r="G86" i="85"/>
  <c r="F17" i="78"/>
  <c r="O10" i="73"/>
  <c r="Y119" i="92"/>
  <c r="H33" i="78"/>
  <c r="K33" i="78" s="1"/>
  <c r="Q113" i="78" s="1"/>
  <c r="H57" i="85"/>
  <c r="N57" i="85" s="1"/>
  <c r="O115" i="85" s="1"/>
  <c r="P115" i="85" s="1"/>
  <c r="O17" i="73"/>
  <c r="J38" i="95"/>
  <c r="L146" i="96"/>
  <c r="F13" i="95"/>
  <c r="P13" i="95" s="1"/>
  <c r="N119" i="95" s="1"/>
  <c r="O8" i="73"/>
  <c r="E44" i="95"/>
  <c r="I59" i="95"/>
  <c r="D51" i="95"/>
  <c r="D8" i="95"/>
  <c r="N146" i="96"/>
  <c r="AJ122" i="73"/>
  <c r="AA113" i="78"/>
  <c r="H42" i="85"/>
  <c r="K42" i="85" s="1"/>
  <c r="Q122" i="85" s="1"/>
  <c r="F78" i="85"/>
  <c r="Z18" i="84"/>
  <c r="AA118" i="78"/>
  <c r="H11" i="85"/>
  <c r="N11" i="85" s="1"/>
  <c r="N113" i="85" s="1"/>
  <c r="F74" i="66"/>
  <c r="G85" i="66"/>
  <c r="G86" i="66"/>
  <c r="V35" i="96"/>
  <c r="R141" i="96"/>
  <c r="H33" i="85"/>
  <c r="K33" i="85" s="1"/>
  <c r="Q113" i="85" s="1"/>
  <c r="S113" i="85" s="1"/>
  <c r="H88" i="85"/>
  <c r="K88" i="85" s="1"/>
  <c r="R124" i="85" s="1"/>
  <c r="F112" i="93"/>
  <c r="D14" i="92" s="1"/>
  <c r="V36" i="93"/>
  <c r="D15" i="95"/>
  <c r="J88" i="95"/>
  <c r="F38" i="95"/>
  <c r="M38" i="95" s="1"/>
  <c r="Q122" i="95" s="1"/>
  <c r="F89" i="95"/>
  <c r="M89" i="95" s="1"/>
  <c r="R129" i="95" s="1"/>
  <c r="S129" i="95" s="1"/>
  <c r="E13" i="95"/>
  <c r="I31" i="95"/>
  <c r="G85" i="78"/>
  <c r="E66" i="85"/>
  <c r="G30" i="78"/>
  <c r="G19" i="66"/>
  <c r="E12" i="95"/>
  <c r="J86" i="95"/>
  <c r="M176" i="96"/>
  <c r="U176" i="96" s="1"/>
  <c r="M168" i="96"/>
  <c r="U168" i="96" s="1"/>
  <c r="G10" i="95"/>
  <c r="AL19" i="94"/>
  <c r="J80" i="95"/>
  <c r="P120" i="92"/>
  <c r="T120" i="92" s="1"/>
  <c r="J11" i="91" s="1"/>
  <c r="D36" i="95"/>
  <c r="AA121" i="85"/>
  <c r="E23" i="95"/>
  <c r="AA117" i="92"/>
  <c r="D81" i="78"/>
  <c r="AI19" i="84"/>
  <c r="AA124" i="78"/>
  <c r="H77" i="66"/>
  <c r="H77" i="78"/>
  <c r="K77" i="78" s="1"/>
  <c r="R113" i="78" s="1"/>
  <c r="O19" i="73"/>
  <c r="O120" i="66"/>
  <c r="Z20" i="69" s="1"/>
  <c r="E65" i="66"/>
  <c r="G19" i="78"/>
  <c r="G63" i="85"/>
  <c r="E20" i="66"/>
  <c r="E86" i="66"/>
  <c r="F53" i="66"/>
  <c r="O121" i="66"/>
  <c r="Z12" i="69" s="1"/>
  <c r="G86" i="78"/>
  <c r="G42" i="85"/>
  <c r="D66" i="85"/>
  <c r="V45" i="93"/>
  <c r="AJ113" i="73"/>
  <c r="Y111" i="73"/>
  <c r="AA111" i="73" s="1"/>
  <c r="E66" i="78"/>
  <c r="E52" i="66"/>
  <c r="G52" i="78"/>
  <c r="G8" i="66"/>
  <c r="B8" i="77"/>
  <c r="F8" i="77" s="1"/>
  <c r="H156" i="96"/>
  <c r="D58" i="95"/>
  <c r="AA112" i="78"/>
  <c r="H78" i="85"/>
  <c r="K78" i="85" s="1"/>
  <c r="R114" i="85" s="1"/>
  <c r="S114" i="85" s="1"/>
  <c r="W19" i="84"/>
  <c r="E64" i="85"/>
  <c r="E42" i="85"/>
  <c r="E20" i="85"/>
  <c r="G89" i="93" s="1"/>
  <c r="AJ121" i="73"/>
  <c r="AJ112" i="73"/>
  <c r="N156" i="96"/>
  <c r="F67" i="95"/>
  <c r="P67" i="95" s="1"/>
  <c r="O129" i="95" s="1"/>
  <c r="L155" i="96"/>
  <c r="H64" i="98"/>
  <c r="G32" i="95"/>
  <c r="Y122" i="73"/>
  <c r="AA122" i="73" s="1"/>
  <c r="AL122" i="73" s="1"/>
  <c r="E67" i="95"/>
  <c r="F86" i="78"/>
  <c r="Y109" i="73"/>
  <c r="AA109" i="73" s="1"/>
  <c r="AC109" i="73" s="1"/>
  <c r="H33" i="66"/>
  <c r="H11" i="78"/>
  <c r="N11" i="78" s="1"/>
  <c r="N113" i="78" s="1"/>
  <c r="H55" i="85"/>
  <c r="N55" i="85" s="1"/>
  <c r="O113" i="85" s="1"/>
  <c r="E87" i="85"/>
  <c r="G85" i="85"/>
  <c r="E86" i="85"/>
  <c r="E64" i="66"/>
  <c r="L64" i="66" s="1"/>
  <c r="E121" i="66" s="1"/>
  <c r="E42" i="66"/>
  <c r="F9" i="85"/>
  <c r="H74" i="96" s="1"/>
  <c r="G64" i="85"/>
  <c r="G20" i="85"/>
  <c r="I89" i="93" s="1"/>
  <c r="F61" i="78"/>
  <c r="P125" i="95"/>
  <c r="T125" i="95" s="1"/>
  <c r="J20" i="94" s="1"/>
  <c r="AJ109" i="73"/>
  <c r="S125" i="92"/>
  <c r="S117" i="92"/>
  <c r="G81" i="85"/>
  <c r="G30" i="66"/>
  <c r="N13" i="92"/>
  <c r="G117" i="92" s="1"/>
  <c r="I117" i="92" s="1"/>
  <c r="Q19" i="93"/>
  <c r="F82" i="95"/>
  <c r="M82" i="95" s="1"/>
  <c r="R122" i="95" s="1"/>
  <c r="E74" i="95"/>
  <c r="E35" i="95"/>
  <c r="I75" i="95"/>
  <c r="H7" i="95"/>
  <c r="H37" i="78"/>
  <c r="K37" i="78" s="1"/>
  <c r="Q117" i="78" s="1"/>
  <c r="D37" i="78"/>
  <c r="Y121" i="73"/>
  <c r="AA121" i="73" s="1"/>
  <c r="AC121" i="73" s="1"/>
  <c r="G44" i="78"/>
  <c r="F59" i="78"/>
  <c r="D34" i="66"/>
  <c r="D34" i="78"/>
  <c r="F109" i="96"/>
  <c r="F110" i="96" s="1"/>
  <c r="F111" i="96" s="1"/>
  <c r="F112" i="96" s="1"/>
  <c r="Q16" i="96"/>
  <c r="F124" i="95"/>
  <c r="M109" i="73"/>
  <c r="I5" i="79" s="1"/>
  <c r="H94" i="96"/>
  <c r="F81" i="78"/>
  <c r="E30" i="66"/>
  <c r="P123" i="92"/>
  <c r="T123" i="92" s="1"/>
  <c r="J20" i="91" s="1"/>
  <c r="AA122" i="85"/>
  <c r="S31" i="93"/>
  <c r="H15" i="78"/>
  <c r="N15" i="78" s="1"/>
  <c r="N117" i="78" s="1"/>
  <c r="P117" i="78" s="1"/>
  <c r="AJ116" i="73"/>
  <c r="E59" i="95"/>
  <c r="I34" i="95"/>
  <c r="E30" i="95"/>
  <c r="J166" i="96"/>
  <c r="R166" i="96" s="1"/>
  <c r="E79" i="95"/>
  <c r="P142" i="96"/>
  <c r="M39" i="92"/>
  <c r="H81" i="85"/>
  <c r="K81" i="85" s="1"/>
  <c r="R117" i="85" s="1"/>
  <c r="F37" i="85"/>
  <c r="D78" i="78"/>
  <c r="D78" i="66"/>
  <c r="D34" i="85"/>
  <c r="G8" i="95"/>
  <c r="H59" i="85"/>
  <c r="N59" i="85" s="1"/>
  <c r="O117" i="85" s="1"/>
  <c r="D50" i="78"/>
  <c r="E74" i="85"/>
  <c r="F117" i="95"/>
  <c r="D56" i="78"/>
  <c r="D56" i="66"/>
  <c r="F16" i="95"/>
  <c r="D29" i="95"/>
  <c r="H146" i="96"/>
  <c r="I53" i="95"/>
  <c r="AC19" i="94"/>
  <c r="M119" i="73"/>
  <c r="I18" i="79" s="1"/>
  <c r="P122" i="92"/>
  <c r="F42" i="85"/>
  <c r="F15" i="78"/>
  <c r="D12" i="66"/>
  <c r="D12" i="78"/>
  <c r="F60" i="95"/>
  <c r="P60" i="95" s="1"/>
  <c r="O122" i="95" s="1"/>
  <c r="N145" i="96"/>
  <c r="AA116" i="78"/>
  <c r="E74" i="66"/>
  <c r="F64" i="78"/>
  <c r="S38" i="96"/>
  <c r="G42" i="66"/>
  <c r="G64" i="78"/>
  <c r="AJ123" i="73"/>
  <c r="O107" i="66"/>
  <c r="Z4" i="69" s="1"/>
  <c r="R11" i="68"/>
  <c r="U11" i="68" s="1"/>
  <c r="O6" i="91"/>
  <c r="W6" i="91" s="1"/>
  <c r="L125" i="73"/>
  <c r="G8" i="85"/>
  <c r="I69" i="96" s="1"/>
  <c r="G52" i="66"/>
  <c r="S47" i="93"/>
  <c r="H37" i="85"/>
  <c r="K37" i="85" s="1"/>
  <c r="Q117" i="85" s="1"/>
  <c r="S117" i="85" s="1"/>
  <c r="H81" i="66"/>
  <c r="H59" i="66"/>
  <c r="D59" i="95"/>
  <c r="E81" i="95"/>
  <c r="J30" i="95"/>
  <c r="D60" i="95"/>
  <c r="D73" i="95"/>
  <c r="I66" i="95"/>
  <c r="J146" i="96"/>
  <c r="D54" i="95"/>
  <c r="H54" i="98"/>
  <c r="K166" i="96"/>
  <c r="S166" i="96" s="1"/>
  <c r="J36" i="95"/>
  <c r="D53" i="95"/>
  <c r="AA119" i="73"/>
  <c r="AC119" i="73" s="1"/>
  <c r="W17" i="91"/>
  <c r="H15" i="66"/>
  <c r="F86" i="66"/>
  <c r="F88" i="66"/>
  <c r="P125" i="73"/>
  <c r="T125" i="73" s="1"/>
  <c r="J15" i="79" s="1"/>
  <c r="AI23" i="84"/>
  <c r="F37" i="66"/>
  <c r="J37" i="66" s="1"/>
  <c r="G116" i="66" s="1"/>
  <c r="F15" i="66"/>
  <c r="E21" i="66"/>
  <c r="F52" i="66"/>
  <c r="G41" i="85"/>
  <c r="G41" i="78"/>
  <c r="G63" i="66"/>
  <c r="F53" i="78"/>
  <c r="F9" i="78"/>
  <c r="F31" i="85"/>
  <c r="V45" i="96"/>
  <c r="AJ115" i="73"/>
  <c r="N149" i="96"/>
  <c r="W4" i="84"/>
  <c r="G82" i="95"/>
  <c r="J139" i="96"/>
  <c r="P24" i="17"/>
  <c r="F42" i="66"/>
  <c r="V40" i="93"/>
  <c r="E8" i="85"/>
  <c r="H66" i="66"/>
  <c r="D50" i="66"/>
  <c r="E30" i="85"/>
  <c r="S115" i="92"/>
  <c r="M33" i="92"/>
  <c r="G15" i="66"/>
  <c r="AA110" i="92"/>
  <c r="G74" i="78"/>
  <c r="F20" i="78"/>
  <c r="O19" i="17"/>
  <c r="G59" i="85"/>
  <c r="S122" i="92"/>
  <c r="S33" i="93"/>
  <c r="AJ117" i="73"/>
  <c r="G30" i="85"/>
  <c r="G8" i="78"/>
  <c r="G74" i="85"/>
  <c r="F56" i="95"/>
  <c r="P56" i="95" s="1"/>
  <c r="O118" i="95" s="1"/>
  <c r="J22" i="95"/>
  <c r="E15" i="95"/>
  <c r="E37" i="95"/>
  <c r="J78" i="95"/>
  <c r="D7" i="95"/>
  <c r="J51" i="95"/>
  <c r="J42" i="95"/>
  <c r="K159" i="96"/>
  <c r="S159" i="96" s="1"/>
  <c r="D79" i="95"/>
  <c r="H15" i="85"/>
  <c r="F42" i="78"/>
  <c r="F64" i="85"/>
  <c r="P111" i="78"/>
  <c r="F22" i="78"/>
  <c r="W8" i="51"/>
  <c r="F37" i="78"/>
  <c r="F81" i="85"/>
  <c r="F59" i="85"/>
  <c r="G41" i="66"/>
  <c r="G19" i="85"/>
  <c r="F75" i="66"/>
  <c r="R18" i="68"/>
  <c r="U18" i="68" s="1"/>
  <c r="S35" i="41"/>
  <c r="AJ118" i="73"/>
  <c r="AA119" i="78"/>
  <c r="L118" i="73"/>
  <c r="Z4" i="84"/>
  <c r="I161" i="96"/>
  <c r="Q161" i="96" s="1"/>
  <c r="M43" i="92"/>
  <c r="F20" i="85"/>
  <c r="V40" i="96"/>
  <c r="F15" i="85"/>
  <c r="E8" i="66"/>
  <c r="S127" i="92"/>
  <c r="E70" i="96"/>
  <c r="F70" i="96" s="1"/>
  <c r="G37" i="85"/>
  <c r="G52" i="85"/>
  <c r="Q7" i="93"/>
  <c r="P39" i="41"/>
  <c r="J8" i="95"/>
  <c r="X25" i="17"/>
  <c r="D31" i="85"/>
  <c r="D53" i="85"/>
  <c r="D31" i="66"/>
  <c r="D53" i="78"/>
  <c r="D75" i="66"/>
  <c r="D17" i="102"/>
  <c r="D27" i="102"/>
  <c r="J66" i="95"/>
  <c r="I81" i="95"/>
  <c r="J44" i="95"/>
  <c r="H16" i="95"/>
  <c r="J74" i="95"/>
  <c r="J12" i="95"/>
  <c r="D74" i="95"/>
  <c r="R148" i="96"/>
  <c r="D57" i="95"/>
  <c r="J147" i="96"/>
  <c r="D80" i="95"/>
  <c r="D9" i="95"/>
  <c r="E45" i="95"/>
  <c r="E18" i="85"/>
  <c r="D37" i="85"/>
  <c r="E50" i="66"/>
  <c r="G88" i="66"/>
  <c r="G88" i="85"/>
  <c r="AI18" i="84"/>
  <c r="V34" i="93"/>
  <c r="H15" i="61"/>
  <c r="V37" i="96"/>
  <c r="N148" i="96"/>
  <c r="M112" i="73"/>
  <c r="I8" i="79" s="1"/>
  <c r="F143" i="96"/>
  <c r="O16" i="73"/>
  <c r="S30" i="93"/>
  <c r="F74" i="93"/>
  <c r="AA114" i="78"/>
  <c r="E44" i="66"/>
  <c r="E66" i="66"/>
  <c r="E88" i="78"/>
  <c r="S124" i="92"/>
  <c r="Q8" i="93"/>
  <c r="S32" i="96"/>
  <c r="D31" i="78"/>
  <c r="AA108" i="78"/>
  <c r="Y117" i="73"/>
  <c r="AA117" i="73" s="1"/>
  <c r="AL117" i="73" s="1"/>
  <c r="S110" i="92"/>
  <c r="Y116" i="92"/>
  <c r="AA116" i="92" s="1"/>
  <c r="P111" i="73"/>
  <c r="T111" i="73" s="1"/>
  <c r="J7" i="79" s="1"/>
  <c r="D59" i="66"/>
  <c r="D81" i="66"/>
  <c r="D81" i="85"/>
  <c r="D15" i="66"/>
  <c r="D15" i="85"/>
  <c r="D59" i="78"/>
  <c r="L59" i="78" s="1"/>
  <c r="E117" i="78" s="1"/>
  <c r="D15" i="78"/>
  <c r="D15" i="102"/>
  <c r="J59" i="95"/>
  <c r="I37" i="95"/>
  <c r="F78" i="95"/>
  <c r="M78" i="95" s="1"/>
  <c r="R118" i="95" s="1"/>
  <c r="D22" i="95"/>
  <c r="D82" i="95"/>
  <c r="J142" i="96"/>
  <c r="D50" i="95"/>
  <c r="E36" i="95"/>
  <c r="S42" i="96"/>
  <c r="K162" i="96"/>
  <c r="S162" i="96" s="1"/>
  <c r="AA109" i="85"/>
  <c r="J176" i="96"/>
  <c r="R176" i="96" s="1"/>
  <c r="D59" i="85"/>
  <c r="P121" i="73"/>
  <c r="T121" i="73" s="1"/>
  <c r="J20" i="79" s="1"/>
  <c r="P117" i="73"/>
  <c r="T117" i="73" s="1"/>
  <c r="J10" i="79" s="1"/>
  <c r="P118" i="73"/>
  <c r="T118" i="73" s="1"/>
  <c r="J11" i="79" s="1"/>
  <c r="P110" i="73"/>
  <c r="T110" i="73" s="1"/>
  <c r="J6" i="79" s="1"/>
  <c r="L149" i="96"/>
  <c r="Q12" i="96"/>
  <c r="S37" i="93"/>
  <c r="K126" i="92"/>
  <c r="L126" i="92" s="1"/>
  <c r="P124" i="95"/>
  <c r="T124" i="95" s="1"/>
  <c r="J19" i="94" s="1"/>
  <c r="O15" i="73"/>
  <c r="N34" i="51"/>
  <c r="O18" i="17"/>
  <c r="E44" i="78"/>
  <c r="E88" i="85"/>
  <c r="E44" i="85"/>
  <c r="F141" i="96"/>
  <c r="G15" i="85"/>
  <c r="G81" i="78"/>
  <c r="G59" i="66"/>
  <c r="O124" i="66"/>
  <c r="Z15" i="69" s="1"/>
  <c r="X15" i="69"/>
  <c r="AC13" i="94"/>
  <c r="AL13" i="94"/>
  <c r="I79" i="95"/>
  <c r="I35" i="95"/>
  <c r="I52" i="95"/>
  <c r="N161" i="96"/>
  <c r="V161" i="96" s="1"/>
  <c r="P141" i="96"/>
  <c r="D25" i="102"/>
  <c r="Z22" i="94"/>
  <c r="AC22" i="94"/>
  <c r="M13" i="92"/>
  <c r="D117" i="92" s="1"/>
  <c r="F117" i="92" s="1"/>
  <c r="W14" i="91"/>
  <c r="Z14" i="91"/>
  <c r="T116" i="92"/>
  <c r="J22" i="91" s="1"/>
  <c r="H20" i="66"/>
  <c r="H64" i="78"/>
  <c r="N64" i="78" s="1"/>
  <c r="O122" i="78" s="1"/>
  <c r="H42" i="66"/>
  <c r="H86" i="78"/>
  <c r="K86" i="78" s="1"/>
  <c r="R122" i="78" s="1"/>
  <c r="H64" i="85"/>
  <c r="N64" i="85" s="1"/>
  <c r="O122" i="85" s="1"/>
  <c r="H86" i="66"/>
  <c r="P44" i="41"/>
  <c r="H86" i="85"/>
  <c r="K86" i="85" s="1"/>
  <c r="R122" i="85" s="1"/>
  <c r="H20" i="78"/>
  <c r="N20" i="78" s="1"/>
  <c r="N122" i="78" s="1"/>
  <c r="F12" i="66"/>
  <c r="F56" i="78"/>
  <c r="F56" i="85"/>
  <c r="F34" i="78"/>
  <c r="F34" i="85"/>
  <c r="F78" i="66"/>
  <c r="F34" i="66"/>
  <c r="F56" i="66"/>
  <c r="P36" i="41"/>
  <c r="F12" i="78"/>
  <c r="H8" i="85"/>
  <c r="H52" i="85"/>
  <c r="N52" i="85" s="1"/>
  <c r="O110" i="85" s="1"/>
  <c r="H52" i="66"/>
  <c r="H74" i="85"/>
  <c r="K74" i="85" s="1"/>
  <c r="R110" i="85" s="1"/>
  <c r="H30" i="66"/>
  <c r="H74" i="78"/>
  <c r="K74" i="78" s="1"/>
  <c r="R110" i="78" s="1"/>
  <c r="H30" i="78"/>
  <c r="K30" i="78" s="1"/>
  <c r="Q110" i="78" s="1"/>
  <c r="H30" i="85"/>
  <c r="K30" i="85" s="1"/>
  <c r="Q110" i="85" s="1"/>
  <c r="S110" i="85" s="1"/>
  <c r="D9" i="17"/>
  <c r="O9" i="17" s="1"/>
  <c r="P9" i="41"/>
  <c r="W12" i="84"/>
  <c r="AI12" i="84"/>
  <c r="D12" i="102"/>
  <c r="D4" i="102"/>
  <c r="D5" i="102"/>
  <c r="D11" i="102"/>
  <c r="J73" i="95"/>
  <c r="F30" i="95"/>
  <c r="M30" i="95" s="1"/>
  <c r="Q114" i="95" s="1"/>
  <c r="S114" i="95" s="1"/>
  <c r="F37" i="95"/>
  <c r="M37" i="95" s="1"/>
  <c r="Q121" i="95" s="1"/>
  <c r="H147" i="96"/>
  <c r="I74" i="95"/>
  <c r="M30" i="92"/>
  <c r="H20" i="85"/>
  <c r="J89" i="93" s="1"/>
  <c r="H8" i="66"/>
  <c r="N141" i="96"/>
  <c r="F7" i="95"/>
  <c r="P7" i="95" s="1"/>
  <c r="N113" i="95" s="1"/>
  <c r="F29" i="95"/>
  <c r="M29" i="95" s="1"/>
  <c r="Q113" i="95" s="1"/>
  <c r="S113" i="95" s="1"/>
  <c r="F79" i="66"/>
  <c r="F6" i="78"/>
  <c r="D39" i="61" s="1"/>
  <c r="F72" i="66"/>
  <c r="S119" i="92"/>
  <c r="D28" i="85"/>
  <c r="D72" i="78"/>
  <c r="M44" i="92"/>
  <c r="V46" i="96"/>
  <c r="S46" i="41"/>
  <c r="V46" i="93"/>
  <c r="G12" i="85"/>
  <c r="G34" i="66"/>
  <c r="G56" i="78"/>
  <c r="G12" i="66"/>
  <c r="G78" i="66"/>
  <c r="G78" i="85"/>
  <c r="G34" i="78"/>
  <c r="G56" i="85"/>
  <c r="G12" i="78"/>
  <c r="G34" i="85"/>
  <c r="G78" i="78"/>
  <c r="G56" i="66"/>
  <c r="F52" i="78"/>
  <c r="F30" i="85"/>
  <c r="F30" i="66"/>
  <c r="F8" i="85"/>
  <c r="H69" i="96" s="1"/>
  <c r="F74" i="78"/>
  <c r="F30" i="78"/>
  <c r="F8" i="78"/>
  <c r="F8" i="66"/>
  <c r="P32" i="41"/>
  <c r="H22" i="66"/>
  <c r="H44" i="66"/>
  <c r="H22" i="85"/>
  <c r="J99" i="93" s="1"/>
  <c r="J100" i="93" s="1"/>
  <c r="J101" i="93" s="1"/>
  <c r="H66" i="78"/>
  <c r="N66" i="78" s="1"/>
  <c r="O124" i="78" s="1"/>
  <c r="H88" i="78"/>
  <c r="K88" i="78" s="1"/>
  <c r="R124" i="78" s="1"/>
  <c r="H44" i="85"/>
  <c r="K44" i="85" s="1"/>
  <c r="Q124" i="85" s="1"/>
  <c r="H44" i="78"/>
  <c r="K44" i="78" s="1"/>
  <c r="Q124" i="78" s="1"/>
  <c r="H88" i="66"/>
  <c r="L139" i="96"/>
  <c r="H6" i="95"/>
  <c r="L159" i="96"/>
  <c r="T159" i="96" s="1"/>
  <c r="L161" i="96"/>
  <c r="T161" i="96" s="1"/>
  <c r="H30" i="95"/>
  <c r="H74" i="95"/>
  <c r="D13" i="102"/>
  <c r="D10" i="102"/>
  <c r="D8" i="102"/>
  <c r="D26" i="102"/>
  <c r="I30" i="95"/>
  <c r="F15" i="95"/>
  <c r="P15" i="95" s="1"/>
  <c r="N121" i="95" s="1"/>
  <c r="P121" i="95" s="1"/>
  <c r="F81" i="95"/>
  <c r="M81" i="95" s="1"/>
  <c r="R121" i="95" s="1"/>
  <c r="K168" i="96"/>
  <c r="S168" i="96" s="1"/>
  <c r="D81" i="95"/>
  <c r="N175" i="96"/>
  <c r="V175" i="96" s="1"/>
  <c r="P155" i="96"/>
  <c r="AA114" i="85"/>
  <c r="X11" i="69"/>
  <c r="O117" i="66"/>
  <c r="Z11" i="69" s="1"/>
  <c r="D6" i="95"/>
  <c r="D28" i="95"/>
  <c r="W22" i="91"/>
  <c r="AI22" i="91"/>
  <c r="D23" i="102"/>
  <c r="D14" i="102"/>
  <c r="D6" i="102"/>
  <c r="D20" i="102"/>
  <c r="I57" i="95"/>
  <c r="I88" i="95"/>
  <c r="E14" i="95"/>
  <c r="O113" i="66"/>
  <c r="Z22" i="69" s="1"/>
  <c r="H42" i="78"/>
  <c r="K42" i="78" s="1"/>
  <c r="Q122" i="78" s="1"/>
  <c r="F78" i="78"/>
  <c r="H8" i="78"/>
  <c r="N8" i="78" s="1"/>
  <c r="N110" i="78" s="1"/>
  <c r="P110" i="78" s="1"/>
  <c r="Y11" i="51"/>
  <c r="W8" i="68" s="1"/>
  <c r="P19" i="41"/>
  <c r="P46" i="41"/>
  <c r="O173" i="96"/>
  <c r="W173" i="96" s="1"/>
  <c r="J64" i="95"/>
  <c r="L169" i="96"/>
  <c r="T169" i="96" s="1"/>
  <c r="H38" i="95"/>
  <c r="K161" i="96"/>
  <c r="S161" i="96" s="1"/>
  <c r="J141" i="96"/>
  <c r="D30" i="95"/>
  <c r="L141" i="96"/>
  <c r="F35" i="85"/>
  <c r="F79" i="78"/>
  <c r="H35" i="95"/>
  <c r="H13" i="95"/>
  <c r="E57" i="85"/>
  <c r="E57" i="78"/>
  <c r="E35" i="66"/>
  <c r="F77" i="85"/>
  <c r="F33" i="78"/>
  <c r="P124" i="78"/>
  <c r="F72" i="78"/>
  <c r="R147" i="96"/>
  <c r="O167" i="96"/>
  <c r="W167" i="96" s="1"/>
  <c r="Q13" i="96"/>
  <c r="D33" i="94"/>
  <c r="M33" i="94" s="1"/>
  <c r="N33" i="94" s="1"/>
  <c r="R153" i="96"/>
  <c r="S34" i="93"/>
  <c r="AA118" i="85"/>
  <c r="AA117" i="78"/>
  <c r="D32" i="74"/>
  <c r="P117" i="95"/>
  <c r="T117" i="95" s="1"/>
  <c r="J17" i="94" s="1"/>
  <c r="F70" i="93"/>
  <c r="AJ124" i="73"/>
  <c r="AJ119" i="73"/>
  <c r="Z129" i="92"/>
  <c r="Q22" i="96"/>
  <c r="Q12" i="93"/>
  <c r="O9" i="73"/>
  <c r="H56" i="85"/>
  <c r="N56" i="85" s="1"/>
  <c r="O114" i="85" s="1"/>
  <c r="H78" i="78"/>
  <c r="K78" i="78" s="1"/>
  <c r="R114" i="78" s="1"/>
  <c r="H12" i="66"/>
  <c r="H56" i="78"/>
  <c r="N56" i="78" s="1"/>
  <c r="O114" i="78" s="1"/>
  <c r="H34" i="66"/>
  <c r="H34" i="78"/>
  <c r="K34" i="78" s="1"/>
  <c r="Q114" i="78" s="1"/>
  <c r="S114" i="78" s="1"/>
  <c r="H78" i="66"/>
  <c r="H56" i="66"/>
  <c r="H12" i="85"/>
  <c r="N12" i="85" s="1"/>
  <c r="N114" i="85" s="1"/>
  <c r="P114" i="85" s="1"/>
  <c r="H12" i="78"/>
  <c r="N12" i="78" s="1"/>
  <c r="N114" i="78" s="1"/>
  <c r="E22" i="85"/>
  <c r="E22" i="66"/>
  <c r="AA122" i="92"/>
  <c r="S111" i="85"/>
  <c r="J149" i="96"/>
  <c r="AA115" i="78"/>
  <c r="E29" i="69"/>
  <c r="AA125" i="78"/>
  <c r="AA115" i="85"/>
  <c r="F123" i="95"/>
  <c r="V36" i="96"/>
  <c r="S36" i="41"/>
  <c r="F86" i="85"/>
  <c r="F20" i="66"/>
  <c r="E52" i="85"/>
  <c r="E52" i="78"/>
  <c r="E60" i="93"/>
  <c r="K60" i="93" s="1"/>
  <c r="O4" i="91"/>
  <c r="AI4" i="91" s="1"/>
  <c r="X19" i="69"/>
  <c r="O119" i="66"/>
  <c r="Z19" i="69" s="1"/>
  <c r="E86" i="95"/>
  <c r="J173" i="96"/>
  <c r="R173" i="96" s="1"/>
  <c r="E20" i="95"/>
  <c r="G32" i="85"/>
  <c r="G10" i="66"/>
  <c r="H55" i="98"/>
  <c r="H56" i="98"/>
  <c r="H31" i="95"/>
  <c r="H75" i="95"/>
  <c r="F31" i="95"/>
  <c r="M31" i="95" s="1"/>
  <c r="Q115" i="95" s="1"/>
  <c r="F53" i="95"/>
  <c r="P53" i="95" s="1"/>
  <c r="O115" i="95" s="1"/>
  <c r="P115" i="95" s="1"/>
  <c r="G43" i="78"/>
  <c r="G65" i="85"/>
  <c r="G65" i="78"/>
  <c r="G43" i="85"/>
  <c r="S111" i="92"/>
  <c r="R129" i="92"/>
  <c r="K123" i="92"/>
  <c r="M85" i="92"/>
  <c r="K25" i="84"/>
  <c r="G31" i="85"/>
  <c r="G31" i="78"/>
  <c r="G53" i="66"/>
  <c r="G53" i="78"/>
  <c r="G75" i="85"/>
  <c r="G9" i="78"/>
  <c r="G31" i="66"/>
  <c r="G53" i="85"/>
  <c r="G9" i="66"/>
  <c r="L9" i="66" s="1"/>
  <c r="D110" i="66" s="1"/>
  <c r="G9" i="85"/>
  <c r="I74" i="96" s="1"/>
  <c r="AL6" i="94"/>
  <c r="Z6" i="94"/>
  <c r="L117" i="73"/>
  <c r="M117" i="73" s="1"/>
  <c r="I10" i="79" s="1"/>
  <c r="F152" i="96"/>
  <c r="S43" i="96"/>
  <c r="F61" i="66"/>
  <c r="F39" i="85"/>
  <c r="F39" i="66"/>
  <c r="F61" i="85"/>
  <c r="F17" i="85"/>
  <c r="F39" i="78"/>
  <c r="H57" i="78"/>
  <c r="N57" i="78" s="1"/>
  <c r="O115" i="78" s="1"/>
  <c r="H35" i="85"/>
  <c r="K35" i="85" s="1"/>
  <c r="Q115" i="85" s="1"/>
  <c r="H79" i="78"/>
  <c r="K79" i="78" s="1"/>
  <c r="R115" i="78" s="1"/>
  <c r="H35" i="66"/>
  <c r="H35" i="78"/>
  <c r="K35" i="78" s="1"/>
  <c r="Q115" i="78" s="1"/>
  <c r="H57" i="66"/>
  <c r="H79" i="85"/>
  <c r="K79" i="85" s="1"/>
  <c r="R115" i="85" s="1"/>
  <c r="H79" i="66"/>
  <c r="H13" i="78"/>
  <c r="N13" i="78" s="1"/>
  <c r="N115" i="78" s="1"/>
  <c r="P115" i="78" s="1"/>
  <c r="F34" i="95"/>
  <c r="M34" i="95" s="1"/>
  <c r="Q118" i="95" s="1"/>
  <c r="J16" i="95"/>
  <c r="J52" i="95"/>
  <c r="I13" i="95"/>
  <c r="L142" i="96"/>
  <c r="D32" i="95"/>
  <c r="H53" i="95"/>
  <c r="L162" i="96"/>
  <c r="T162" i="96" s="1"/>
  <c r="H48" i="98"/>
  <c r="M162" i="96"/>
  <c r="U162" i="96" s="1"/>
  <c r="G10" i="78"/>
  <c r="F83" i="78"/>
  <c r="G87" i="85"/>
  <c r="H63" i="98"/>
  <c r="AJ110" i="73"/>
  <c r="O110" i="66"/>
  <c r="Z7" i="69" s="1"/>
  <c r="X7" i="69"/>
  <c r="E43" i="85"/>
  <c r="E87" i="66"/>
  <c r="E65" i="78"/>
  <c r="E65" i="85"/>
  <c r="E43" i="78"/>
  <c r="E53" i="78"/>
  <c r="E75" i="66"/>
  <c r="E75" i="85"/>
  <c r="E9" i="78"/>
  <c r="D18" i="102"/>
  <c r="D22" i="102"/>
  <c r="AC9" i="94"/>
  <c r="AL9" i="94"/>
  <c r="J167" i="96"/>
  <c r="R167" i="96" s="1"/>
  <c r="E58" i="95"/>
  <c r="F17" i="92"/>
  <c r="N17" i="92" s="1"/>
  <c r="G121" i="92" s="1"/>
  <c r="I121" i="92" s="1"/>
  <c r="S41" i="93"/>
  <c r="S114" i="92"/>
  <c r="Q20" i="93"/>
  <c r="D16" i="95"/>
  <c r="K169" i="96"/>
  <c r="S169" i="96" s="1"/>
  <c r="S36" i="96"/>
  <c r="L145" i="96"/>
  <c r="F28" i="85"/>
  <c r="F28" i="66"/>
  <c r="F50" i="85"/>
  <c r="F50" i="78"/>
  <c r="F28" i="78"/>
  <c r="F50" i="66"/>
  <c r="F6" i="85"/>
  <c r="H59" i="96" s="1"/>
  <c r="S46" i="93"/>
  <c r="F57" i="85"/>
  <c r="F13" i="78"/>
  <c r="F35" i="78"/>
  <c r="F79" i="85"/>
  <c r="F35" i="66"/>
  <c r="F57" i="66"/>
  <c r="F57" i="78"/>
  <c r="F13" i="66"/>
  <c r="E60" i="96"/>
  <c r="I7" i="95"/>
  <c r="I73" i="95"/>
  <c r="S34" i="96"/>
  <c r="Z17" i="84"/>
  <c r="AI17" i="84"/>
  <c r="M114" i="73"/>
  <c r="I22" i="79" s="1"/>
  <c r="D33" i="66"/>
  <c r="D11" i="78"/>
  <c r="D77" i="85"/>
  <c r="S33" i="41"/>
  <c r="V33" i="96"/>
  <c r="V30" i="93"/>
  <c r="S30" i="41"/>
  <c r="R4" i="68"/>
  <c r="U4" i="68" s="1"/>
  <c r="H8" i="95"/>
  <c r="N142" i="96"/>
  <c r="D76" i="95"/>
  <c r="I29" i="95"/>
  <c r="E42" i="95"/>
  <c r="F75" i="95"/>
  <c r="M75" i="95" s="1"/>
  <c r="R115" i="95" s="1"/>
  <c r="AA125" i="92"/>
  <c r="M116" i="73"/>
  <c r="I23" i="79" s="1"/>
  <c r="F83" i="66"/>
  <c r="F83" i="85"/>
  <c r="P65" i="98"/>
  <c r="P66" i="98" s="1"/>
  <c r="P68" i="98" s="1"/>
  <c r="L160" i="96"/>
  <c r="T160" i="96" s="1"/>
  <c r="H73" i="95"/>
  <c r="H29" i="95"/>
  <c r="O169" i="96"/>
  <c r="W169" i="96" s="1"/>
  <c r="O161" i="96"/>
  <c r="W161" i="96" s="1"/>
  <c r="J143" i="96"/>
  <c r="AC6" i="94"/>
  <c r="R149" i="96"/>
  <c r="Z13" i="94"/>
  <c r="Q10" i="96"/>
  <c r="F155" i="96"/>
  <c r="N49" i="96"/>
  <c r="N52" i="96" s="1"/>
  <c r="P49" i="96"/>
  <c r="F86" i="95"/>
  <c r="M86" i="95" s="1"/>
  <c r="R126" i="95" s="1"/>
  <c r="F20" i="95"/>
  <c r="P20" i="95" s="1"/>
  <c r="N126" i="95" s="1"/>
  <c r="H89" i="96"/>
  <c r="H89" i="93"/>
  <c r="G75" i="78"/>
  <c r="F57" i="95"/>
  <c r="P57" i="95" s="1"/>
  <c r="O119" i="95" s="1"/>
  <c r="F35" i="95"/>
  <c r="M35" i="95" s="1"/>
  <c r="Q119" i="95" s="1"/>
  <c r="S119" i="95" s="1"/>
  <c r="M166" i="96"/>
  <c r="U166" i="96" s="1"/>
  <c r="E28" i="85"/>
  <c r="E50" i="85"/>
  <c r="E50" i="78"/>
  <c r="F11" i="78"/>
  <c r="F11" i="66"/>
  <c r="F55" i="66"/>
  <c r="D44" i="66"/>
  <c r="D22" i="85"/>
  <c r="F99" i="93" s="1"/>
  <c r="F100" i="93" s="1"/>
  <c r="D44" i="85"/>
  <c r="H13" i="66"/>
  <c r="H148" i="96"/>
  <c r="L140" i="96"/>
  <c r="Y108" i="73"/>
  <c r="AA108" i="73" s="1"/>
  <c r="AC108" i="73" s="1"/>
  <c r="O129" i="92"/>
  <c r="AA114" i="92"/>
  <c r="T113" i="73"/>
  <c r="J17" i="79" s="1"/>
  <c r="AA118" i="73"/>
  <c r="AL118" i="73" s="1"/>
  <c r="Y114" i="73"/>
  <c r="AA114" i="73" s="1"/>
  <c r="AL114" i="73" s="1"/>
  <c r="AA110" i="73"/>
  <c r="AC110" i="73" s="1"/>
  <c r="V15" i="17"/>
  <c r="AA124" i="95"/>
  <c r="AA110" i="85"/>
  <c r="P30" i="41"/>
  <c r="P25" i="17"/>
  <c r="V18" i="17"/>
  <c r="N13" i="17"/>
  <c r="L110" i="73"/>
  <c r="M110" i="73" s="1"/>
  <c r="I6" i="79" s="1"/>
  <c r="G76" i="95"/>
  <c r="G54" i="95"/>
  <c r="S121" i="92"/>
  <c r="T121" i="92" s="1"/>
  <c r="J18" i="91" s="1"/>
  <c r="AA119" i="85"/>
  <c r="D6" i="78"/>
  <c r="D37" i="61" s="1"/>
  <c r="D72" i="85"/>
  <c r="D72" i="66"/>
  <c r="D28" i="78"/>
  <c r="D28" i="66"/>
  <c r="D50" i="85"/>
  <c r="D6" i="66"/>
  <c r="H16" i="80"/>
  <c r="D16" i="80"/>
  <c r="P115" i="92"/>
  <c r="T122" i="92"/>
  <c r="J19" i="91" s="1"/>
  <c r="K25" i="79"/>
  <c r="K30" i="74" s="1"/>
  <c r="R155" i="96"/>
  <c r="AJ125" i="73"/>
  <c r="Q6" i="96"/>
  <c r="AJ120" i="73"/>
  <c r="S30" i="96"/>
  <c r="Q16" i="93"/>
  <c r="Q18" i="96"/>
  <c r="K70" i="93"/>
  <c r="E71" i="93"/>
  <c r="S118" i="92"/>
  <c r="J120" i="92"/>
  <c r="M38" i="92"/>
  <c r="Y126" i="92"/>
  <c r="G38" i="95"/>
  <c r="I169" i="96"/>
  <c r="Q169" i="96" s="1"/>
  <c r="G16" i="95"/>
  <c r="G30" i="95"/>
  <c r="G52" i="95"/>
  <c r="H22" i="95"/>
  <c r="L175" i="96"/>
  <c r="T175" i="96" s="1"/>
  <c r="H44" i="95"/>
  <c r="W8" i="84"/>
  <c r="Z8" i="84"/>
  <c r="AI8" i="84"/>
  <c r="K25" i="91"/>
  <c r="W6" i="84"/>
  <c r="V19" i="17"/>
  <c r="N19" i="17"/>
  <c r="K25" i="41"/>
  <c r="E25" i="41"/>
  <c r="P140" i="96"/>
  <c r="I51" i="95"/>
  <c r="M160" i="96"/>
  <c r="U160" i="96" s="1"/>
  <c r="F51" i="95"/>
  <c r="P51" i="95" s="1"/>
  <c r="O113" i="95" s="1"/>
  <c r="S43" i="41"/>
  <c r="R21" i="68"/>
  <c r="U21" i="68" s="1"/>
  <c r="H49" i="96"/>
  <c r="F49" i="96"/>
  <c r="F52" i="96" s="1"/>
  <c r="L49" i="96"/>
  <c r="J49" i="96"/>
  <c r="F42" i="95"/>
  <c r="M42" i="95" s="1"/>
  <c r="Q126" i="95" s="1"/>
  <c r="N153" i="96"/>
  <c r="F64" i="95"/>
  <c r="P64" i="95" s="1"/>
  <c r="O126" i="95" s="1"/>
  <c r="N169" i="96"/>
  <c r="V169" i="96" s="1"/>
  <c r="P149" i="96"/>
  <c r="I38" i="95"/>
  <c r="I16" i="95"/>
  <c r="G56" i="95"/>
  <c r="G78" i="95"/>
  <c r="G34" i="95"/>
  <c r="I165" i="96"/>
  <c r="Q165" i="96" s="1"/>
  <c r="G12" i="95"/>
  <c r="F145" i="96"/>
  <c r="F8" i="95"/>
  <c r="P8" i="95" s="1"/>
  <c r="N114" i="95" s="1"/>
  <c r="M161" i="96"/>
  <c r="U161" i="96" s="1"/>
  <c r="M31" i="92"/>
  <c r="J113" i="92"/>
  <c r="J123" i="92"/>
  <c r="M41" i="92"/>
  <c r="J117" i="92"/>
  <c r="M35" i="92"/>
  <c r="R4" i="79"/>
  <c r="B23" i="61"/>
  <c r="G35" i="85"/>
  <c r="G79" i="78"/>
  <c r="G13" i="85"/>
  <c r="G35" i="78"/>
  <c r="G57" i="85"/>
  <c r="G57" i="78"/>
  <c r="G57" i="66"/>
  <c r="G35" i="66"/>
  <c r="G13" i="66"/>
  <c r="G13" i="78"/>
  <c r="G79" i="85"/>
  <c r="G79" i="66"/>
  <c r="N114" i="73"/>
  <c r="P114" i="73" s="1"/>
  <c r="O12" i="73"/>
  <c r="D14" i="17"/>
  <c r="P14" i="41"/>
  <c r="I60" i="95"/>
  <c r="F52" i="95"/>
  <c r="P52" i="95" s="1"/>
  <c r="O114" i="95" s="1"/>
  <c r="N160" i="96"/>
  <c r="V160" i="96" s="1"/>
  <c r="P50" i="92"/>
  <c r="D14" i="83"/>
  <c r="P22" i="41"/>
  <c r="AI6" i="84"/>
  <c r="V43" i="93"/>
  <c r="X4" i="69"/>
  <c r="J175" i="96"/>
  <c r="R175" i="96" s="1"/>
  <c r="E22" i="95"/>
  <c r="H87" i="85"/>
  <c r="K87" i="85" s="1"/>
  <c r="R123" i="85" s="1"/>
  <c r="H21" i="85"/>
  <c r="H21" i="78"/>
  <c r="N21" i="78" s="1"/>
  <c r="N123" i="78" s="1"/>
  <c r="H65" i="66"/>
  <c r="H65" i="78"/>
  <c r="N65" i="78" s="1"/>
  <c r="O123" i="78" s="1"/>
  <c r="H43" i="66"/>
  <c r="H21" i="66"/>
  <c r="H87" i="78"/>
  <c r="K87" i="78" s="1"/>
  <c r="R123" i="78" s="1"/>
  <c r="H65" i="85"/>
  <c r="N65" i="85" s="1"/>
  <c r="O123" i="85" s="1"/>
  <c r="H43" i="78"/>
  <c r="K43" i="78" s="1"/>
  <c r="Q123" i="78" s="1"/>
  <c r="H87" i="66"/>
  <c r="H43" i="85"/>
  <c r="K43" i="85" s="1"/>
  <c r="Q123" i="85" s="1"/>
  <c r="E53" i="85"/>
  <c r="E31" i="78"/>
  <c r="P33" i="41"/>
  <c r="E53" i="66"/>
  <c r="E31" i="66"/>
  <c r="E31" i="85"/>
  <c r="E9" i="85"/>
  <c r="G76" i="66"/>
  <c r="G54" i="85"/>
  <c r="G76" i="78"/>
  <c r="G76" i="85"/>
  <c r="G54" i="78"/>
  <c r="G54" i="66"/>
  <c r="G10" i="85"/>
  <c r="I79" i="96" s="1"/>
  <c r="G32" i="78"/>
  <c r="Z23" i="94"/>
  <c r="AL23" i="94"/>
  <c r="L166" i="96"/>
  <c r="T166" i="96" s="1"/>
  <c r="H79" i="95"/>
  <c r="G53" i="95"/>
  <c r="G75" i="95"/>
  <c r="I162" i="96"/>
  <c r="Q162" i="96" s="1"/>
  <c r="G9" i="95"/>
  <c r="G31" i="95"/>
  <c r="F142" i="96"/>
  <c r="O118" i="66"/>
  <c r="Z18" i="69" s="1"/>
  <c r="N15" i="17"/>
  <c r="O111" i="66"/>
  <c r="Z8" i="69" s="1"/>
  <c r="X8" i="69"/>
  <c r="Q14" i="96"/>
  <c r="H66" i="95"/>
  <c r="S44" i="93"/>
  <c r="Q6" i="93"/>
  <c r="U31" i="93" s="1"/>
  <c r="AA111" i="78"/>
  <c r="O15" i="17"/>
  <c r="W15" i="17"/>
  <c r="P13" i="41"/>
  <c r="P18" i="41"/>
  <c r="S47" i="96"/>
  <c r="N18" i="17"/>
  <c r="D88" i="66"/>
  <c r="D22" i="66"/>
  <c r="D88" i="85"/>
  <c r="D22" i="78"/>
  <c r="L22" i="78" s="1"/>
  <c r="D88" i="78"/>
  <c r="D44" i="78"/>
  <c r="D66" i="66"/>
  <c r="H62" i="85"/>
  <c r="N62" i="85" s="1"/>
  <c r="O120" i="85" s="1"/>
  <c r="H40" i="85"/>
  <c r="K40" i="85" s="1"/>
  <c r="Q120" i="85" s="1"/>
  <c r="H18" i="66"/>
  <c r="H84" i="85"/>
  <c r="K84" i="85" s="1"/>
  <c r="R120" i="85" s="1"/>
  <c r="H62" i="78"/>
  <c r="N62" i="78" s="1"/>
  <c r="O120" i="78" s="1"/>
  <c r="H40" i="66"/>
  <c r="H40" i="78"/>
  <c r="K40" i="78" s="1"/>
  <c r="Q120" i="78" s="1"/>
  <c r="H84" i="66"/>
  <c r="H84" i="78"/>
  <c r="K84" i="78" s="1"/>
  <c r="R120" i="78" s="1"/>
  <c r="H18" i="85"/>
  <c r="N18" i="85" s="1"/>
  <c r="N120" i="85" s="1"/>
  <c r="H62" i="66"/>
  <c r="H18" i="78"/>
  <c r="N18" i="78" s="1"/>
  <c r="N120" i="78" s="1"/>
  <c r="Q18" i="93"/>
  <c r="N140" i="96"/>
  <c r="Q9" i="93"/>
  <c r="AI14" i="91"/>
  <c r="AA123" i="78"/>
  <c r="AE26" i="60"/>
  <c r="P7" i="41"/>
  <c r="D29" i="69"/>
  <c r="R7" i="68"/>
  <c r="U7" i="68" s="1"/>
  <c r="V30" i="96"/>
  <c r="R13" i="68"/>
  <c r="U13" i="68" s="1"/>
  <c r="G21" i="78"/>
  <c r="G87" i="78"/>
  <c r="G21" i="85"/>
  <c r="I94" i="96" s="1"/>
  <c r="Z131" i="95"/>
  <c r="AA119" i="92"/>
  <c r="AJ108" i="73"/>
  <c r="J56" i="95"/>
  <c r="R145" i="96"/>
  <c r="O165" i="96"/>
  <c r="W165" i="96" s="1"/>
  <c r="F12" i="95"/>
  <c r="P12" i="95" s="1"/>
  <c r="N118" i="95" s="1"/>
  <c r="M165" i="96"/>
  <c r="U165" i="96" s="1"/>
  <c r="E113" i="92"/>
  <c r="P53" i="92"/>
  <c r="M36" i="92"/>
  <c r="J118" i="92"/>
  <c r="K117" i="92"/>
  <c r="M79" i="92"/>
  <c r="M89" i="92"/>
  <c r="K113" i="92"/>
  <c r="M75" i="92"/>
  <c r="E87" i="78"/>
  <c r="E43" i="66"/>
  <c r="G28" i="85"/>
  <c r="G6" i="78"/>
  <c r="D40" i="61" s="1"/>
  <c r="G28" i="66"/>
  <c r="G6" i="85"/>
  <c r="G50" i="78"/>
  <c r="G50" i="66"/>
  <c r="G50" i="85"/>
  <c r="G72" i="78"/>
  <c r="G72" i="66"/>
  <c r="G72" i="85"/>
  <c r="G28" i="78"/>
  <c r="G6" i="66"/>
  <c r="X24" i="17"/>
  <c r="N166" i="96"/>
  <c r="V166" i="96" s="1"/>
  <c r="P146" i="96"/>
  <c r="E28" i="78"/>
  <c r="E28" i="66"/>
  <c r="E72" i="85"/>
  <c r="E6" i="85"/>
  <c r="E72" i="66"/>
  <c r="E6" i="78"/>
  <c r="E33" i="85"/>
  <c r="E33" i="78"/>
  <c r="E55" i="66"/>
  <c r="E55" i="85"/>
  <c r="E11" i="78"/>
  <c r="E33" i="66"/>
  <c r="E11" i="85"/>
  <c r="E55" i="78"/>
  <c r="E77" i="78"/>
  <c r="E11" i="66"/>
  <c r="E77" i="66"/>
  <c r="E77" i="85"/>
  <c r="Y15" i="51"/>
  <c r="W12" i="68" s="1"/>
  <c r="W15" i="51"/>
  <c r="F18" i="85"/>
  <c r="F18" i="78"/>
  <c r="F18" i="66"/>
  <c r="F84" i="85"/>
  <c r="F84" i="78"/>
  <c r="F40" i="66"/>
  <c r="F62" i="85"/>
  <c r="F62" i="78"/>
  <c r="F62" i="66"/>
  <c r="F40" i="85"/>
  <c r="F40" i="78"/>
  <c r="F84" i="66"/>
  <c r="E62" i="78"/>
  <c r="E18" i="66"/>
  <c r="E84" i="85"/>
  <c r="E18" i="78"/>
  <c r="E40" i="85"/>
  <c r="E40" i="66"/>
  <c r="E84" i="78"/>
  <c r="E84" i="66"/>
  <c r="E40" i="78"/>
  <c r="E62" i="66"/>
  <c r="F59" i="93"/>
  <c r="F59" i="96"/>
  <c r="AI11" i="91"/>
  <c r="Z11" i="91"/>
  <c r="W11" i="91"/>
  <c r="N165" i="96"/>
  <c r="V165" i="96" s="1"/>
  <c r="P145" i="96"/>
  <c r="J161" i="96"/>
  <c r="R161" i="96" s="1"/>
  <c r="H141" i="96"/>
  <c r="N123" i="73"/>
  <c r="P123" i="73" s="1"/>
  <c r="T123" i="73" s="1"/>
  <c r="J13" i="79" s="1"/>
  <c r="M13" i="79" s="1"/>
  <c r="N13" i="79" s="1"/>
  <c r="Q13" i="79" s="1"/>
  <c r="S13" i="79" s="1"/>
  <c r="O21" i="73"/>
  <c r="M73" i="92"/>
  <c r="K111" i="92"/>
  <c r="S45" i="96"/>
  <c r="Q8" i="96"/>
  <c r="W20" i="91"/>
  <c r="Z20" i="91"/>
  <c r="AI20" i="91"/>
  <c r="J122" i="92"/>
  <c r="M40" i="92"/>
  <c r="H28" i="85"/>
  <c r="K28" i="85" s="1"/>
  <c r="Q108" i="85" s="1"/>
  <c r="H6" i="78"/>
  <c r="H50" i="66"/>
  <c r="H6" i="85"/>
  <c r="H72" i="85"/>
  <c r="K72" i="85" s="1"/>
  <c r="R108" i="85" s="1"/>
  <c r="H72" i="78"/>
  <c r="K72" i="78" s="1"/>
  <c r="R108" i="78" s="1"/>
  <c r="H50" i="85"/>
  <c r="N50" i="85" s="1"/>
  <c r="O108" i="85" s="1"/>
  <c r="H50" i="78"/>
  <c r="N50" i="78" s="1"/>
  <c r="O108" i="78" s="1"/>
  <c r="H28" i="78"/>
  <c r="K28" i="78" s="1"/>
  <c r="Q108" i="78" s="1"/>
  <c r="H28" i="66"/>
  <c r="H6" i="66"/>
  <c r="H72" i="66"/>
  <c r="D23" i="61"/>
  <c r="R4" i="74"/>
  <c r="D79" i="66"/>
  <c r="D13" i="78"/>
  <c r="D13" i="66"/>
  <c r="D13" i="85"/>
  <c r="D57" i="66"/>
  <c r="D79" i="78"/>
  <c r="D35" i="66"/>
  <c r="D35" i="85"/>
  <c r="D35" i="78"/>
  <c r="D57" i="78"/>
  <c r="P37" i="41"/>
  <c r="AC18" i="94"/>
  <c r="AL18" i="94"/>
  <c r="Z18" i="94"/>
  <c r="AC14" i="94"/>
  <c r="Z14" i="94"/>
  <c r="AL14" i="94"/>
  <c r="AC8" i="94"/>
  <c r="Z8" i="94"/>
  <c r="AL8" i="94"/>
  <c r="D33" i="85"/>
  <c r="D33" i="78"/>
  <c r="D55" i="66"/>
  <c r="D77" i="66"/>
  <c r="D55" i="85"/>
  <c r="D55" i="78"/>
  <c r="F66" i="85"/>
  <c r="F44" i="78"/>
  <c r="F44" i="85"/>
  <c r="F66" i="66"/>
  <c r="F66" i="78"/>
  <c r="F22" i="66"/>
  <c r="D18" i="85"/>
  <c r="D84" i="78"/>
  <c r="D62" i="85"/>
  <c r="D18" i="66"/>
  <c r="D18" i="78"/>
  <c r="P42" i="41"/>
  <c r="D62" i="78"/>
  <c r="D40" i="66"/>
  <c r="D84" i="85"/>
  <c r="D40" i="78"/>
  <c r="D84" i="66"/>
  <c r="D40" i="85"/>
  <c r="D62" i="66"/>
  <c r="F89" i="93"/>
  <c r="F89" i="96"/>
  <c r="I56" i="95"/>
  <c r="E8" i="95"/>
  <c r="I12" i="95"/>
  <c r="Q11" i="96"/>
  <c r="J7" i="95"/>
  <c r="I22" i="95"/>
  <c r="Q7" i="96"/>
  <c r="U32" i="96" s="1"/>
  <c r="AA119" i="95"/>
  <c r="I9" i="95"/>
  <c r="J148" i="96"/>
  <c r="AL22" i="94"/>
  <c r="R140" i="96"/>
  <c r="AL61" i="86"/>
  <c r="AA121" i="92"/>
  <c r="P117" i="92"/>
  <c r="AA113" i="85"/>
  <c r="T119" i="73"/>
  <c r="J18" i="79" s="1"/>
  <c r="AA125" i="85"/>
  <c r="D57" i="85"/>
  <c r="F88" i="78"/>
  <c r="F22" i="85"/>
  <c r="H99" i="93" s="1"/>
  <c r="H100" i="93" s="1"/>
  <c r="H101" i="93" s="1"/>
  <c r="D77" i="78"/>
  <c r="D11" i="85"/>
  <c r="J127" i="73"/>
  <c r="P45" i="41"/>
  <c r="P35" i="41"/>
  <c r="L120" i="73"/>
  <c r="M120" i="73" s="1"/>
  <c r="I19" i="79" s="1"/>
  <c r="P10" i="41"/>
  <c r="P15" i="41"/>
  <c r="G65" i="66"/>
  <c r="G21" i="66"/>
  <c r="G43" i="66"/>
  <c r="Q20" i="96"/>
  <c r="AA123" i="73"/>
  <c r="AC123" i="73" s="1"/>
  <c r="AA121" i="78"/>
  <c r="E56" i="95"/>
  <c r="E34" i="95"/>
  <c r="J165" i="96"/>
  <c r="R165" i="96" s="1"/>
  <c r="H145" i="96"/>
  <c r="K121" i="92"/>
  <c r="L121" i="92" s="1"/>
  <c r="M83" i="92"/>
  <c r="K100" i="93"/>
  <c r="E101" i="93"/>
  <c r="K102" i="93" s="1"/>
  <c r="H22" i="92" s="1"/>
  <c r="W14" i="84"/>
  <c r="Z14" i="84"/>
  <c r="S32" i="93"/>
  <c r="U32" i="93" s="1"/>
  <c r="F75" i="85"/>
  <c r="F75" i="78"/>
  <c r="D20" i="17"/>
  <c r="P20" i="41"/>
  <c r="E35" i="85"/>
  <c r="E79" i="66"/>
  <c r="E13" i="78"/>
  <c r="E79" i="85"/>
  <c r="E13" i="66"/>
  <c r="E35" i="78"/>
  <c r="E57" i="66"/>
  <c r="F11" i="85"/>
  <c r="F77" i="78"/>
  <c r="F55" i="78"/>
  <c r="F77" i="66"/>
  <c r="F33" i="85"/>
  <c r="F33" i="66"/>
  <c r="G69" i="93"/>
  <c r="G70" i="93" s="1"/>
  <c r="G71" i="93" s="1"/>
  <c r="G69" i="96"/>
  <c r="G88" i="78"/>
  <c r="G22" i="66"/>
  <c r="G66" i="66"/>
  <c r="G66" i="78"/>
  <c r="G44" i="66"/>
  <c r="G22" i="85"/>
  <c r="G66" i="85"/>
  <c r="G40" i="85"/>
  <c r="G84" i="85"/>
  <c r="G18" i="78"/>
  <c r="G84" i="66"/>
  <c r="G18" i="66"/>
  <c r="G18" i="85"/>
  <c r="G40" i="78"/>
  <c r="G40" i="66"/>
  <c r="G62" i="66"/>
  <c r="G62" i="85"/>
  <c r="G84" i="78"/>
  <c r="G62" i="78"/>
  <c r="AL61" i="101"/>
  <c r="K24" i="93"/>
  <c r="Y120" i="73"/>
  <c r="AA120" i="73" s="1"/>
  <c r="AL120" i="73" s="1"/>
  <c r="S39" i="93"/>
  <c r="K25" i="74"/>
  <c r="D28" i="87" s="1"/>
  <c r="D30" i="87" s="1"/>
  <c r="O22" i="73"/>
  <c r="S40" i="96"/>
  <c r="F149" i="96"/>
  <c r="O24" i="96"/>
  <c r="S37" i="96"/>
  <c r="P57" i="92"/>
  <c r="P116" i="73"/>
  <c r="T116" i="73" s="1"/>
  <c r="J23" i="79" s="1"/>
  <c r="G15" i="95"/>
  <c r="I168" i="96"/>
  <c r="Q168" i="96" s="1"/>
  <c r="G81" i="95"/>
  <c r="G59" i="95"/>
  <c r="G37" i="95"/>
  <c r="D66" i="95"/>
  <c r="K175" i="96"/>
  <c r="S175" i="96" s="1"/>
  <c r="J155" i="96"/>
  <c r="D44" i="95"/>
  <c r="AA120" i="95"/>
  <c r="AA113" i="92"/>
  <c r="M118" i="73"/>
  <c r="I11" i="79" s="1"/>
  <c r="S127" i="73"/>
  <c r="Y116" i="73"/>
  <c r="AA116" i="73" s="1"/>
  <c r="AC116" i="73" s="1"/>
  <c r="E75" i="93"/>
  <c r="E75" i="96"/>
  <c r="O7" i="91"/>
  <c r="I175" i="96"/>
  <c r="Q175" i="96" s="1"/>
  <c r="G66" i="95"/>
  <c r="G44" i="95"/>
  <c r="M24" i="93"/>
  <c r="Y131" i="95"/>
  <c r="P61" i="92"/>
  <c r="Q22" i="93"/>
  <c r="G24" i="93"/>
  <c r="Q14" i="93"/>
  <c r="J15" i="95"/>
  <c r="O168" i="96"/>
  <c r="W168" i="96" s="1"/>
  <c r="N168" i="96"/>
  <c r="V168" i="96" s="1"/>
  <c r="P148" i="96"/>
  <c r="G7" i="95"/>
  <c r="I160" i="96"/>
  <c r="Q160" i="96" s="1"/>
  <c r="G29" i="95"/>
  <c r="G73" i="95"/>
  <c r="G51" i="95"/>
  <c r="K116" i="66"/>
  <c r="T112" i="73"/>
  <c r="J8" i="79" s="1"/>
  <c r="M8" i="79" s="1"/>
  <c r="N8" i="79" s="1"/>
  <c r="U112" i="73"/>
  <c r="W112" i="73" s="1"/>
  <c r="AL112" i="73"/>
  <c r="AC112" i="73"/>
  <c r="T109" i="73"/>
  <c r="J5" i="79" s="1"/>
  <c r="U109" i="73"/>
  <c r="W109" i="73" s="1"/>
  <c r="G124" i="95"/>
  <c r="H86" i="95"/>
  <c r="H64" i="95"/>
  <c r="H42" i="95"/>
  <c r="H20" i="95"/>
  <c r="L153" i="96"/>
  <c r="L173" i="96"/>
  <c r="T173" i="96" s="1"/>
  <c r="G35" i="95"/>
  <c r="G57" i="95"/>
  <c r="I166" i="96"/>
  <c r="Q166" i="96" s="1"/>
  <c r="G13" i="95"/>
  <c r="F146" i="96"/>
  <c r="G79" i="95"/>
  <c r="K24" i="96"/>
  <c r="Q5" i="96"/>
  <c r="K117" i="95"/>
  <c r="N77" i="95"/>
  <c r="F14" i="95"/>
  <c r="P14" i="95" s="1"/>
  <c r="N120" i="95" s="1"/>
  <c r="F58" i="95"/>
  <c r="P58" i="95" s="1"/>
  <c r="O120" i="95" s="1"/>
  <c r="M167" i="96"/>
  <c r="U167" i="96" s="1"/>
  <c r="F36" i="95"/>
  <c r="M36" i="95" s="1"/>
  <c r="Q120" i="95" s="1"/>
  <c r="N147" i="96"/>
  <c r="F80" i="95"/>
  <c r="M80" i="95" s="1"/>
  <c r="R120" i="95" s="1"/>
  <c r="H80" i="95"/>
  <c r="H36" i="95"/>
  <c r="H14" i="95"/>
  <c r="H58" i="95"/>
  <c r="L147" i="96"/>
  <c r="L167" i="96"/>
  <c r="T167" i="96" s="1"/>
  <c r="F72" i="95"/>
  <c r="M72" i="95" s="1"/>
  <c r="R112" i="95" s="1"/>
  <c r="F28" i="95"/>
  <c r="M28" i="95" s="1"/>
  <c r="Q112" i="95" s="1"/>
  <c r="F6" i="95"/>
  <c r="P6" i="95" s="1"/>
  <c r="N112" i="95" s="1"/>
  <c r="N139" i="96"/>
  <c r="F50" i="95"/>
  <c r="P50" i="95" s="1"/>
  <c r="O112" i="95" s="1"/>
  <c r="M159" i="96"/>
  <c r="U159" i="96" s="1"/>
  <c r="H155" i="96"/>
  <c r="S46" i="96"/>
  <c r="N39" i="95"/>
  <c r="J123" i="95"/>
  <c r="P65" i="92"/>
  <c r="E125" i="92"/>
  <c r="K124" i="92"/>
  <c r="M86" i="92"/>
  <c r="M81" i="92"/>
  <c r="K119" i="92"/>
  <c r="D19" i="92"/>
  <c r="S43" i="93"/>
  <c r="M17" i="92"/>
  <c r="R127" i="73"/>
  <c r="S112" i="92"/>
  <c r="Q129" i="92"/>
  <c r="T122" i="73"/>
  <c r="J12" i="79" s="1"/>
  <c r="AL125" i="73"/>
  <c r="AC125" i="73"/>
  <c r="X9" i="69"/>
  <c r="O114" i="66"/>
  <c r="Z9" i="69" s="1"/>
  <c r="F23" i="85"/>
  <c r="F23" i="78"/>
  <c r="F23" i="66"/>
  <c r="F89" i="85"/>
  <c r="F45" i="78"/>
  <c r="F89" i="66"/>
  <c r="F45" i="85"/>
  <c r="F89" i="78"/>
  <c r="F45" i="66"/>
  <c r="F67" i="85"/>
  <c r="F67" i="78"/>
  <c r="F67" i="66"/>
  <c r="O14" i="73"/>
  <c r="G14" i="85"/>
  <c r="G58" i="78"/>
  <c r="G14" i="66"/>
  <c r="G36" i="85"/>
  <c r="G80" i="78"/>
  <c r="G36" i="66"/>
  <c r="G36" i="78"/>
  <c r="G80" i="85"/>
  <c r="G80" i="66"/>
  <c r="G58" i="85"/>
  <c r="G14" i="78"/>
  <c r="G58" i="66"/>
  <c r="R24" i="68"/>
  <c r="U24" i="68" s="1"/>
  <c r="V38" i="93"/>
  <c r="S38" i="41"/>
  <c r="V38" i="96"/>
  <c r="W7" i="17"/>
  <c r="V7" i="17"/>
  <c r="O7" i="17"/>
  <c r="Y14" i="51"/>
  <c r="W11" i="68" s="1"/>
  <c r="W14" i="51"/>
  <c r="M124" i="73"/>
  <c r="I14" i="79" s="1"/>
  <c r="X17" i="69"/>
  <c r="O112" i="66"/>
  <c r="Z17" i="69" s="1"/>
  <c r="K125" i="95"/>
  <c r="N85" i="95"/>
  <c r="I86" i="95"/>
  <c r="I42" i="95"/>
  <c r="I64" i="95"/>
  <c r="I20" i="95"/>
  <c r="N173" i="96"/>
  <c r="V173" i="96" s="1"/>
  <c r="P153" i="96"/>
  <c r="G45" i="95"/>
  <c r="F156" i="96"/>
  <c r="G23" i="95"/>
  <c r="I176" i="96"/>
  <c r="Q176" i="96" s="1"/>
  <c r="G89" i="95"/>
  <c r="G67" i="95"/>
  <c r="D87" i="95"/>
  <c r="D65" i="95"/>
  <c r="D21" i="95"/>
  <c r="D43" i="95"/>
  <c r="K174" i="96"/>
  <c r="S174" i="96" s="1"/>
  <c r="J154" i="96"/>
  <c r="I54" i="95"/>
  <c r="I32" i="95"/>
  <c r="I10" i="95"/>
  <c r="N163" i="96"/>
  <c r="V163" i="96" s="1"/>
  <c r="I76" i="95"/>
  <c r="P143" i="96"/>
  <c r="Q17" i="96"/>
  <c r="Q21" i="93"/>
  <c r="E120" i="92"/>
  <c r="P60" i="92"/>
  <c r="J111" i="92"/>
  <c r="M29" i="92"/>
  <c r="M78" i="92"/>
  <c r="K116" i="92"/>
  <c r="J114" i="92"/>
  <c r="M32" i="92"/>
  <c r="K118" i="92"/>
  <c r="M80" i="92"/>
  <c r="Q11" i="95"/>
  <c r="G117" i="95"/>
  <c r="Q15" i="96"/>
  <c r="O18" i="73"/>
  <c r="N120" i="73"/>
  <c r="P120" i="73" s="1"/>
  <c r="T120" i="73" s="1"/>
  <c r="J19" i="79" s="1"/>
  <c r="W19" i="91"/>
  <c r="Z19" i="91"/>
  <c r="AI19" i="91"/>
  <c r="P54" i="92"/>
  <c r="W13" i="84"/>
  <c r="AI13" i="84"/>
  <c r="Z13" i="84"/>
  <c r="E105" i="96"/>
  <c r="O15" i="91"/>
  <c r="E105" i="93"/>
  <c r="AA111" i="92"/>
  <c r="Z127" i="78"/>
  <c r="J84" i="96"/>
  <c r="J85" i="96" s="1"/>
  <c r="J86" i="96" s="1"/>
  <c r="J87" i="96" s="1"/>
  <c r="J84" i="93"/>
  <c r="J85" i="93" s="1"/>
  <c r="J86" i="93" s="1"/>
  <c r="J87" i="93" s="1"/>
  <c r="I15" i="92" s="1"/>
  <c r="O15" i="92" s="1"/>
  <c r="N119" i="92" s="1"/>
  <c r="P119" i="92" s="1"/>
  <c r="N15" i="85"/>
  <c r="N117" i="85" s="1"/>
  <c r="P117" i="85" s="1"/>
  <c r="D24" i="80"/>
  <c r="R14" i="79"/>
  <c r="E16" i="85"/>
  <c r="E82" i="85"/>
  <c r="E60" i="85"/>
  <c r="E16" i="78"/>
  <c r="E38" i="66"/>
  <c r="E38" i="85"/>
  <c r="E82" i="78"/>
  <c r="E16" i="66"/>
  <c r="E60" i="66"/>
  <c r="E60" i="78"/>
  <c r="E82" i="66"/>
  <c r="E38" i="78"/>
  <c r="R5" i="68"/>
  <c r="U5" i="68" s="1"/>
  <c r="V31" i="93"/>
  <c r="V31" i="96"/>
  <c r="S31" i="41"/>
  <c r="E85" i="85"/>
  <c r="E41" i="85"/>
  <c r="E85" i="78"/>
  <c r="E85" i="66"/>
  <c r="E19" i="66"/>
  <c r="E63" i="78"/>
  <c r="E63" i="66"/>
  <c r="E19" i="85"/>
  <c r="E41" i="78"/>
  <c r="E63" i="85"/>
  <c r="E41" i="66"/>
  <c r="P43" i="41"/>
  <c r="E19" i="78"/>
  <c r="G17" i="85"/>
  <c r="G17" i="78"/>
  <c r="G83" i="66"/>
  <c r="G83" i="85"/>
  <c r="G61" i="78"/>
  <c r="G17" i="66"/>
  <c r="G61" i="85"/>
  <c r="G39" i="66"/>
  <c r="G39" i="78"/>
  <c r="G39" i="85"/>
  <c r="G83" i="78"/>
  <c r="G61" i="66"/>
  <c r="F14" i="85"/>
  <c r="F14" i="78"/>
  <c r="F80" i="66"/>
  <c r="F80" i="85"/>
  <c r="F58" i="78"/>
  <c r="F36" i="66"/>
  <c r="F58" i="85"/>
  <c r="F80" i="78"/>
  <c r="F14" i="66"/>
  <c r="F58" i="66"/>
  <c r="F36" i="85"/>
  <c r="F36" i="78"/>
  <c r="D51" i="85"/>
  <c r="D7" i="78"/>
  <c r="D73" i="66"/>
  <c r="D29" i="85"/>
  <c r="D29" i="78"/>
  <c r="D29" i="66"/>
  <c r="D7" i="66"/>
  <c r="D7" i="85"/>
  <c r="D73" i="78"/>
  <c r="P31" i="41"/>
  <c r="D73" i="85"/>
  <c r="D51" i="66"/>
  <c r="D51" i="78"/>
  <c r="G64" i="93"/>
  <c r="G64" i="96"/>
  <c r="O108" i="66"/>
  <c r="Z5" i="69" s="1"/>
  <c r="X5" i="69"/>
  <c r="P38" i="41"/>
  <c r="AD66" i="81"/>
  <c r="B8" i="82"/>
  <c r="E5" i="17"/>
  <c r="H24" i="41"/>
  <c r="C25" i="76"/>
  <c r="C29" i="76" s="1"/>
  <c r="D18" i="76" s="1"/>
  <c r="AC10" i="94"/>
  <c r="Z10" i="94"/>
  <c r="AL10" i="94"/>
  <c r="U119" i="73"/>
  <c r="W119" i="73" s="1"/>
  <c r="V39" i="96"/>
  <c r="S39" i="41"/>
  <c r="V39" i="93"/>
  <c r="R10" i="68"/>
  <c r="U10" i="68" s="1"/>
  <c r="V32" i="93"/>
  <c r="S32" i="41"/>
  <c r="V32" i="96"/>
  <c r="R6" i="68"/>
  <c r="U6" i="68" s="1"/>
  <c r="D5" i="17"/>
  <c r="F24" i="41"/>
  <c r="P5" i="41"/>
  <c r="H5" i="17"/>
  <c r="N24" i="41"/>
  <c r="D8" i="17"/>
  <c r="P8" i="41"/>
  <c r="AE26" i="101"/>
  <c r="Z66" i="101"/>
  <c r="Q19" i="95"/>
  <c r="G125" i="95"/>
  <c r="L8" i="102"/>
  <c r="AL7" i="94"/>
  <c r="AC7" i="94"/>
  <c r="Z7" i="94"/>
  <c r="F153" i="96"/>
  <c r="G86" i="95"/>
  <c r="G20" i="95"/>
  <c r="I173" i="96"/>
  <c r="Q173" i="96" s="1"/>
  <c r="G42" i="95"/>
  <c r="G64" i="95"/>
  <c r="J9" i="95"/>
  <c r="J53" i="95"/>
  <c r="J75" i="95"/>
  <c r="O162" i="96"/>
  <c r="W162" i="96" s="1"/>
  <c r="J31" i="95"/>
  <c r="R142" i="96"/>
  <c r="M24" i="96"/>
  <c r="I87" i="95"/>
  <c r="I43" i="95"/>
  <c r="I21" i="95"/>
  <c r="I65" i="95"/>
  <c r="N174" i="96"/>
  <c r="V174" i="96" s="1"/>
  <c r="P154" i="96"/>
  <c r="E87" i="95"/>
  <c r="E43" i="95"/>
  <c r="E21" i="95"/>
  <c r="E65" i="95"/>
  <c r="J174" i="96"/>
  <c r="R174" i="96" s="1"/>
  <c r="H154" i="96"/>
  <c r="J76" i="95"/>
  <c r="J32" i="95"/>
  <c r="J54" i="95"/>
  <c r="J10" i="95"/>
  <c r="R143" i="96"/>
  <c r="O163" i="96"/>
  <c r="W163" i="96" s="1"/>
  <c r="E72" i="95"/>
  <c r="E28" i="95"/>
  <c r="E50" i="95"/>
  <c r="J159" i="96"/>
  <c r="R159" i="96" s="1"/>
  <c r="E6" i="95"/>
  <c r="H139" i="96"/>
  <c r="Q19" i="96"/>
  <c r="Q9" i="96"/>
  <c r="S45" i="93"/>
  <c r="Q5" i="93"/>
  <c r="I24" i="93"/>
  <c r="E112" i="92"/>
  <c r="P52" i="92"/>
  <c r="M45" i="92"/>
  <c r="J127" i="92"/>
  <c r="L127" i="92" s="1"/>
  <c r="K122" i="92"/>
  <c r="M84" i="92"/>
  <c r="M77" i="92"/>
  <c r="K115" i="92"/>
  <c r="L115" i="92" s="1"/>
  <c r="J116" i="92"/>
  <c r="M34" i="92"/>
  <c r="M72" i="92"/>
  <c r="K110" i="92"/>
  <c r="K124" i="95"/>
  <c r="N84" i="95"/>
  <c r="H117" i="95"/>
  <c r="Q55" i="95"/>
  <c r="V131" i="95"/>
  <c r="S40" i="93"/>
  <c r="U40" i="93" s="1"/>
  <c r="E16" i="92"/>
  <c r="Z127" i="85"/>
  <c r="P108" i="73"/>
  <c r="O127" i="73"/>
  <c r="K127" i="73"/>
  <c r="I127" i="73"/>
  <c r="AI18" i="91"/>
  <c r="Z18" i="91"/>
  <c r="W18" i="91"/>
  <c r="V129" i="92"/>
  <c r="W15" i="84"/>
  <c r="Z15" i="84"/>
  <c r="AI15" i="84"/>
  <c r="D22" i="83"/>
  <c r="W22" i="84"/>
  <c r="AI22" i="84"/>
  <c r="Z22" i="84"/>
  <c r="P116" i="95"/>
  <c r="Q127" i="73"/>
  <c r="G84" i="96"/>
  <c r="G85" i="96" s="1"/>
  <c r="G86" i="96" s="1"/>
  <c r="G87" i="96" s="1"/>
  <c r="G84" i="93"/>
  <c r="G85" i="93" s="1"/>
  <c r="G86" i="93" s="1"/>
  <c r="G87" i="93" s="1"/>
  <c r="E15" i="92" s="1"/>
  <c r="AA59" i="60"/>
  <c r="S117" i="78"/>
  <c r="H99" i="96"/>
  <c r="H100" i="96" s="1"/>
  <c r="H101" i="96" s="1"/>
  <c r="H102" i="96" s="1"/>
  <c r="P124" i="73"/>
  <c r="T124" i="73" s="1"/>
  <c r="J14" i="79" s="1"/>
  <c r="H60" i="85"/>
  <c r="N60" i="85" s="1"/>
  <c r="O118" i="85" s="1"/>
  <c r="H38" i="78"/>
  <c r="K38" i="78" s="1"/>
  <c r="Q118" i="78" s="1"/>
  <c r="H82" i="66"/>
  <c r="H16" i="85"/>
  <c r="N16" i="85" s="1"/>
  <c r="N118" i="85" s="1"/>
  <c r="H60" i="78"/>
  <c r="N60" i="78" s="1"/>
  <c r="O118" i="78" s="1"/>
  <c r="H38" i="66"/>
  <c r="H38" i="85"/>
  <c r="K38" i="85" s="1"/>
  <c r="Q118" i="85" s="1"/>
  <c r="H82" i="78"/>
  <c r="K82" i="78" s="1"/>
  <c r="R118" i="78" s="1"/>
  <c r="H16" i="66"/>
  <c r="H60" i="66"/>
  <c r="H82" i="85"/>
  <c r="K82" i="85" s="1"/>
  <c r="R118" i="85" s="1"/>
  <c r="H16" i="78"/>
  <c r="N16" i="78" s="1"/>
  <c r="N118" i="78" s="1"/>
  <c r="D76" i="85"/>
  <c r="D32" i="78"/>
  <c r="D10" i="66"/>
  <c r="P34" i="41"/>
  <c r="D10" i="85"/>
  <c r="D76" i="78"/>
  <c r="D10" i="78"/>
  <c r="D32" i="85"/>
  <c r="D76" i="66"/>
  <c r="D54" i="85"/>
  <c r="D54" i="66"/>
  <c r="D54" i="78"/>
  <c r="D32" i="66"/>
  <c r="P23" i="41"/>
  <c r="D23" i="17"/>
  <c r="N22" i="17"/>
  <c r="V22" i="17"/>
  <c r="O22" i="17"/>
  <c r="W22" i="17"/>
  <c r="Y127" i="85"/>
  <c r="Y115" i="73"/>
  <c r="AA115" i="73" s="1"/>
  <c r="F110" i="73"/>
  <c r="D127" i="73"/>
  <c r="O6" i="74"/>
  <c r="V127" i="78"/>
  <c r="X13" i="69"/>
  <c r="O122" i="66"/>
  <c r="Z13" i="69" s="1"/>
  <c r="G23" i="85"/>
  <c r="G45" i="85"/>
  <c r="G89" i="85"/>
  <c r="G67" i="78"/>
  <c r="G89" i="66"/>
  <c r="G67" i="85"/>
  <c r="G45" i="78"/>
  <c r="G89" i="78"/>
  <c r="G67" i="66"/>
  <c r="G45" i="66"/>
  <c r="G23" i="66"/>
  <c r="G23" i="78"/>
  <c r="M59" i="78"/>
  <c r="H117" i="78" s="1"/>
  <c r="P21" i="41"/>
  <c r="N55" i="78"/>
  <c r="O113" i="78" s="1"/>
  <c r="X6" i="69"/>
  <c r="O109" i="66"/>
  <c r="Z6" i="69" s="1"/>
  <c r="H17" i="85"/>
  <c r="N17" i="85" s="1"/>
  <c r="N119" i="85" s="1"/>
  <c r="H39" i="78"/>
  <c r="K39" i="78" s="1"/>
  <c r="Q119" i="78" s="1"/>
  <c r="H17" i="66"/>
  <c r="H39" i="85"/>
  <c r="K39" i="85" s="1"/>
  <c r="Q119" i="85" s="1"/>
  <c r="H61" i="78"/>
  <c r="N61" i="78" s="1"/>
  <c r="O119" i="78" s="1"/>
  <c r="H83" i="66"/>
  <c r="H61" i="85"/>
  <c r="N61" i="85" s="1"/>
  <c r="O119" i="85" s="1"/>
  <c r="H17" i="78"/>
  <c r="N17" i="78" s="1"/>
  <c r="N119" i="78" s="1"/>
  <c r="H61" i="66"/>
  <c r="H83" i="85"/>
  <c r="K83" i="85" s="1"/>
  <c r="R119" i="85" s="1"/>
  <c r="H39" i="66"/>
  <c r="H83" i="78"/>
  <c r="K83" i="78" s="1"/>
  <c r="R119" i="78" s="1"/>
  <c r="E36" i="85"/>
  <c r="E14" i="78"/>
  <c r="E58" i="66"/>
  <c r="E14" i="85"/>
  <c r="E80" i="78"/>
  <c r="E14" i="66"/>
  <c r="E58" i="78"/>
  <c r="E36" i="66"/>
  <c r="E80" i="85"/>
  <c r="E36" i="78"/>
  <c r="E80" i="66"/>
  <c r="E58" i="85"/>
  <c r="H29" i="85"/>
  <c r="K29" i="85" s="1"/>
  <c r="Q109" i="85" s="1"/>
  <c r="H51" i="78"/>
  <c r="N51" i="78" s="1"/>
  <c r="O109" i="78" s="1"/>
  <c r="H29" i="66"/>
  <c r="H51" i="85"/>
  <c r="N51" i="85" s="1"/>
  <c r="O109" i="85" s="1"/>
  <c r="H29" i="78"/>
  <c r="K29" i="78" s="1"/>
  <c r="Q109" i="78" s="1"/>
  <c r="H73" i="66"/>
  <c r="H7" i="78"/>
  <c r="N7" i="78" s="1"/>
  <c r="N109" i="78" s="1"/>
  <c r="H7" i="66"/>
  <c r="H73" i="85"/>
  <c r="K73" i="85" s="1"/>
  <c r="R109" i="85" s="1"/>
  <c r="H73" i="78"/>
  <c r="K73" i="78" s="1"/>
  <c r="R109" i="78" s="1"/>
  <c r="H51" i="66"/>
  <c r="H7" i="85"/>
  <c r="O10" i="17"/>
  <c r="V10" i="17"/>
  <c r="N10" i="17"/>
  <c r="W10" i="17"/>
  <c r="M5" i="69"/>
  <c r="L126" i="66"/>
  <c r="V13" i="17"/>
  <c r="W13" i="17"/>
  <c r="O13" i="17"/>
  <c r="G104" i="96"/>
  <c r="D35" i="83"/>
  <c r="G104" i="93"/>
  <c r="I89" i="96"/>
  <c r="D7" i="89"/>
  <c r="F7" i="89" s="1"/>
  <c r="F6" i="82"/>
  <c r="AL17" i="94"/>
  <c r="AC17" i="94"/>
  <c r="Z17" i="94"/>
  <c r="AC15" i="94"/>
  <c r="AL15" i="94"/>
  <c r="Z15" i="94"/>
  <c r="I25" i="41"/>
  <c r="M25" i="41"/>
  <c r="G25" i="41"/>
  <c r="Q18" i="95"/>
  <c r="H125" i="95"/>
  <c r="Q63" i="95"/>
  <c r="I23" i="95"/>
  <c r="I67" i="95"/>
  <c r="I45" i="95"/>
  <c r="I89" i="95"/>
  <c r="P156" i="96"/>
  <c r="N176" i="96"/>
  <c r="V176" i="96" s="1"/>
  <c r="S39" i="96"/>
  <c r="F148" i="96"/>
  <c r="P67" i="92"/>
  <c r="E127" i="92"/>
  <c r="P66" i="92"/>
  <c r="E126" i="92"/>
  <c r="M74" i="92"/>
  <c r="K112" i="92"/>
  <c r="L112" i="92" s="1"/>
  <c r="G123" i="95"/>
  <c r="I123" i="95" s="1"/>
  <c r="Q17" i="95"/>
  <c r="N49" i="93"/>
  <c r="N52" i="93" s="1"/>
  <c r="P49" i="93"/>
  <c r="J49" i="93"/>
  <c r="H49" i="93"/>
  <c r="F49" i="93"/>
  <c r="F52" i="93" s="1"/>
  <c r="D11" i="92"/>
  <c r="S35" i="93"/>
  <c r="L25" i="93"/>
  <c r="L52" i="93" s="1"/>
  <c r="J25" i="93"/>
  <c r="H25" i="93"/>
  <c r="N25" i="93"/>
  <c r="AI11" i="84"/>
  <c r="Z11" i="84"/>
  <c r="W11" i="84"/>
  <c r="Z66" i="81"/>
  <c r="AE26" i="81"/>
  <c r="F5" i="82"/>
  <c r="D5" i="89"/>
  <c r="F5" i="89" s="1"/>
  <c r="N9" i="85"/>
  <c r="N111" i="85" s="1"/>
  <c r="P111" i="85" s="1"/>
  <c r="J74" i="93"/>
  <c r="J74" i="96"/>
  <c r="Z66" i="86"/>
  <c r="AE26" i="86"/>
  <c r="F82" i="85"/>
  <c r="F82" i="78"/>
  <c r="F82" i="66"/>
  <c r="F60" i="85"/>
  <c r="F60" i="78"/>
  <c r="F16" i="66"/>
  <c r="F38" i="85"/>
  <c r="F16" i="78"/>
  <c r="F60" i="66"/>
  <c r="F38" i="66"/>
  <c r="F16" i="85"/>
  <c r="F38" i="78"/>
  <c r="F76" i="85"/>
  <c r="F54" i="85"/>
  <c r="F32" i="85"/>
  <c r="F10" i="78"/>
  <c r="F10" i="85"/>
  <c r="F76" i="78"/>
  <c r="F32" i="66"/>
  <c r="F32" i="78"/>
  <c r="F54" i="66"/>
  <c r="F76" i="66"/>
  <c r="F10" i="66"/>
  <c r="F54" i="78"/>
  <c r="F94" i="96"/>
  <c r="F94" i="93"/>
  <c r="V127" i="85"/>
  <c r="Y24" i="51"/>
  <c r="W23" i="68" s="1"/>
  <c r="W24" i="51"/>
  <c r="F41" i="85"/>
  <c r="F85" i="78"/>
  <c r="F19" i="66"/>
  <c r="F19" i="85"/>
  <c r="F63" i="66"/>
  <c r="F63" i="78"/>
  <c r="F85" i="66"/>
  <c r="F19" i="78"/>
  <c r="F85" i="85"/>
  <c r="F41" i="66"/>
  <c r="F41" i="78"/>
  <c r="F63" i="85"/>
  <c r="G94" i="96"/>
  <c r="G94" i="93"/>
  <c r="G7" i="85"/>
  <c r="G7" i="78"/>
  <c r="G7" i="66"/>
  <c r="G73" i="85"/>
  <c r="G73" i="78"/>
  <c r="G29" i="66"/>
  <c r="G51" i="78"/>
  <c r="G73" i="66"/>
  <c r="G51" i="85"/>
  <c r="G51" i="66"/>
  <c r="G29" i="85"/>
  <c r="G29" i="78"/>
  <c r="F73" i="85"/>
  <c r="F51" i="85"/>
  <c r="F51" i="78"/>
  <c r="F7" i="66"/>
  <c r="F7" i="78"/>
  <c r="F51" i="66"/>
  <c r="F29" i="78"/>
  <c r="F7" i="85"/>
  <c r="F29" i="66"/>
  <c r="F73" i="66"/>
  <c r="F29" i="85"/>
  <c r="F73" i="78"/>
  <c r="P17" i="41"/>
  <c r="D17" i="17"/>
  <c r="N7" i="17"/>
  <c r="J24" i="41"/>
  <c r="F5" i="17"/>
  <c r="P11" i="41"/>
  <c r="R36" i="41" s="1"/>
  <c r="D11" i="17"/>
  <c r="P128" i="95"/>
  <c r="T128" i="95" s="1"/>
  <c r="J14" i="94" s="1"/>
  <c r="E75" i="95"/>
  <c r="E31" i="95"/>
  <c r="E9" i="95"/>
  <c r="E53" i="95"/>
  <c r="H142" i="96"/>
  <c r="J162" i="96"/>
  <c r="R162" i="96" s="1"/>
  <c r="L25" i="96"/>
  <c r="J25" i="96"/>
  <c r="H25" i="96"/>
  <c r="AC12" i="94"/>
  <c r="AL12" i="94"/>
  <c r="Z12" i="94"/>
  <c r="F154" i="96"/>
  <c r="G65" i="95"/>
  <c r="G43" i="95"/>
  <c r="G21" i="95"/>
  <c r="I174" i="96"/>
  <c r="Q174" i="96" s="1"/>
  <c r="G87" i="95"/>
  <c r="G58" i="95"/>
  <c r="I167" i="96"/>
  <c r="Q167" i="96" s="1"/>
  <c r="G36" i="95"/>
  <c r="G80" i="95"/>
  <c r="F147" i="96"/>
  <c r="G14" i="95"/>
  <c r="G72" i="95"/>
  <c r="F139" i="96"/>
  <c r="G28" i="95"/>
  <c r="G50" i="95"/>
  <c r="I159" i="96"/>
  <c r="Q159" i="96" s="1"/>
  <c r="G6" i="95"/>
  <c r="G24" i="96"/>
  <c r="H49" i="98"/>
  <c r="H50" i="98"/>
  <c r="Q21" i="96"/>
  <c r="O24" i="93"/>
  <c r="H111" i="92"/>
  <c r="P51" i="92"/>
  <c r="J124" i="92"/>
  <c r="M42" i="92"/>
  <c r="E116" i="92"/>
  <c r="P56" i="92"/>
  <c r="H122" i="92"/>
  <c r="P62" i="92"/>
  <c r="K125" i="92"/>
  <c r="L125" i="92" s="1"/>
  <c r="M87" i="92"/>
  <c r="K123" i="95"/>
  <c r="N83" i="95"/>
  <c r="S44" i="96"/>
  <c r="AL4" i="94"/>
  <c r="Z4" i="94"/>
  <c r="AC4" i="94"/>
  <c r="Y113" i="73"/>
  <c r="AA113" i="73" s="1"/>
  <c r="L121" i="73"/>
  <c r="M121" i="73" s="1"/>
  <c r="I20" i="79" s="1"/>
  <c r="D18" i="92"/>
  <c r="S42" i="93"/>
  <c r="Q17" i="93"/>
  <c r="AI7" i="84"/>
  <c r="Z7" i="84"/>
  <c r="W7" i="84"/>
  <c r="O25" i="84"/>
  <c r="G127" i="73"/>
  <c r="B22" i="83"/>
  <c r="R15" i="74"/>
  <c r="D6" i="17"/>
  <c r="P6" i="41"/>
  <c r="O5" i="79"/>
  <c r="V127" i="73"/>
  <c r="R12" i="68"/>
  <c r="U12" i="68" s="1"/>
  <c r="V44" i="93"/>
  <c r="S44" i="41"/>
  <c r="V44" i="96"/>
  <c r="O13" i="73"/>
  <c r="N115" i="73"/>
  <c r="H67" i="85"/>
  <c r="N67" i="85" s="1"/>
  <c r="O125" i="85" s="1"/>
  <c r="H45" i="78"/>
  <c r="K45" i="78" s="1"/>
  <c r="Q125" i="78" s="1"/>
  <c r="H89" i="85"/>
  <c r="K89" i="85" s="1"/>
  <c r="R125" i="85" s="1"/>
  <c r="H23" i="66"/>
  <c r="H67" i="66"/>
  <c r="H67" i="78"/>
  <c r="N67" i="78" s="1"/>
  <c r="O125" i="78" s="1"/>
  <c r="H45" i="85"/>
  <c r="K45" i="85" s="1"/>
  <c r="Q125" i="85" s="1"/>
  <c r="H45" i="66"/>
  <c r="H89" i="78"/>
  <c r="K89" i="78" s="1"/>
  <c r="R125" i="78" s="1"/>
  <c r="H89" i="66"/>
  <c r="H23" i="85"/>
  <c r="H23" i="78"/>
  <c r="N23" i="78" s="1"/>
  <c r="N125" i="78" s="1"/>
  <c r="R16" i="68"/>
  <c r="U16" i="68" s="1"/>
  <c r="V47" i="93"/>
  <c r="S47" i="41"/>
  <c r="V47" i="96"/>
  <c r="J124" i="95"/>
  <c r="N40" i="95"/>
  <c r="J13" i="95"/>
  <c r="J57" i="95"/>
  <c r="J35" i="95"/>
  <c r="R146" i="96"/>
  <c r="J79" i="95"/>
  <c r="O166" i="96"/>
  <c r="W166" i="96" s="1"/>
  <c r="F144" i="96"/>
  <c r="S35" i="96"/>
  <c r="Q23" i="96"/>
  <c r="H89" i="95"/>
  <c r="H45" i="95"/>
  <c r="H67" i="95"/>
  <c r="H23" i="95"/>
  <c r="L156" i="96"/>
  <c r="L176" i="96"/>
  <c r="T176" i="96" s="1"/>
  <c r="F87" i="95"/>
  <c r="M87" i="95" s="1"/>
  <c r="R127" i="95" s="1"/>
  <c r="F43" i="95"/>
  <c r="M43" i="95" s="1"/>
  <c r="Q127" i="95" s="1"/>
  <c r="F65" i="95"/>
  <c r="P65" i="95" s="1"/>
  <c r="O127" i="95" s="1"/>
  <c r="F21" i="95"/>
  <c r="P21" i="95" s="1"/>
  <c r="N127" i="95" s="1"/>
  <c r="M174" i="96"/>
  <c r="U174" i="96" s="1"/>
  <c r="N154" i="96"/>
  <c r="J43" i="95"/>
  <c r="J21" i="95"/>
  <c r="J65" i="95"/>
  <c r="J87" i="95"/>
  <c r="R154" i="96"/>
  <c r="O174" i="96"/>
  <c r="W174" i="96" s="1"/>
  <c r="I80" i="95"/>
  <c r="I58" i="95"/>
  <c r="P147" i="96"/>
  <c r="I14" i="95"/>
  <c r="N167" i="96"/>
  <c r="V167" i="96" s="1"/>
  <c r="I36" i="95"/>
  <c r="E76" i="95"/>
  <c r="E32" i="95"/>
  <c r="E54" i="95"/>
  <c r="J163" i="96"/>
  <c r="R163" i="96" s="1"/>
  <c r="E10" i="95"/>
  <c r="H143" i="96"/>
  <c r="I72" i="95"/>
  <c r="I28" i="95"/>
  <c r="I6" i="95"/>
  <c r="P139" i="96"/>
  <c r="I50" i="95"/>
  <c r="N159" i="96"/>
  <c r="V159" i="96" s="1"/>
  <c r="S33" i="96"/>
  <c r="F150" i="96"/>
  <c r="S41" i="96"/>
  <c r="U41" i="96" s="1"/>
  <c r="N25" i="96"/>
  <c r="I24" i="96"/>
  <c r="S36" i="93"/>
  <c r="U36" i="93" s="1"/>
  <c r="W36" i="93" s="1"/>
  <c r="D12" i="92"/>
  <c r="P64" i="92"/>
  <c r="E124" i="92"/>
  <c r="E115" i="92"/>
  <c r="P55" i="92"/>
  <c r="H118" i="92"/>
  <c r="P58" i="92"/>
  <c r="K114" i="92"/>
  <c r="M76" i="92"/>
  <c r="P59" i="92"/>
  <c r="E119" i="92"/>
  <c r="P63" i="92"/>
  <c r="H123" i="92"/>
  <c r="J119" i="92"/>
  <c r="M37" i="92"/>
  <c r="J110" i="92"/>
  <c r="M28" i="92"/>
  <c r="M82" i="92"/>
  <c r="K120" i="92"/>
  <c r="H124" i="95"/>
  <c r="Q62" i="95"/>
  <c r="N33" i="95"/>
  <c r="J117" i="95"/>
  <c r="N41" i="95"/>
  <c r="J125" i="95"/>
  <c r="S31" i="96"/>
  <c r="F140" i="96"/>
  <c r="Q13" i="93"/>
  <c r="U38" i="93" s="1"/>
  <c r="Q10" i="93"/>
  <c r="U122" i="73"/>
  <c r="W122" i="73" s="1"/>
  <c r="M122" i="73"/>
  <c r="I12" i="79" s="1"/>
  <c r="M111" i="73"/>
  <c r="I7" i="79" s="1"/>
  <c r="E95" i="93"/>
  <c r="E95" i="96"/>
  <c r="O13" i="91"/>
  <c r="W9" i="91"/>
  <c r="AI9" i="91"/>
  <c r="Z9" i="91"/>
  <c r="E61" i="96"/>
  <c r="W10" i="84"/>
  <c r="AI10" i="84"/>
  <c r="Z10" i="84"/>
  <c r="S116" i="95"/>
  <c r="O12" i="91"/>
  <c r="E90" i="96"/>
  <c r="E90" i="93"/>
  <c r="E80" i="96"/>
  <c r="O8" i="91"/>
  <c r="E80" i="93"/>
  <c r="E65" i="93"/>
  <c r="O5" i="91"/>
  <c r="E65" i="96"/>
  <c r="AA122" i="78"/>
  <c r="E32" i="74"/>
  <c r="AE64" i="60"/>
  <c r="B6" i="77"/>
  <c r="F6" i="77" s="1"/>
  <c r="D16" i="17"/>
  <c r="P16" i="41"/>
  <c r="J74" i="66"/>
  <c r="H109" i="66" s="1"/>
  <c r="K109" i="66"/>
  <c r="Y124" i="73"/>
  <c r="AA124" i="73" s="1"/>
  <c r="L115" i="73"/>
  <c r="D16" i="85"/>
  <c r="D16" i="78"/>
  <c r="D38" i="66"/>
  <c r="D38" i="85"/>
  <c r="D60" i="78"/>
  <c r="D60" i="66"/>
  <c r="D60" i="85"/>
  <c r="D38" i="78"/>
  <c r="D16" i="66"/>
  <c r="D82" i="66"/>
  <c r="D82" i="78"/>
  <c r="P40" i="41"/>
  <c r="D82" i="85"/>
  <c r="H54" i="85"/>
  <c r="N54" i="85" s="1"/>
  <c r="O112" i="85" s="1"/>
  <c r="H10" i="66"/>
  <c r="H54" i="66"/>
  <c r="H54" i="78"/>
  <c r="N54" i="78" s="1"/>
  <c r="O112" i="78" s="1"/>
  <c r="H76" i="78"/>
  <c r="K76" i="78" s="1"/>
  <c r="R112" i="78" s="1"/>
  <c r="H32" i="66"/>
  <c r="H10" i="85"/>
  <c r="H32" i="85"/>
  <c r="K32" i="85" s="1"/>
  <c r="Q112" i="85" s="1"/>
  <c r="H32" i="78"/>
  <c r="K32" i="78" s="1"/>
  <c r="Q112" i="78" s="1"/>
  <c r="S112" i="78" s="1"/>
  <c r="H76" i="66"/>
  <c r="H10" i="78"/>
  <c r="N10" i="78" s="1"/>
  <c r="N112" i="78" s="1"/>
  <c r="H76" i="85"/>
  <c r="K76" i="85" s="1"/>
  <c r="R112" i="85" s="1"/>
  <c r="W18" i="17"/>
  <c r="Y127" i="78"/>
  <c r="AA110" i="78"/>
  <c r="D67" i="85"/>
  <c r="D23" i="66"/>
  <c r="D89" i="78"/>
  <c r="D89" i="66"/>
  <c r="D45" i="85"/>
  <c r="D45" i="66"/>
  <c r="D23" i="78"/>
  <c r="P47" i="41"/>
  <c r="D23" i="85"/>
  <c r="D45" i="78"/>
  <c r="D67" i="66"/>
  <c r="D67" i="78"/>
  <c r="D89" i="85"/>
  <c r="H19" i="85"/>
  <c r="N19" i="85" s="1"/>
  <c r="N121" i="85" s="1"/>
  <c r="H63" i="78"/>
  <c r="N63" i="78" s="1"/>
  <c r="O121" i="78" s="1"/>
  <c r="H19" i="66"/>
  <c r="H41" i="85"/>
  <c r="K41" i="85" s="1"/>
  <c r="Q121" i="85" s="1"/>
  <c r="H85" i="78"/>
  <c r="K85" i="78" s="1"/>
  <c r="R121" i="78" s="1"/>
  <c r="H85" i="66"/>
  <c r="H63" i="85"/>
  <c r="N63" i="85" s="1"/>
  <c r="O121" i="85" s="1"/>
  <c r="H41" i="78"/>
  <c r="K41" i="78" s="1"/>
  <c r="Q121" i="78" s="1"/>
  <c r="H63" i="66"/>
  <c r="H85" i="85"/>
  <c r="K85" i="85" s="1"/>
  <c r="R121" i="85" s="1"/>
  <c r="H41" i="66"/>
  <c r="H19" i="78"/>
  <c r="N19" i="78" s="1"/>
  <c r="N121" i="78" s="1"/>
  <c r="T9" i="51"/>
  <c r="V9" i="51" s="1"/>
  <c r="Q27" i="51"/>
  <c r="O21" i="17"/>
  <c r="N21" i="17"/>
  <c r="V21" i="17"/>
  <c r="W21" i="17"/>
  <c r="M113" i="73"/>
  <c r="I17" i="79" s="1"/>
  <c r="U113" i="73"/>
  <c r="W113" i="73" s="1"/>
  <c r="O116" i="66"/>
  <c r="Z10" i="69" s="1"/>
  <c r="X10" i="69"/>
  <c r="X23" i="69"/>
  <c r="O115" i="66"/>
  <c r="Z23" i="69" s="1"/>
  <c r="E17" i="85"/>
  <c r="E39" i="78"/>
  <c r="E83" i="66"/>
  <c r="E61" i="85"/>
  <c r="E17" i="78"/>
  <c r="E39" i="66"/>
  <c r="E83" i="85"/>
  <c r="E61" i="78"/>
  <c r="E17" i="66"/>
  <c r="P41" i="41"/>
  <c r="E39" i="85"/>
  <c r="E61" i="66"/>
  <c r="E83" i="78"/>
  <c r="H58" i="85"/>
  <c r="N58" i="85" s="1"/>
  <c r="O116" i="85" s="1"/>
  <c r="H36" i="85"/>
  <c r="K36" i="85" s="1"/>
  <c r="Q116" i="85" s="1"/>
  <c r="H80" i="85"/>
  <c r="K80" i="85" s="1"/>
  <c r="R116" i="85" s="1"/>
  <c r="H14" i="78"/>
  <c r="N14" i="78" s="1"/>
  <c r="N116" i="78" s="1"/>
  <c r="H80" i="66"/>
  <c r="H58" i="78"/>
  <c r="N58" i="78" s="1"/>
  <c r="O116" i="78" s="1"/>
  <c r="H58" i="66"/>
  <c r="H80" i="78"/>
  <c r="K80" i="78" s="1"/>
  <c r="R116" i="78" s="1"/>
  <c r="H14" i="66"/>
  <c r="H36" i="78"/>
  <c r="K36" i="78" s="1"/>
  <c r="Q116" i="78" s="1"/>
  <c r="H36" i="66"/>
  <c r="H14" i="85"/>
  <c r="M49" i="41"/>
  <c r="I49" i="41"/>
  <c r="E49" i="41"/>
  <c r="G49" i="41"/>
  <c r="K49" i="41"/>
  <c r="G89" i="96"/>
  <c r="W19" i="17"/>
  <c r="P12" i="41"/>
  <c r="D12" i="17"/>
  <c r="AC5" i="94"/>
  <c r="Z5" i="94"/>
  <c r="AL5" i="94"/>
  <c r="AC20" i="94"/>
  <c r="Z20" i="94"/>
  <c r="AL20" i="94"/>
  <c r="L108" i="73"/>
  <c r="M108" i="73" s="1"/>
  <c r="V41" i="96"/>
  <c r="R19" i="68"/>
  <c r="U19" i="68" s="1"/>
  <c r="V41" i="93"/>
  <c r="S41" i="41"/>
  <c r="G5" i="17"/>
  <c r="L24" i="41"/>
  <c r="Q61" i="95"/>
  <c r="K25" i="112" l="1"/>
  <c r="S18" i="104"/>
  <c r="S11" i="104"/>
  <c r="AA14" i="112"/>
  <c r="AC14" i="112" s="1"/>
  <c r="F19" i="118"/>
  <c r="G19" i="118"/>
  <c r="K19" i="118"/>
  <c r="I19" i="118"/>
  <c r="J19" i="118"/>
  <c r="H19" i="118"/>
  <c r="L19" i="118"/>
  <c r="J26" i="118"/>
  <c r="L26" i="118"/>
  <c r="K26" i="118"/>
  <c r="F26" i="118"/>
  <c r="G26" i="118"/>
  <c r="I26" i="118"/>
  <c r="H26" i="118"/>
  <c r="H33" i="118"/>
  <c r="I33" i="118"/>
  <c r="J33" i="118"/>
  <c r="K33" i="118"/>
  <c r="L33" i="118"/>
  <c r="F33" i="118"/>
  <c r="G33" i="118"/>
  <c r="S14" i="104"/>
  <c r="S15" i="104"/>
  <c r="S7" i="104"/>
  <c r="E11" i="118"/>
  <c r="AP113" i="113"/>
  <c r="AR113" i="113" s="1"/>
  <c r="L53" i="118"/>
  <c r="F53" i="118"/>
  <c r="G53" i="118"/>
  <c r="J53" i="118"/>
  <c r="H53" i="118"/>
  <c r="I53" i="118"/>
  <c r="K53" i="118"/>
  <c r="L60" i="118"/>
  <c r="G60" i="118"/>
  <c r="H60" i="118"/>
  <c r="I60" i="118"/>
  <c r="J60" i="118"/>
  <c r="K60" i="118"/>
  <c r="F60" i="118"/>
  <c r="Q7" i="104"/>
  <c r="V7" i="112"/>
  <c r="O19" i="104"/>
  <c r="E88" i="118"/>
  <c r="H88" i="118" s="1"/>
  <c r="AP124" i="113"/>
  <c r="AR124" i="113" s="1"/>
  <c r="Q9" i="104"/>
  <c r="V9" i="112"/>
  <c r="Q23" i="104"/>
  <c r="V23" i="112"/>
  <c r="L32" i="118"/>
  <c r="G32" i="118"/>
  <c r="H32" i="118"/>
  <c r="I32" i="118"/>
  <c r="F32" i="118"/>
  <c r="J32" i="118"/>
  <c r="K32" i="118"/>
  <c r="Q6" i="104"/>
  <c r="V6" i="112"/>
  <c r="K116" i="118"/>
  <c r="J116" i="118"/>
  <c r="L116" i="118"/>
  <c r="F116" i="118"/>
  <c r="I116" i="118"/>
  <c r="G116" i="118"/>
  <c r="H116" i="118"/>
  <c r="H18" i="118"/>
  <c r="K18" i="118"/>
  <c r="L18" i="118"/>
  <c r="F18" i="118"/>
  <c r="G18" i="118"/>
  <c r="I18" i="118"/>
  <c r="J18" i="118"/>
  <c r="Q15" i="104"/>
  <c r="V15" i="112"/>
  <c r="Z39" i="104"/>
  <c r="AB39" i="104" s="1"/>
  <c r="AD39" i="104" s="1"/>
  <c r="AE39" i="104" s="1"/>
  <c r="O22" i="104"/>
  <c r="E46" i="118"/>
  <c r="AX129" i="108"/>
  <c r="Q8" i="104"/>
  <c r="Q14" i="104"/>
  <c r="V14" i="112"/>
  <c r="K102" i="118"/>
  <c r="L102" i="118"/>
  <c r="H102" i="118"/>
  <c r="F102" i="118"/>
  <c r="G102" i="118"/>
  <c r="I102" i="118"/>
  <c r="J102" i="118"/>
  <c r="E39" i="118"/>
  <c r="AP117" i="113"/>
  <c r="AR117" i="113" s="1"/>
  <c r="L95" i="118"/>
  <c r="F95" i="118"/>
  <c r="I95" i="118"/>
  <c r="J95" i="118"/>
  <c r="K95" i="118"/>
  <c r="G95" i="118"/>
  <c r="H95" i="118"/>
  <c r="K81" i="118"/>
  <c r="F81" i="118"/>
  <c r="L81" i="118"/>
  <c r="G81" i="118"/>
  <c r="I81" i="118"/>
  <c r="H81" i="118"/>
  <c r="J81" i="118"/>
  <c r="Q12" i="104"/>
  <c r="V12" i="112"/>
  <c r="L5" i="117"/>
  <c r="N5" i="117"/>
  <c r="M5" i="117"/>
  <c r="J5" i="117"/>
  <c r="O5" i="117"/>
  <c r="K5" i="117"/>
  <c r="P5" i="117"/>
  <c r="H123" i="118"/>
  <c r="I123" i="118"/>
  <c r="J123" i="118"/>
  <c r="K123" i="118"/>
  <c r="L123" i="118"/>
  <c r="G123" i="118"/>
  <c r="F123" i="118"/>
  <c r="Q20" i="104"/>
  <c r="V20" i="112"/>
  <c r="Q18" i="104"/>
  <c r="V18" i="112"/>
  <c r="I67" i="118"/>
  <c r="H67" i="118"/>
  <c r="L67" i="118"/>
  <c r="J67" i="118"/>
  <c r="K67" i="118"/>
  <c r="F67" i="118"/>
  <c r="G67" i="118"/>
  <c r="G74" i="118"/>
  <c r="H74" i="118"/>
  <c r="F74" i="118"/>
  <c r="I74" i="118"/>
  <c r="J74" i="118"/>
  <c r="K74" i="118"/>
  <c r="L74" i="118"/>
  <c r="S9" i="104"/>
  <c r="O13" i="104"/>
  <c r="E109" i="118"/>
  <c r="E124" i="125" s="1"/>
  <c r="AP127" i="113"/>
  <c r="AR127" i="113" s="1"/>
  <c r="Q10" i="104"/>
  <c r="V10" i="112"/>
  <c r="G25" i="118"/>
  <c r="F25" i="118"/>
  <c r="J25" i="118"/>
  <c r="I25" i="118"/>
  <c r="H25" i="118"/>
  <c r="L25" i="118"/>
  <c r="K25" i="118"/>
  <c r="Q11" i="104"/>
  <c r="V11" i="112"/>
  <c r="AX127" i="108"/>
  <c r="AX116" i="108"/>
  <c r="AX122" i="108"/>
  <c r="AX117" i="108"/>
  <c r="O5" i="104"/>
  <c r="V5" i="112" s="1"/>
  <c r="AX113" i="108"/>
  <c r="AA4" i="112"/>
  <c r="AC4" i="112" s="1"/>
  <c r="L25" i="112"/>
  <c r="AL117" i="108"/>
  <c r="AO127" i="108"/>
  <c r="AR113" i="108"/>
  <c r="AL124" i="108"/>
  <c r="T131" i="108"/>
  <c r="AL118" i="108"/>
  <c r="AR124" i="108"/>
  <c r="O17" i="104"/>
  <c r="Z23" i="104"/>
  <c r="AB23" i="104" s="1"/>
  <c r="R23" i="104"/>
  <c r="S23" i="104" s="1"/>
  <c r="R4" i="94"/>
  <c r="AW131" i="108"/>
  <c r="AX112" i="108"/>
  <c r="R18" i="94"/>
  <c r="AX123" i="108"/>
  <c r="R20" i="94"/>
  <c r="AX125" i="108"/>
  <c r="R14" i="94"/>
  <c r="AX128" i="108"/>
  <c r="O25" i="94"/>
  <c r="Z20" i="104"/>
  <c r="AB20" i="104" s="1"/>
  <c r="R20" i="104"/>
  <c r="S20" i="104" s="1"/>
  <c r="R12" i="94"/>
  <c r="AX126" i="108"/>
  <c r="R9" i="94"/>
  <c r="AX119" i="108"/>
  <c r="R23" i="94"/>
  <c r="AX120" i="108"/>
  <c r="R10" i="94"/>
  <c r="AX121" i="108"/>
  <c r="R22" i="94"/>
  <c r="AX118" i="108"/>
  <c r="Z6" i="104"/>
  <c r="AB6" i="104" s="1"/>
  <c r="R6" i="104"/>
  <c r="S6" i="104" s="1"/>
  <c r="Z10" i="104"/>
  <c r="AB10" i="104" s="1"/>
  <c r="R10" i="104"/>
  <c r="S10" i="104" s="1"/>
  <c r="AR117" i="108"/>
  <c r="R7" i="94"/>
  <c r="AX115" i="108"/>
  <c r="R6" i="94"/>
  <c r="AX114" i="108"/>
  <c r="R19" i="94"/>
  <c r="AX124" i="108"/>
  <c r="AO113" i="108"/>
  <c r="AO118" i="108"/>
  <c r="AJ13" i="104"/>
  <c r="X13" i="104"/>
  <c r="AA13" i="104"/>
  <c r="AJ22" i="104"/>
  <c r="AA22" i="104"/>
  <c r="X22" i="104"/>
  <c r="AJ5" i="104"/>
  <c r="X5" i="104"/>
  <c r="AA5" i="104"/>
  <c r="M25" i="104"/>
  <c r="AL127" i="108"/>
  <c r="AJ17" i="104"/>
  <c r="AA17" i="104"/>
  <c r="X17" i="104"/>
  <c r="X19" i="104"/>
  <c r="AA19" i="104"/>
  <c r="AJ19" i="104"/>
  <c r="K17" i="104"/>
  <c r="L17" i="104" s="1"/>
  <c r="R17" i="104" s="1"/>
  <c r="K8" i="104"/>
  <c r="L8" i="104" s="1"/>
  <c r="W39" i="104"/>
  <c r="Y39" i="104" s="1"/>
  <c r="AF39" i="104" s="1"/>
  <c r="AG39" i="104" s="1"/>
  <c r="AI39" i="104" s="1"/>
  <c r="Z18" i="104"/>
  <c r="AB18" i="104" s="1"/>
  <c r="K19" i="104"/>
  <c r="L19" i="104" s="1"/>
  <c r="R19" i="104" s="1"/>
  <c r="Z9" i="104"/>
  <c r="AB9" i="104" s="1"/>
  <c r="Z14" i="104"/>
  <c r="AB14" i="104" s="1"/>
  <c r="K4" i="104"/>
  <c r="K12" i="104"/>
  <c r="L12" i="104" s="1"/>
  <c r="Z11" i="104"/>
  <c r="AB11" i="104" s="1"/>
  <c r="Z7" i="104"/>
  <c r="AB7" i="104" s="1"/>
  <c r="Z15" i="104"/>
  <c r="AB15" i="104" s="1"/>
  <c r="H25" i="104"/>
  <c r="S113" i="78"/>
  <c r="AC117" i="73"/>
  <c r="R30" i="41"/>
  <c r="T30" i="41" s="1"/>
  <c r="S122" i="85"/>
  <c r="P119" i="95"/>
  <c r="M21" i="85"/>
  <c r="G123" i="85" s="1"/>
  <c r="Y129" i="92"/>
  <c r="U47" i="93"/>
  <c r="W47" i="93" s="1"/>
  <c r="J42" i="85"/>
  <c r="U37" i="96"/>
  <c r="S118" i="95"/>
  <c r="M52" i="85"/>
  <c r="H110" i="85" s="1"/>
  <c r="L59" i="85"/>
  <c r="E117" i="85" s="1"/>
  <c r="L82" i="95"/>
  <c r="K122" i="95" s="1"/>
  <c r="Z11" i="94"/>
  <c r="L124" i="92"/>
  <c r="U117" i="73"/>
  <c r="W117" i="73" s="1"/>
  <c r="AC11" i="94"/>
  <c r="L13" i="85"/>
  <c r="D115" i="85" s="1"/>
  <c r="L88" i="95"/>
  <c r="K128" i="95" s="1"/>
  <c r="S124" i="85"/>
  <c r="J30" i="66"/>
  <c r="G109" i="66" s="1"/>
  <c r="I109" i="66" s="1"/>
  <c r="P16" i="95"/>
  <c r="N122" i="95" s="1"/>
  <c r="P122" i="95" s="1"/>
  <c r="P129" i="95"/>
  <c r="T129" i="95" s="1"/>
  <c r="J15" i="94" s="1"/>
  <c r="AL111" i="73"/>
  <c r="AC111" i="73"/>
  <c r="AL11" i="94"/>
  <c r="O60" i="95"/>
  <c r="H122" i="95" s="1"/>
  <c r="AL119" i="73"/>
  <c r="T111" i="78"/>
  <c r="J7" i="74" s="1"/>
  <c r="S125" i="85"/>
  <c r="J37" i="78"/>
  <c r="J117" i="78" s="1"/>
  <c r="M15" i="78"/>
  <c r="G117" i="78" s="1"/>
  <c r="I117" i="78" s="1"/>
  <c r="S122" i="95"/>
  <c r="P113" i="85"/>
  <c r="L64" i="78"/>
  <c r="E122" i="78" s="1"/>
  <c r="J75" i="96"/>
  <c r="J76" i="96" s="1"/>
  <c r="H74" i="93"/>
  <c r="H75" i="93" s="1"/>
  <c r="H76" i="93" s="1"/>
  <c r="AC122" i="73"/>
  <c r="AL121" i="73"/>
  <c r="P126" i="95"/>
  <c r="N60" i="95"/>
  <c r="E122" i="95" s="1"/>
  <c r="U35" i="96"/>
  <c r="W35" i="96" s="1"/>
  <c r="T117" i="92"/>
  <c r="J9" i="91" s="1"/>
  <c r="I70" i="96"/>
  <c r="F71" i="96" s="1"/>
  <c r="G70" i="96"/>
  <c r="G71" i="96" s="1"/>
  <c r="L34" i="95"/>
  <c r="N34" i="95" s="1"/>
  <c r="O8" i="95"/>
  <c r="G114" i="95" s="1"/>
  <c r="U34" i="93"/>
  <c r="W34" i="93" s="1"/>
  <c r="P18" i="17"/>
  <c r="U44" i="93"/>
  <c r="W44" i="93" s="1"/>
  <c r="I69" i="93"/>
  <c r="I70" i="93" s="1"/>
  <c r="F71" i="93" s="1"/>
  <c r="F72" i="93" s="1"/>
  <c r="D8" i="92" s="1"/>
  <c r="J86" i="85"/>
  <c r="K122" i="85" s="1"/>
  <c r="J78" i="85"/>
  <c r="L78" i="85" s="1"/>
  <c r="J81" i="78"/>
  <c r="L81" i="78" s="1"/>
  <c r="W40" i="93"/>
  <c r="N59" i="95"/>
  <c r="E121" i="95" s="1"/>
  <c r="W37" i="96"/>
  <c r="J99" i="96"/>
  <c r="J100" i="96" s="1"/>
  <c r="J101" i="96" s="1"/>
  <c r="J102" i="96" s="1"/>
  <c r="L78" i="95"/>
  <c r="K118" i="95" s="1"/>
  <c r="S126" i="95"/>
  <c r="T126" i="95" s="1"/>
  <c r="J12" i="94" s="1"/>
  <c r="N52" i="95"/>
  <c r="E114" i="95" s="1"/>
  <c r="L74" i="95"/>
  <c r="K114" i="95" s="1"/>
  <c r="L8" i="78"/>
  <c r="U125" i="73"/>
  <c r="W125" i="73" s="1"/>
  <c r="U31" i="96"/>
  <c r="W31" i="96" s="1"/>
  <c r="M59" i="85"/>
  <c r="H117" i="85" s="1"/>
  <c r="P113" i="78"/>
  <c r="T113" i="78" s="1"/>
  <c r="J17" i="74" s="1"/>
  <c r="U42" i="96"/>
  <c r="W42" i="96" s="1"/>
  <c r="O59" i="85"/>
  <c r="U39" i="96"/>
  <c r="H69" i="93"/>
  <c r="H70" i="93" s="1"/>
  <c r="H71" i="93" s="1"/>
  <c r="H72" i="93" s="1"/>
  <c r="F8" i="92" s="1"/>
  <c r="T117" i="78"/>
  <c r="J10" i="74" s="1"/>
  <c r="L66" i="85"/>
  <c r="E124" i="85" s="1"/>
  <c r="M18" i="79"/>
  <c r="N18" i="79" s="1"/>
  <c r="Q18" i="79" s="1"/>
  <c r="S18" i="79" s="1"/>
  <c r="P118" i="95"/>
  <c r="J88" i="85"/>
  <c r="K124" i="85" s="1"/>
  <c r="L53" i="66"/>
  <c r="E110" i="66" s="1"/>
  <c r="F110" i="66" s="1"/>
  <c r="E71" i="96"/>
  <c r="J81" i="66"/>
  <c r="H116" i="66" s="1"/>
  <c r="I116" i="66" s="1"/>
  <c r="I94" i="93"/>
  <c r="O56" i="95"/>
  <c r="H118" i="95" s="1"/>
  <c r="L15" i="78"/>
  <c r="D117" i="78" s="1"/>
  <c r="F117" i="78" s="1"/>
  <c r="X15" i="17"/>
  <c r="P19" i="17"/>
  <c r="J37" i="85"/>
  <c r="L37" i="85" s="1"/>
  <c r="M23" i="79"/>
  <c r="N23" i="79" s="1"/>
  <c r="Q23" i="79" s="1"/>
  <c r="S23" i="79" s="1"/>
  <c r="U36" i="96"/>
  <c r="W36" i="96" s="1"/>
  <c r="M125" i="73"/>
  <c r="I15" i="79" s="1"/>
  <c r="M15" i="79" s="1"/>
  <c r="N15" i="79" s="1"/>
  <c r="Q15" i="79" s="1"/>
  <c r="S15" i="79" s="1"/>
  <c r="K70" i="96"/>
  <c r="J42" i="66"/>
  <c r="G121" i="66" s="1"/>
  <c r="L20" i="78"/>
  <c r="D122" i="78" s="1"/>
  <c r="W31" i="93"/>
  <c r="M5" i="79"/>
  <c r="N5" i="79" s="1"/>
  <c r="Q5" i="79" s="1"/>
  <c r="S5" i="79" s="1"/>
  <c r="J75" i="85"/>
  <c r="K111" i="85" s="1"/>
  <c r="R39" i="41"/>
  <c r="T39" i="41" s="1"/>
  <c r="J77" i="85"/>
  <c r="K113" i="85" s="1"/>
  <c r="U38" i="96"/>
  <c r="J34" i="85"/>
  <c r="J114" i="85" s="1"/>
  <c r="N16" i="95"/>
  <c r="D122" i="95" s="1"/>
  <c r="L52" i="85"/>
  <c r="E110" i="85" s="1"/>
  <c r="F110" i="85" s="1"/>
  <c r="O7" i="95"/>
  <c r="G113" i="95" s="1"/>
  <c r="K121" i="66"/>
  <c r="L52" i="66"/>
  <c r="E109" i="66" s="1"/>
  <c r="O56" i="78"/>
  <c r="L118" i="92"/>
  <c r="AL108" i="73"/>
  <c r="N66" i="95"/>
  <c r="E128" i="95" s="1"/>
  <c r="H70" i="96"/>
  <c r="H71" i="96" s="1"/>
  <c r="L12" i="66"/>
  <c r="D113" i="66" s="1"/>
  <c r="L20" i="66"/>
  <c r="D121" i="66" s="1"/>
  <c r="F121" i="66" s="1"/>
  <c r="L15" i="85"/>
  <c r="D117" i="85" s="1"/>
  <c r="F117" i="85" s="1"/>
  <c r="L59" i="66"/>
  <c r="E116" i="66" s="1"/>
  <c r="M64" i="85"/>
  <c r="H122" i="85" s="1"/>
  <c r="L65" i="78"/>
  <c r="E123" i="78" s="1"/>
  <c r="M65" i="85"/>
  <c r="H123" i="85" s="1"/>
  <c r="K52" i="41"/>
  <c r="O22" i="95"/>
  <c r="G128" i="95" s="1"/>
  <c r="N22" i="85"/>
  <c r="N124" i="85" s="1"/>
  <c r="P124" i="85" s="1"/>
  <c r="M57" i="85"/>
  <c r="H115" i="85" s="1"/>
  <c r="Z6" i="91"/>
  <c r="R42" i="41"/>
  <c r="T42" i="41" s="1"/>
  <c r="O64" i="85"/>
  <c r="O65" i="85"/>
  <c r="O59" i="78"/>
  <c r="R34" i="41"/>
  <c r="T34" i="41" s="1"/>
  <c r="P13" i="92"/>
  <c r="M20" i="78"/>
  <c r="G122" i="78" s="1"/>
  <c r="U40" i="96"/>
  <c r="W40" i="96" s="1"/>
  <c r="N13" i="95"/>
  <c r="D119" i="95" s="1"/>
  <c r="E61" i="93"/>
  <c r="I62" i="93" s="1"/>
  <c r="G6" i="92" s="1"/>
  <c r="J44" i="78"/>
  <c r="L44" i="78" s="1"/>
  <c r="L55" i="66"/>
  <c r="E112" i="66" s="1"/>
  <c r="F60" i="93"/>
  <c r="L50" i="66"/>
  <c r="E107" i="66" s="1"/>
  <c r="P15" i="17"/>
  <c r="L9" i="85"/>
  <c r="D111" i="85" s="1"/>
  <c r="J87" i="66"/>
  <c r="H122" i="66" s="1"/>
  <c r="T115" i="92"/>
  <c r="J17" i="91" s="1"/>
  <c r="M9" i="78"/>
  <c r="G111" i="78" s="1"/>
  <c r="O52" i="85"/>
  <c r="S122" i="78"/>
  <c r="AI6" i="91"/>
  <c r="S124" i="78"/>
  <c r="T124" i="78" s="1"/>
  <c r="J14" i="74" s="1"/>
  <c r="J30" i="78"/>
  <c r="J110" i="78" s="1"/>
  <c r="J30" i="85"/>
  <c r="L30" i="85" s="1"/>
  <c r="S121" i="95"/>
  <c r="T121" i="95" s="1"/>
  <c r="J10" i="94" s="1"/>
  <c r="L12" i="78"/>
  <c r="U37" i="93"/>
  <c r="W37" i="93" s="1"/>
  <c r="U118" i="73"/>
  <c r="W118" i="73" s="1"/>
  <c r="L15" i="66"/>
  <c r="D116" i="66" s="1"/>
  <c r="J75" i="66"/>
  <c r="H110" i="66" s="1"/>
  <c r="W39" i="96"/>
  <c r="L64" i="85"/>
  <c r="E122" i="85" s="1"/>
  <c r="K112" i="66"/>
  <c r="U33" i="93"/>
  <c r="W33" i="93" s="1"/>
  <c r="H84" i="93"/>
  <c r="H85" i="93" s="1"/>
  <c r="H86" i="93" s="1"/>
  <c r="H87" i="93" s="1"/>
  <c r="F15" i="92" s="1"/>
  <c r="H84" i="96"/>
  <c r="H85" i="96" s="1"/>
  <c r="H86" i="96" s="1"/>
  <c r="H87" i="96" s="1"/>
  <c r="M20" i="79"/>
  <c r="N20" i="79" s="1"/>
  <c r="Q20" i="79" s="1"/>
  <c r="S20" i="79" s="1"/>
  <c r="N53" i="95"/>
  <c r="E115" i="95" s="1"/>
  <c r="J75" i="93"/>
  <c r="J76" i="93" s="1"/>
  <c r="J86" i="78"/>
  <c r="L86" i="78" s="1"/>
  <c r="R46" i="41"/>
  <c r="T46" i="41" s="1"/>
  <c r="U30" i="93"/>
  <c r="W30" i="93" s="1"/>
  <c r="T117" i="85"/>
  <c r="J10" i="84" s="1"/>
  <c r="L65" i="66"/>
  <c r="E122" i="66" s="1"/>
  <c r="Y24" i="17"/>
  <c r="AA24" i="17" s="1"/>
  <c r="H59" i="93"/>
  <c r="H60" i="93" s="1"/>
  <c r="H61" i="93" s="1"/>
  <c r="S123" i="78"/>
  <c r="L21" i="85"/>
  <c r="D123" i="85" s="1"/>
  <c r="M6" i="79"/>
  <c r="N6" i="79" s="1"/>
  <c r="O53" i="85"/>
  <c r="P114" i="78"/>
  <c r="T114" i="78" s="1"/>
  <c r="J22" i="74" s="1"/>
  <c r="J74" i="78"/>
  <c r="L74" i="78" s="1"/>
  <c r="L12" i="85"/>
  <c r="D114" i="85" s="1"/>
  <c r="S110" i="78"/>
  <c r="T110" i="78" s="1"/>
  <c r="J6" i="74" s="1"/>
  <c r="J86" i="66"/>
  <c r="H121" i="66" s="1"/>
  <c r="J81" i="85"/>
  <c r="L81" i="85" s="1"/>
  <c r="L53" i="78"/>
  <c r="E111" i="78" s="1"/>
  <c r="D29" i="102"/>
  <c r="K113" i="66"/>
  <c r="K110" i="66"/>
  <c r="Z4" i="91"/>
  <c r="N15" i="95"/>
  <c r="D121" i="95" s="1"/>
  <c r="U123" i="73"/>
  <c r="W123" i="73" s="1"/>
  <c r="M21" i="78"/>
  <c r="G123" i="78" s="1"/>
  <c r="I84" i="96"/>
  <c r="I85" i="96" s="1"/>
  <c r="I86" i="96" s="1"/>
  <c r="I87" i="96" s="1"/>
  <c r="I84" i="93"/>
  <c r="I85" i="93" s="1"/>
  <c r="I86" i="93" s="1"/>
  <c r="I87" i="93" s="1"/>
  <c r="G15" i="92" s="1"/>
  <c r="M20" i="85"/>
  <c r="G122" i="85" s="1"/>
  <c r="O65" i="78"/>
  <c r="R40" i="41"/>
  <c r="T40" i="41" s="1"/>
  <c r="O10" i="95"/>
  <c r="M64" i="78"/>
  <c r="H122" i="78" s="1"/>
  <c r="AL110" i="73"/>
  <c r="M15" i="85"/>
  <c r="G117" i="85" s="1"/>
  <c r="M22" i="78"/>
  <c r="G124" i="78" s="1"/>
  <c r="W4" i="91"/>
  <c r="J78" i="66"/>
  <c r="H113" i="66" s="1"/>
  <c r="M13" i="85"/>
  <c r="G115" i="85" s="1"/>
  <c r="L18" i="85"/>
  <c r="AA127" i="85"/>
  <c r="O62" i="85"/>
  <c r="M55" i="78"/>
  <c r="H113" i="78" s="1"/>
  <c r="J33" i="78"/>
  <c r="L33" i="78" s="1"/>
  <c r="R32" i="41"/>
  <c r="T32" i="41" s="1"/>
  <c r="J31" i="66"/>
  <c r="G110" i="66" s="1"/>
  <c r="L53" i="85"/>
  <c r="E111" i="85" s="1"/>
  <c r="L123" i="92"/>
  <c r="P113" i="95"/>
  <c r="T113" i="95" s="1"/>
  <c r="J5" i="94" s="1"/>
  <c r="U43" i="96"/>
  <c r="W43" i="96" s="1"/>
  <c r="Y25" i="17"/>
  <c r="AA25" i="17" s="1"/>
  <c r="F60" i="96"/>
  <c r="L57" i="85"/>
  <c r="E115" i="85" s="1"/>
  <c r="U41" i="93"/>
  <c r="W41" i="93" s="1"/>
  <c r="J43" i="85"/>
  <c r="J123" i="85" s="1"/>
  <c r="S115" i="78"/>
  <c r="T115" i="78" s="1"/>
  <c r="J9" i="74" s="1"/>
  <c r="M52" i="78"/>
  <c r="H110" i="78" s="1"/>
  <c r="P122" i="78"/>
  <c r="L30" i="95"/>
  <c r="N30" i="95" s="1"/>
  <c r="N58" i="95"/>
  <c r="E120" i="95" s="1"/>
  <c r="L37" i="95"/>
  <c r="N37" i="95" s="1"/>
  <c r="J40" i="66"/>
  <c r="G119" i="66" s="1"/>
  <c r="J35" i="66"/>
  <c r="G114" i="66" s="1"/>
  <c r="S108" i="78"/>
  <c r="L11" i="78"/>
  <c r="D113" i="78" s="1"/>
  <c r="M10" i="79"/>
  <c r="N10" i="79" s="1"/>
  <c r="Q10" i="79" s="1"/>
  <c r="S10" i="79" s="1"/>
  <c r="J31" i="85"/>
  <c r="J111" i="85" s="1"/>
  <c r="M53" i="78"/>
  <c r="H111" i="78" s="1"/>
  <c r="L20" i="85"/>
  <c r="U111" i="73"/>
  <c r="W111" i="73" s="1"/>
  <c r="N20" i="85"/>
  <c r="N122" i="85" s="1"/>
  <c r="P122" i="85" s="1"/>
  <c r="AC114" i="73"/>
  <c r="F99" i="96"/>
  <c r="F100" i="96" s="1"/>
  <c r="P13" i="17"/>
  <c r="O64" i="78"/>
  <c r="N7" i="95"/>
  <c r="D113" i="95" s="1"/>
  <c r="AL109" i="73"/>
  <c r="N57" i="95"/>
  <c r="E119" i="95" s="1"/>
  <c r="L73" i="95"/>
  <c r="N73" i="95" s="1"/>
  <c r="J77" i="78"/>
  <c r="L77" i="78" s="1"/>
  <c r="J88" i="66"/>
  <c r="H123" i="66" s="1"/>
  <c r="L65" i="85"/>
  <c r="E123" i="85" s="1"/>
  <c r="M8" i="78"/>
  <c r="G110" i="78" s="1"/>
  <c r="J78" i="78"/>
  <c r="K114" i="78" s="1"/>
  <c r="J34" i="78"/>
  <c r="L34" i="78" s="1"/>
  <c r="M56" i="78"/>
  <c r="H114" i="78" s="1"/>
  <c r="J79" i="66"/>
  <c r="H114" i="66" s="1"/>
  <c r="L8" i="66"/>
  <c r="D109" i="66" s="1"/>
  <c r="L8" i="85"/>
  <c r="D110" i="85" s="1"/>
  <c r="J34" i="66"/>
  <c r="G113" i="66" s="1"/>
  <c r="O56" i="85"/>
  <c r="F84" i="93"/>
  <c r="F85" i="93" s="1"/>
  <c r="F86" i="93" s="1"/>
  <c r="F87" i="93" s="1"/>
  <c r="D15" i="92" s="1"/>
  <c r="F84" i="96"/>
  <c r="F85" i="96" s="1"/>
  <c r="F86" i="96" s="1"/>
  <c r="F87" i="96" s="1"/>
  <c r="L43" i="85"/>
  <c r="T114" i="85"/>
  <c r="J22" i="84" s="1"/>
  <c r="L11" i="85"/>
  <c r="D113" i="85" s="1"/>
  <c r="P52" i="96"/>
  <c r="O52" i="78"/>
  <c r="L56" i="85"/>
  <c r="E114" i="85" s="1"/>
  <c r="U34" i="96"/>
  <c r="W34" i="96" s="1"/>
  <c r="P120" i="95"/>
  <c r="AO31" i="84"/>
  <c r="AP31" i="84" s="1"/>
  <c r="AQ31" i="84" s="1"/>
  <c r="R37" i="41"/>
  <c r="T37" i="41" s="1"/>
  <c r="M52" i="41"/>
  <c r="J39" i="66"/>
  <c r="G118" i="66" s="1"/>
  <c r="L67" i="66"/>
  <c r="E124" i="66" s="1"/>
  <c r="V9" i="17"/>
  <c r="U116" i="73"/>
  <c r="W116" i="73" s="1"/>
  <c r="H60" i="96"/>
  <c r="H61" i="96" s="1"/>
  <c r="H62" i="96" s="1"/>
  <c r="M12" i="79"/>
  <c r="N12" i="79" s="1"/>
  <c r="Q12" i="79" s="1"/>
  <c r="S12" i="79" s="1"/>
  <c r="J89" i="96"/>
  <c r="J90" i="96" s="1"/>
  <c r="J91" i="96" s="1"/>
  <c r="AL116" i="73"/>
  <c r="L52" i="96"/>
  <c r="N9" i="95"/>
  <c r="D115" i="95" s="1"/>
  <c r="L52" i="78"/>
  <c r="E110" i="78" s="1"/>
  <c r="T111" i="85"/>
  <c r="J7" i="84" s="1"/>
  <c r="M9" i="85"/>
  <c r="G111" i="85" s="1"/>
  <c r="M56" i="85"/>
  <c r="H114" i="85" s="1"/>
  <c r="W9" i="17"/>
  <c r="O50" i="95"/>
  <c r="H112" i="95" s="1"/>
  <c r="N9" i="17"/>
  <c r="P9" i="17" s="1"/>
  <c r="T119" i="92"/>
  <c r="J10" i="91" s="1"/>
  <c r="U46" i="93"/>
  <c r="W46" i="93" s="1"/>
  <c r="O59" i="95"/>
  <c r="H121" i="95" s="1"/>
  <c r="W38" i="96"/>
  <c r="AC120" i="73"/>
  <c r="S120" i="95"/>
  <c r="AC118" i="73"/>
  <c r="L81" i="95"/>
  <c r="K121" i="95" s="1"/>
  <c r="I74" i="93"/>
  <c r="I75" i="93" s="1"/>
  <c r="H102" i="93"/>
  <c r="F22" i="92" s="1"/>
  <c r="N8" i="95"/>
  <c r="L55" i="85"/>
  <c r="E113" i="85" s="1"/>
  <c r="J35" i="78"/>
  <c r="J115" i="78" s="1"/>
  <c r="K114" i="66"/>
  <c r="L6" i="66"/>
  <c r="D107" i="66" s="1"/>
  <c r="J72" i="78"/>
  <c r="L72" i="78" s="1"/>
  <c r="L38" i="95"/>
  <c r="N38" i="95" s="1"/>
  <c r="N22" i="95"/>
  <c r="D128" i="95" s="1"/>
  <c r="J74" i="85"/>
  <c r="J87" i="85"/>
  <c r="L87" i="85" s="1"/>
  <c r="O16" i="95"/>
  <c r="M65" i="78"/>
  <c r="H123" i="78" s="1"/>
  <c r="L9" i="78"/>
  <c r="J69" i="96"/>
  <c r="J70" i="96" s="1"/>
  <c r="J71" i="96" s="1"/>
  <c r="N8" i="85"/>
  <c r="N110" i="85" s="1"/>
  <c r="P110" i="85" s="1"/>
  <c r="T110" i="85" s="1"/>
  <c r="J6" i="84" s="1"/>
  <c r="J69" i="93"/>
  <c r="J70" i="93" s="1"/>
  <c r="J71" i="93" s="1"/>
  <c r="J72" i="93" s="1"/>
  <c r="R47" i="41"/>
  <c r="T47" i="41" s="1"/>
  <c r="K60" i="96"/>
  <c r="R33" i="41"/>
  <c r="T33" i="41" s="1"/>
  <c r="M12" i="78"/>
  <c r="G114" i="78" s="1"/>
  <c r="P120" i="78"/>
  <c r="O66" i="95"/>
  <c r="H128" i="95" s="1"/>
  <c r="L56" i="78"/>
  <c r="E114" i="78" s="1"/>
  <c r="R44" i="41"/>
  <c r="T44" i="41" s="1"/>
  <c r="X19" i="17"/>
  <c r="M17" i="79"/>
  <c r="N17" i="79" s="1"/>
  <c r="Q17" i="79" s="1"/>
  <c r="S17" i="79" s="1"/>
  <c r="H129" i="92"/>
  <c r="N10" i="95"/>
  <c r="D116" i="95" s="1"/>
  <c r="L32" i="95"/>
  <c r="N32" i="95" s="1"/>
  <c r="P127" i="95"/>
  <c r="O57" i="95"/>
  <c r="H119" i="95" s="1"/>
  <c r="T36" i="41"/>
  <c r="G74" i="93"/>
  <c r="G75" i="93" s="1"/>
  <c r="G76" i="93" s="1"/>
  <c r="M8" i="85"/>
  <c r="G110" i="85" s="1"/>
  <c r="P119" i="85"/>
  <c r="M12" i="85"/>
  <c r="G114" i="85" s="1"/>
  <c r="I114" i="85" s="1"/>
  <c r="W32" i="93"/>
  <c r="M50" i="85"/>
  <c r="H108" i="85" s="1"/>
  <c r="J42" i="78"/>
  <c r="J44" i="85"/>
  <c r="L44" i="85" s="1"/>
  <c r="G99" i="96"/>
  <c r="G100" i="96" s="1"/>
  <c r="G101" i="96" s="1"/>
  <c r="G102" i="96" s="1"/>
  <c r="G99" i="93"/>
  <c r="G100" i="93" s="1"/>
  <c r="G101" i="93" s="1"/>
  <c r="G102" i="93" s="1"/>
  <c r="E22" i="92" s="1"/>
  <c r="L56" i="66"/>
  <c r="E113" i="66" s="1"/>
  <c r="U114" i="73"/>
  <c r="W114" i="73" s="1"/>
  <c r="T114" i="73"/>
  <c r="J22" i="79" s="1"/>
  <c r="M22" i="79" s="1"/>
  <c r="N22" i="79" s="1"/>
  <c r="Q22" i="79" s="1"/>
  <c r="S22" i="79" s="1"/>
  <c r="J72" i="85"/>
  <c r="K108" i="85" s="1"/>
  <c r="K123" i="66"/>
  <c r="I72" i="93"/>
  <c r="G8" i="92" s="1"/>
  <c r="K72" i="93"/>
  <c r="H8" i="92" s="1"/>
  <c r="AA126" i="92"/>
  <c r="AA129" i="92" s="1"/>
  <c r="L17" i="66"/>
  <c r="D118" i="66" s="1"/>
  <c r="L17" i="78"/>
  <c r="D119" i="78" s="1"/>
  <c r="M17" i="85"/>
  <c r="G119" i="85" s="1"/>
  <c r="X18" i="17"/>
  <c r="U33" i="96"/>
  <c r="W33" i="96" s="1"/>
  <c r="L79" i="95"/>
  <c r="K119" i="95" s="1"/>
  <c r="U42" i="93"/>
  <c r="W42" i="93" s="1"/>
  <c r="L31" i="95"/>
  <c r="J115" i="95" s="1"/>
  <c r="M53" i="85"/>
  <c r="H111" i="85" s="1"/>
  <c r="L22" i="85"/>
  <c r="D124" i="85" s="1"/>
  <c r="G74" i="96"/>
  <c r="G75" i="96" s="1"/>
  <c r="G76" i="96" s="1"/>
  <c r="U45" i="93"/>
  <c r="W45" i="93" s="1"/>
  <c r="J41" i="85"/>
  <c r="J121" i="85" s="1"/>
  <c r="L111" i="92"/>
  <c r="S129" i="92"/>
  <c r="U43" i="93"/>
  <c r="W43" i="93" s="1"/>
  <c r="U30" i="96"/>
  <c r="W30" i="96" s="1"/>
  <c r="M18" i="85"/>
  <c r="G120" i="85" s="1"/>
  <c r="J44" i="66"/>
  <c r="G123" i="66" s="1"/>
  <c r="I123" i="66" s="1"/>
  <c r="J79" i="85"/>
  <c r="L79" i="85" s="1"/>
  <c r="J75" i="78"/>
  <c r="K111" i="78" s="1"/>
  <c r="N56" i="95"/>
  <c r="L21" i="66"/>
  <c r="D122" i="66" s="1"/>
  <c r="R35" i="41"/>
  <c r="T35" i="41" s="1"/>
  <c r="L62" i="85"/>
  <c r="E120" i="85" s="1"/>
  <c r="O66" i="78"/>
  <c r="M66" i="85"/>
  <c r="H124" i="85" s="1"/>
  <c r="L55" i="78"/>
  <c r="E113" i="78" s="1"/>
  <c r="L57" i="78"/>
  <c r="E115" i="78" s="1"/>
  <c r="J79" i="78"/>
  <c r="K115" i="78" s="1"/>
  <c r="S123" i="85"/>
  <c r="AL123" i="73"/>
  <c r="J40" i="78"/>
  <c r="J120" i="78" s="1"/>
  <c r="J84" i="78"/>
  <c r="L84" i="78" s="1"/>
  <c r="S120" i="85"/>
  <c r="L66" i="66"/>
  <c r="E123" i="66" s="1"/>
  <c r="J28" i="85"/>
  <c r="S115" i="95"/>
  <c r="T115" i="95" s="1"/>
  <c r="J7" i="94" s="1"/>
  <c r="H75" i="96"/>
  <c r="H76" i="96" s="1"/>
  <c r="M55" i="85"/>
  <c r="H113" i="85" s="1"/>
  <c r="L63" i="66"/>
  <c r="E120" i="66" s="1"/>
  <c r="J38" i="85"/>
  <c r="L38" i="85" s="1"/>
  <c r="L120" i="92"/>
  <c r="T119" i="95"/>
  <c r="J9" i="94" s="1"/>
  <c r="N54" i="95"/>
  <c r="E116" i="95" s="1"/>
  <c r="L124" i="95"/>
  <c r="J52" i="96"/>
  <c r="M22" i="85"/>
  <c r="G124" i="85" s="1"/>
  <c r="R38" i="41"/>
  <c r="T38" i="41" s="1"/>
  <c r="O52" i="95"/>
  <c r="H114" i="95" s="1"/>
  <c r="L29" i="95"/>
  <c r="N29" i="95" s="1"/>
  <c r="O53" i="78"/>
  <c r="AA131" i="95"/>
  <c r="G72" i="93"/>
  <c r="E8" i="92" s="1"/>
  <c r="J88" i="78"/>
  <c r="K124" i="78" s="1"/>
  <c r="J77" i="66"/>
  <c r="H112" i="66" s="1"/>
  <c r="L11" i="66"/>
  <c r="D112" i="66" s="1"/>
  <c r="J33" i="66"/>
  <c r="G112" i="66" s="1"/>
  <c r="O50" i="85"/>
  <c r="J87" i="78"/>
  <c r="L87" i="78" s="1"/>
  <c r="L22" i="66"/>
  <c r="D123" i="66" s="1"/>
  <c r="J31" i="78"/>
  <c r="L31" i="78" s="1"/>
  <c r="L113" i="92"/>
  <c r="S115" i="85"/>
  <c r="T115" i="85" s="1"/>
  <c r="J9" i="84" s="1"/>
  <c r="K72" i="96"/>
  <c r="L88" i="85"/>
  <c r="J80" i="66"/>
  <c r="H115" i="66" s="1"/>
  <c r="K119" i="66"/>
  <c r="J84" i="66"/>
  <c r="H119" i="66" s="1"/>
  <c r="P112" i="78"/>
  <c r="T112" i="78" s="1"/>
  <c r="J8" i="74" s="1"/>
  <c r="U47" i="96"/>
  <c r="W47" i="96" s="1"/>
  <c r="I79" i="93"/>
  <c r="I80" i="93" s="1"/>
  <c r="I81" i="93" s="1"/>
  <c r="M66" i="78"/>
  <c r="H124" i="78" s="1"/>
  <c r="O20" i="17"/>
  <c r="V20" i="17"/>
  <c r="W20" i="17"/>
  <c r="N12" i="95"/>
  <c r="D118" i="95" s="1"/>
  <c r="J33" i="85"/>
  <c r="L57" i="66"/>
  <c r="E114" i="66" s="1"/>
  <c r="N21" i="85"/>
  <c r="N123" i="85" s="1"/>
  <c r="P123" i="85" s="1"/>
  <c r="J94" i="96"/>
  <c r="J95" i="96" s="1"/>
  <c r="J96" i="96" s="1"/>
  <c r="J94" i="93"/>
  <c r="J95" i="93" s="1"/>
  <c r="J96" i="93" s="1"/>
  <c r="O55" i="78"/>
  <c r="E52" i="41"/>
  <c r="L61" i="66"/>
  <c r="E118" i="66" s="1"/>
  <c r="O61" i="78"/>
  <c r="K122" i="66"/>
  <c r="T113" i="85"/>
  <c r="J17" i="84" s="1"/>
  <c r="J82" i="78"/>
  <c r="L82" i="78" s="1"/>
  <c r="O57" i="85"/>
  <c r="M7" i="79"/>
  <c r="N7" i="79" s="1"/>
  <c r="Q7" i="79" s="1"/>
  <c r="S7" i="79" s="1"/>
  <c r="M11" i="78"/>
  <c r="G113" i="78" s="1"/>
  <c r="U120" i="73"/>
  <c r="W120" i="73" s="1"/>
  <c r="L28" i="95"/>
  <c r="J112" i="95" s="1"/>
  <c r="H52" i="96"/>
  <c r="L75" i="95"/>
  <c r="K115" i="95" s="1"/>
  <c r="P52" i="93"/>
  <c r="O57" i="78"/>
  <c r="P10" i="17"/>
  <c r="L58" i="85"/>
  <c r="E116" i="85" s="1"/>
  <c r="M11" i="85"/>
  <c r="G113" i="85" s="1"/>
  <c r="L122" i="92"/>
  <c r="M62" i="85"/>
  <c r="H120" i="85" s="1"/>
  <c r="R43" i="41"/>
  <c r="T43" i="41" s="1"/>
  <c r="I117" i="95"/>
  <c r="O66" i="85"/>
  <c r="L66" i="78"/>
  <c r="E124" i="78" s="1"/>
  <c r="L58" i="78"/>
  <c r="E116" i="78" s="1"/>
  <c r="L50" i="85"/>
  <c r="E108" i="85" s="1"/>
  <c r="M50" i="78"/>
  <c r="H108" i="78" s="1"/>
  <c r="O55" i="85"/>
  <c r="M121" i="92"/>
  <c r="I18" i="91" s="1"/>
  <c r="O12" i="95"/>
  <c r="G118" i="95" s="1"/>
  <c r="L35" i="95"/>
  <c r="J119" i="95" s="1"/>
  <c r="L42" i="95"/>
  <c r="J126" i="95" s="1"/>
  <c r="M11" i="79"/>
  <c r="N11" i="79" s="1"/>
  <c r="Q11" i="79" s="1"/>
  <c r="S11" i="79" s="1"/>
  <c r="N51" i="95"/>
  <c r="E113" i="95" s="1"/>
  <c r="L44" i="95"/>
  <c r="J128" i="95" s="1"/>
  <c r="O15" i="95"/>
  <c r="L62" i="66"/>
  <c r="E119" i="66" s="1"/>
  <c r="J84" i="85"/>
  <c r="L18" i="78"/>
  <c r="M18" i="78"/>
  <c r="G120" i="78" s="1"/>
  <c r="J35" i="85"/>
  <c r="N6" i="78"/>
  <c r="N108" i="78" s="1"/>
  <c r="P108" i="78" s="1"/>
  <c r="D41" i="61"/>
  <c r="U45" i="96"/>
  <c r="W45" i="96" s="1"/>
  <c r="D38" i="61"/>
  <c r="L6" i="78"/>
  <c r="M6" i="78"/>
  <c r="G108" i="78" s="1"/>
  <c r="I108" i="78" s="1"/>
  <c r="J28" i="66"/>
  <c r="G107" i="66" s="1"/>
  <c r="P120" i="85"/>
  <c r="P123" i="78"/>
  <c r="J43" i="78"/>
  <c r="N20" i="17"/>
  <c r="L117" i="92"/>
  <c r="M117" i="92" s="1"/>
  <c r="I9" i="91" s="1"/>
  <c r="O62" i="78"/>
  <c r="L62" i="78"/>
  <c r="E120" i="78" s="1"/>
  <c r="M62" i="78"/>
  <c r="H120" i="78" s="1"/>
  <c r="M13" i="78"/>
  <c r="G115" i="78" s="1"/>
  <c r="L13" i="78"/>
  <c r="J59" i="93"/>
  <c r="J60" i="93" s="1"/>
  <c r="J61" i="93" s="1"/>
  <c r="N6" i="85"/>
  <c r="N108" i="85" s="1"/>
  <c r="P108" i="85" s="1"/>
  <c r="J59" i="96"/>
  <c r="J60" i="96" s="1"/>
  <c r="J61" i="96" s="1"/>
  <c r="J62" i="96" s="1"/>
  <c r="L6" i="85"/>
  <c r="G59" i="93"/>
  <c r="G60" i="93" s="1"/>
  <c r="G61" i="93" s="1"/>
  <c r="G59" i="96"/>
  <c r="G60" i="96" s="1"/>
  <c r="G61" i="96" s="1"/>
  <c r="G62" i="96" s="1"/>
  <c r="M57" i="78"/>
  <c r="H115" i="78" s="1"/>
  <c r="I115" i="78" s="1"/>
  <c r="J83" i="78"/>
  <c r="L83" i="78" s="1"/>
  <c r="O50" i="78"/>
  <c r="I52" i="41"/>
  <c r="J83" i="85"/>
  <c r="K119" i="85" s="1"/>
  <c r="L117" i="95"/>
  <c r="W41" i="96"/>
  <c r="S125" i="78"/>
  <c r="O9" i="95"/>
  <c r="G115" i="95" s="1"/>
  <c r="N6" i="95"/>
  <c r="D112" i="95" s="1"/>
  <c r="O51" i="95"/>
  <c r="H113" i="95" s="1"/>
  <c r="S118" i="78"/>
  <c r="N20" i="95"/>
  <c r="D126" i="95" s="1"/>
  <c r="L21" i="78"/>
  <c r="X7" i="17"/>
  <c r="L50" i="78"/>
  <c r="E108" i="78" s="1"/>
  <c r="I99" i="93"/>
  <c r="I100" i="93" s="1"/>
  <c r="I101" i="93" s="1"/>
  <c r="I102" i="93" s="1"/>
  <c r="G22" i="92" s="1"/>
  <c r="I99" i="96"/>
  <c r="I100" i="96" s="1"/>
  <c r="I101" i="96" s="1"/>
  <c r="I102" i="96" s="1"/>
  <c r="J43" i="66"/>
  <c r="G122" i="66" s="1"/>
  <c r="R45" i="41"/>
  <c r="T45" i="41" s="1"/>
  <c r="J40" i="85"/>
  <c r="L18" i="66"/>
  <c r="D119" i="66" s="1"/>
  <c r="J102" i="93"/>
  <c r="I22" i="92" s="1"/>
  <c r="O22" i="92" s="1"/>
  <c r="N126" i="92" s="1"/>
  <c r="P126" i="92" s="1"/>
  <c r="T126" i="92" s="1"/>
  <c r="J14" i="91" s="1"/>
  <c r="L13" i="66"/>
  <c r="D114" i="66" s="1"/>
  <c r="S108" i="85"/>
  <c r="M6" i="85"/>
  <c r="G108" i="85" s="1"/>
  <c r="K107" i="66"/>
  <c r="J72" i="66"/>
  <c r="H107" i="66" s="1"/>
  <c r="J28" i="78"/>
  <c r="I59" i="93"/>
  <c r="I60" i="93" s="1"/>
  <c r="I59" i="96"/>
  <c r="I60" i="96" s="1"/>
  <c r="S120" i="78"/>
  <c r="P114" i="95"/>
  <c r="T114" i="95" s="1"/>
  <c r="J6" i="94" s="1"/>
  <c r="W14" i="17"/>
  <c r="O14" i="17"/>
  <c r="V14" i="17"/>
  <c r="N14" i="17"/>
  <c r="M63" i="85"/>
  <c r="H121" i="85" s="1"/>
  <c r="J32" i="78"/>
  <c r="L32" i="78" s="1"/>
  <c r="L86" i="95"/>
  <c r="N86" i="95" s="1"/>
  <c r="AI7" i="91"/>
  <c r="Z7" i="91"/>
  <c r="W7" i="91"/>
  <c r="M61" i="85"/>
  <c r="H119" i="85" s="1"/>
  <c r="L119" i="92"/>
  <c r="L80" i="95"/>
  <c r="N80" i="95" s="1"/>
  <c r="X10" i="17"/>
  <c r="J76" i="85"/>
  <c r="L76" i="85" s="1"/>
  <c r="R31" i="41"/>
  <c r="T31" i="41" s="1"/>
  <c r="L58" i="66"/>
  <c r="E115" i="66" s="1"/>
  <c r="N67" i="95"/>
  <c r="E129" i="95" s="1"/>
  <c r="K115" i="66"/>
  <c r="O64" i="95"/>
  <c r="H126" i="95" s="1"/>
  <c r="K32" i="74"/>
  <c r="K75" i="96"/>
  <c r="I75" i="96"/>
  <c r="E76" i="96"/>
  <c r="F75" i="96"/>
  <c r="U39" i="93"/>
  <c r="W39" i="93" s="1"/>
  <c r="M58" i="85"/>
  <c r="H116" i="85" s="1"/>
  <c r="S116" i="78"/>
  <c r="J83" i="66"/>
  <c r="H118" i="66" s="1"/>
  <c r="J38" i="78"/>
  <c r="J118" i="78" s="1"/>
  <c r="O14" i="95"/>
  <c r="G120" i="95" s="1"/>
  <c r="O23" i="95"/>
  <c r="G129" i="95" s="1"/>
  <c r="L72" i="95"/>
  <c r="N72" i="95" s="1"/>
  <c r="J41" i="66"/>
  <c r="G120" i="66" s="1"/>
  <c r="O63" i="78"/>
  <c r="R127" i="78"/>
  <c r="O127" i="78"/>
  <c r="J36" i="78"/>
  <c r="J116" i="78" s="1"/>
  <c r="L14" i="66"/>
  <c r="D115" i="66" s="1"/>
  <c r="L14" i="78"/>
  <c r="D116" i="78" s="1"/>
  <c r="S119" i="78"/>
  <c r="M58" i="78"/>
  <c r="H116" i="78" s="1"/>
  <c r="J85" i="66"/>
  <c r="H120" i="66" s="1"/>
  <c r="O54" i="95"/>
  <c r="H116" i="95" s="1"/>
  <c r="L89" i="95"/>
  <c r="K129" i="95" s="1"/>
  <c r="L45" i="95"/>
  <c r="N45" i="95" s="1"/>
  <c r="K75" i="93"/>
  <c r="E76" i="93"/>
  <c r="F75" i="93"/>
  <c r="J76" i="78"/>
  <c r="L76" i="78" s="1"/>
  <c r="S121" i="78"/>
  <c r="W38" i="93"/>
  <c r="L76" i="95"/>
  <c r="N76" i="95" s="1"/>
  <c r="N14" i="95"/>
  <c r="D120" i="95" s="1"/>
  <c r="J41" i="78"/>
  <c r="L41" i="78" s="1"/>
  <c r="J85" i="85"/>
  <c r="L85" i="85" s="1"/>
  <c r="J80" i="78"/>
  <c r="K116" i="78" s="1"/>
  <c r="J36" i="85"/>
  <c r="J116" i="85" s="1"/>
  <c r="M17" i="78"/>
  <c r="G119" i="78" s="1"/>
  <c r="T116" i="95"/>
  <c r="J8" i="94" s="1"/>
  <c r="J85" i="78"/>
  <c r="L85" i="78" s="1"/>
  <c r="W9" i="51"/>
  <c r="Y9" i="51"/>
  <c r="W6" i="68" s="1"/>
  <c r="Z8" i="91"/>
  <c r="AI8" i="91"/>
  <c r="W8" i="91"/>
  <c r="W12" i="91"/>
  <c r="AI12" i="91"/>
  <c r="Z12" i="91"/>
  <c r="W13" i="91"/>
  <c r="AI13" i="91"/>
  <c r="Z13" i="91"/>
  <c r="L110" i="92"/>
  <c r="J129" i="92"/>
  <c r="J80" i="85"/>
  <c r="O63" i="85"/>
  <c r="M63" i="78"/>
  <c r="H121" i="78" s="1"/>
  <c r="O54" i="85"/>
  <c r="L54" i="85"/>
  <c r="E112" i="85" s="1"/>
  <c r="M54" i="85"/>
  <c r="H112" i="85" s="1"/>
  <c r="I4" i="79"/>
  <c r="V5" i="17"/>
  <c r="W5" i="17"/>
  <c r="N5" i="17"/>
  <c r="O5" i="17"/>
  <c r="U46" i="96"/>
  <c r="W46" i="96" s="1"/>
  <c r="U121" i="73"/>
  <c r="W121" i="73" s="1"/>
  <c r="Q8" i="79"/>
  <c r="S8" i="79" s="1"/>
  <c r="L127" i="73"/>
  <c r="D122" i="85"/>
  <c r="M23" i="78"/>
  <c r="G125" i="78" s="1"/>
  <c r="L23" i="78"/>
  <c r="J89" i="78"/>
  <c r="J38" i="66"/>
  <c r="G117" i="66" s="1"/>
  <c r="AC124" i="73"/>
  <c r="AL124" i="73"/>
  <c r="Z5" i="91"/>
  <c r="W5" i="91"/>
  <c r="AI5" i="91"/>
  <c r="E81" i="96"/>
  <c r="K82" i="96" s="1"/>
  <c r="G80" i="96"/>
  <c r="G81" i="96" s="1"/>
  <c r="I80" i="96"/>
  <c r="I81" i="96" s="1"/>
  <c r="K80" i="96"/>
  <c r="I64" i="96"/>
  <c r="I65" i="96" s="1"/>
  <c r="I66" i="96" s="1"/>
  <c r="I64" i="93"/>
  <c r="I65" i="93" s="1"/>
  <c r="I66" i="93" s="1"/>
  <c r="Q127" i="78"/>
  <c r="S109" i="78"/>
  <c r="S109" i="85"/>
  <c r="Q127" i="85"/>
  <c r="J32" i="66"/>
  <c r="G111" i="66" s="1"/>
  <c r="J76" i="66"/>
  <c r="H111" i="66" s="1"/>
  <c r="K111" i="66"/>
  <c r="F79" i="96"/>
  <c r="F80" i="96" s="1"/>
  <c r="F81" i="96" s="1"/>
  <c r="F79" i="93"/>
  <c r="F80" i="93" s="1"/>
  <c r="F81" i="93" s="1"/>
  <c r="M10" i="85"/>
  <c r="G112" i="85" s="1"/>
  <c r="L10" i="85"/>
  <c r="L116" i="92"/>
  <c r="E129" i="92"/>
  <c r="I125" i="95"/>
  <c r="J73" i="78"/>
  <c r="L51" i="85"/>
  <c r="E109" i="85" s="1"/>
  <c r="M51" i="85"/>
  <c r="H109" i="85" s="1"/>
  <c r="O51" i="85"/>
  <c r="H109" i="96"/>
  <c r="H110" i="96" s="1"/>
  <c r="H111" i="96" s="1"/>
  <c r="H112" i="96" s="1"/>
  <c r="H109" i="93"/>
  <c r="H110" i="93" s="1"/>
  <c r="H111" i="93" s="1"/>
  <c r="H112" i="93" s="1"/>
  <c r="F14" i="92" s="1"/>
  <c r="I109" i="93"/>
  <c r="I110" i="93" s="1"/>
  <c r="I111" i="93" s="1"/>
  <c r="I112" i="93" s="1"/>
  <c r="G14" i="92" s="1"/>
  <c r="I109" i="96"/>
  <c r="I110" i="96" s="1"/>
  <c r="I111" i="96" s="1"/>
  <c r="I112" i="96" s="1"/>
  <c r="AA127" i="78"/>
  <c r="R41" i="41"/>
  <c r="T41" i="41" s="1"/>
  <c r="J39" i="78"/>
  <c r="O61" i="85"/>
  <c r="X21" i="17"/>
  <c r="P121" i="85"/>
  <c r="J45" i="78"/>
  <c r="J45" i="66"/>
  <c r="G124" i="66" s="1"/>
  <c r="L23" i="66"/>
  <c r="D124" i="66" s="1"/>
  <c r="F124" i="66" s="1"/>
  <c r="K117" i="66"/>
  <c r="J82" i="66"/>
  <c r="H117" i="66" s="1"/>
  <c r="L60" i="66"/>
  <c r="E117" i="66" s="1"/>
  <c r="M16" i="78"/>
  <c r="G118" i="78" s="1"/>
  <c r="L16" i="78"/>
  <c r="O16" i="17"/>
  <c r="V16" i="17"/>
  <c r="W16" i="17"/>
  <c r="N16" i="17"/>
  <c r="M115" i="73"/>
  <c r="I9" i="79" s="1"/>
  <c r="K65" i="93"/>
  <c r="E66" i="93"/>
  <c r="K67" i="93" s="1"/>
  <c r="H7" i="92" s="1"/>
  <c r="G65" i="93"/>
  <c r="G66" i="93" s="1"/>
  <c r="K90" i="93"/>
  <c r="E91" i="93"/>
  <c r="I90" i="93"/>
  <c r="G90" i="93"/>
  <c r="G91" i="93" s="1"/>
  <c r="H90" i="93"/>
  <c r="H91" i="93" s="1"/>
  <c r="J90" i="93"/>
  <c r="J91" i="93" s="1"/>
  <c r="J92" i="93" s="1"/>
  <c r="I20" i="92" s="1"/>
  <c r="O20" i="92" s="1"/>
  <c r="N124" i="92" s="1"/>
  <c r="P124" i="92" s="1"/>
  <c r="T124" i="92" s="1"/>
  <c r="J12" i="91" s="1"/>
  <c r="F90" i="93"/>
  <c r="F91" i="93" s="1"/>
  <c r="K95" i="93"/>
  <c r="F95" i="93"/>
  <c r="F96" i="93" s="1"/>
  <c r="G95" i="93"/>
  <c r="G96" i="93" s="1"/>
  <c r="I95" i="93"/>
  <c r="I96" i="93" s="1"/>
  <c r="E96" i="93"/>
  <c r="K97" i="93" s="1"/>
  <c r="H21" i="92" s="1"/>
  <c r="H95" i="93"/>
  <c r="H96" i="93" s="1"/>
  <c r="O58" i="95"/>
  <c r="H120" i="95" s="1"/>
  <c r="S127" i="95"/>
  <c r="K118" i="66"/>
  <c r="U44" i="96"/>
  <c r="W44" i="96" s="1"/>
  <c r="H64" i="96"/>
  <c r="H65" i="96" s="1"/>
  <c r="H66" i="96" s="1"/>
  <c r="H64" i="93"/>
  <c r="H65" i="93" s="1"/>
  <c r="H66" i="93" s="1"/>
  <c r="H79" i="93"/>
  <c r="H80" i="93" s="1"/>
  <c r="H81" i="93" s="1"/>
  <c r="H79" i="96"/>
  <c r="H80" i="96" s="1"/>
  <c r="H81" i="96" s="1"/>
  <c r="H52" i="93"/>
  <c r="O58" i="85"/>
  <c r="O58" i="78"/>
  <c r="L63" i="78"/>
  <c r="E121" i="78" s="1"/>
  <c r="J64" i="96"/>
  <c r="J65" i="96" s="1"/>
  <c r="J66" i="96" s="1"/>
  <c r="J64" i="93"/>
  <c r="J65" i="93" s="1"/>
  <c r="J66" i="93" s="1"/>
  <c r="N7" i="85"/>
  <c r="N109" i="85" s="1"/>
  <c r="O127" i="85"/>
  <c r="J36" i="66"/>
  <c r="G115" i="66" s="1"/>
  <c r="G109" i="93"/>
  <c r="G110" i="93" s="1"/>
  <c r="G111" i="93" s="1"/>
  <c r="G112" i="93" s="1"/>
  <c r="G109" i="96"/>
  <c r="G110" i="96" s="1"/>
  <c r="G111" i="96" s="1"/>
  <c r="G112" i="96" s="1"/>
  <c r="L14" i="85"/>
  <c r="M14" i="85"/>
  <c r="G116" i="85" s="1"/>
  <c r="P119" i="78"/>
  <c r="S119" i="85"/>
  <c r="L17" i="85"/>
  <c r="L61" i="78"/>
  <c r="E119" i="78" s="1"/>
  <c r="AC115" i="73"/>
  <c r="AL115" i="73"/>
  <c r="X22" i="17"/>
  <c r="L54" i="78"/>
  <c r="E112" i="78" s="1"/>
  <c r="O54" i="78"/>
  <c r="M54" i="78"/>
  <c r="H112" i="78" s="1"/>
  <c r="J32" i="85"/>
  <c r="P118" i="78"/>
  <c r="P118" i="85"/>
  <c r="H15" i="80"/>
  <c r="D15" i="80"/>
  <c r="U108" i="73"/>
  <c r="M16" i="92"/>
  <c r="N16" i="92"/>
  <c r="G120" i="92" s="1"/>
  <c r="I120" i="92" s="1"/>
  <c r="K129" i="92"/>
  <c r="O13" i="95"/>
  <c r="N64" i="95"/>
  <c r="D124" i="78"/>
  <c r="M14" i="78"/>
  <c r="G116" i="78" s="1"/>
  <c r="L51" i="66"/>
  <c r="E108" i="66" s="1"/>
  <c r="M7" i="85"/>
  <c r="G109" i="85" s="1"/>
  <c r="F64" i="93"/>
  <c r="F65" i="93" s="1"/>
  <c r="F66" i="93" s="1"/>
  <c r="L7" i="85"/>
  <c r="F64" i="96"/>
  <c r="F65" i="96" s="1"/>
  <c r="F66" i="96" s="1"/>
  <c r="J29" i="85"/>
  <c r="W15" i="91"/>
  <c r="AI15" i="91"/>
  <c r="Z15" i="91"/>
  <c r="L87" i="95"/>
  <c r="O67" i="95"/>
  <c r="H129" i="95" s="1"/>
  <c r="U124" i="73"/>
  <c r="W124" i="73" s="1"/>
  <c r="D45" i="80" s="1"/>
  <c r="N19" i="92"/>
  <c r="G123" i="92" s="1"/>
  <c r="I123" i="92" s="1"/>
  <c r="M19" i="92"/>
  <c r="L123" i="95"/>
  <c r="M123" i="95" s="1"/>
  <c r="I18" i="94" s="1"/>
  <c r="S112" i="95"/>
  <c r="Q131" i="95"/>
  <c r="I124" i="95"/>
  <c r="M67" i="78"/>
  <c r="H125" i="78" s="1"/>
  <c r="L67" i="78"/>
  <c r="E125" i="78" s="1"/>
  <c r="O67" i="78"/>
  <c r="J89" i="66"/>
  <c r="H124" i="66" s="1"/>
  <c r="K124" i="66"/>
  <c r="N10" i="85"/>
  <c r="N112" i="85" s="1"/>
  <c r="P112" i="85" s="1"/>
  <c r="J79" i="93"/>
  <c r="J80" i="93" s="1"/>
  <c r="J81" i="93" s="1"/>
  <c r="J79" i="96"/>
  <c r="J80" i="96" s="1"/>
  <c r="J81" i="96" s="1"/>
  <c r="E66" i="96"/>
  <c r="K67" i="96" s="1"/>
  <c r="K65" i="96"/>
  <c r="G65" i="96"/>
  <c r="G66" i="96" s="1"/>
  <c r="J104" i="96"/>
  <c r="J105" i="96" s="1"/>
  <c r="J106" i="96" s="1"/>
  <c r="J104" i="93"/>
  <c r="J105" i="93" s="1"/>
  <c r="J106" i="93" s="1"/>
  <c r="D39" i="83"/>
  <c r="N23" i="85"/>
  <c r="N125" i="85" s="1"/>
  <c r="P125" i="85" s="1"/>
  <c r="T125" i="85" s="1"/>
  <c r="J15" i="84" s="1"/>
  <c r="O6" i="17"/>
  <c r="W6" i="17"/>
  <c r="N6" i="17"/>
  <c r="V6" i="17"/>
  <c r="N11" i="92"/>
  <c r="G115" i="92" s="1"/>
  <c r="I115" i="92" s="1"/>
  <c r="M115" i="92" s="1"/>
  <c r="I17" i="91" s="1"/>
  <c r="M11" i="92"/>
  <c r="M61" i="78"/>
  <c r="H119" i="78" s="1"/>
  <c r="O20" i="78"/>
  <c r="J29" i="66"/>
  <c r="G108" i="66" s="1"/>
  <c r="M7" i="78"/>
  <c r="G109" i="78" s="1"/>
  <c r="L7" i="78"/>
  <c r="L19" i="85"/>
  <c r="M19" i="85"/>
  <c r="G121" i="85" s="1"/>
  <c r="O25" i="91"/>
  <c r="O21" i="95"/>
  <c r="K120" i="66"/>
  <c r="O12" i="17"/>
  <c r="W12" i="17"/>
  <c r="N12" i="17"/>
  <c r="V12" i="17"/>
  <c r="J122" i="85"/>
  <c r="L42" i="85"/>
  <c r="S116" i="85"/>
  <c r="J39" i="85"/>
  <c r="L61" i="85"/>
  <c r="E119" i="85" s="1"/>
  <c r="L60" i="85"/>
  <c r="E118" i="85" s="1"/>
  <c r="M60" i="85"/>
  <c r="H118" i="85" s="1"/>
  <c r="O60" i="85"/>
  <c r="E96" i="96"/>
  <c r="K97" i="96" s="1"/>
  <c r="K95" i="96"/>
  <c r="F95" i="96"/>
  <c r="F96" i="96" s="1"/>
  <c r="G95" i="96"/>
  <c r="G96" i="96" s="1"/>
  <c r="I95" i="96"/>
  <c r="I96" i="96" s="1"/>
  <c r="I97" i="96" s="1"/>
  <c r="H95" i="96"/>
  <c r="H96" i="96" s="1"/>
  <c r="M18" i="92"/>
  <c r="N18" i="92"/>
  <c r="G122" i="92" s="1"/>
  <c r="I122" i="92" s="1"/>
  <c r="AL113" i="73"/>
  <c r="AC113" i="73"/>
  <c r="L36" i="95"/>
  <c r="N65" i="95"/>
  <c r="X13" i="17"/>
  <c r="L63" i="85"/>
  <c r="E121" i="85" s="1"/>
  <c r="R127" i="85"/>
  <c r="U110" i="73"/>
  <c r="W110" i="73" s="1"/>
  <c r="F127" i="73"/>
  <c r="K117" i="78"/>
  <c r="M51" i="78"/>
  <c r="H109" i="78" s="1"/>
  <c r="L51" i="78"/>
  <c r="E109" i="78" s="1"/>
  <c r="O51" i="78"/>
  <c r="J29" i="78"/>
  <c r="D114" i="78"/>
  <c r="E106" i="93"/>
  <c r="K105" i="93"/>
  <c r="G105" i="93"/>
  <c r="G106" i="93" s="1"/>
  <c r="O65" i="95"/>
  <c r="H127" i="95" s="1"/>
  <c r="H104" i="96"/>
  <c r="H105" i="96" s="1"/>
  <c r="H106" i="96" s="1"/>
  <c r="D36" i="83"/>
  <c r="H104" i="93"/>
  <c r="H105" i="93" s="1"/>
  <c r="H106" i="93" s="1"/>
  <c r="P112" i="95"/>
  <c r="G52" i="41"/>
  <c r="J109" i="96"/>
  <c r="J110" i="96" s="1"/>
  <c r="J111" i="96" s="1"/>
  <c r="J112" i="96" s="1"/>
  <c r="J109" i="93"/>
  <c r="J110" i="93" s="1"/>
  <c r="J111" i="93" s="1"/>
  <c r="J112" i="93" s="1"/>
  <c r="I14" i="92" s="1"/>
  <c r="O14" i="92" s="1"/>
  <c r="N118" i="92" s="1"/>
  <c r="P118" i="92" s="1"/>
  <c r="T118" i="92" s="1"/>
  <c r="J23" i="91" s="1"/>
  <c r="N14" i="85"/>
  <c r="N116" i="85" s="1"/>
  <c r="P116" i="85" s="1"/>
  <c r="P116" i="78"/>
  <c r="P21" i="17"/>
  <c r="P121" i="78"/>
  <c r="S121" i="85"/>
  <c r="J89" i="85"/>
  <c r="F104" i="96"/>
  <c r="F105" i="96" s="1"/>
  <c r="F104" i="93"/>
  <c r="F105" i="93" s="1"/>
  <c r="D34" i="83"/>
  <c r="L23" i="85"/>
  <c r="M23" i="85"/>
  <c r="G125" i="85" s="1"/>
  <c r="J45" i="85"/>
  <c r="L67" i="85"/>
  <c r="E125" i="85" s="1"/>
  <c r="O67" i="85"/>
  <c r="M67" i="85"/>
  <c r="H125" i="85" s="1"/>
  <c r="S112" i="85"/>
  <c r="J82" i="85"/>
  <c r="L16" i="66"/>
  <c r="D117" i="66" s="1"/>
  <c r="L60" i="78"/>
  <c r="E118" i="78" s="1"/>
  <c r="M60" i="78"/>
  <c r="H118" i="78" s="1"/>
  <c r="O60" i="78"/>
  <c r="L16" i="85"/>
  <c r="M16" i="85"/>
  <c r="G118" i="85" s="1"/>
  <c r="L77" i="85"/>
  <c r="K80" i="93"/>
  <c r="E81" i="93"/>
  <c r="K82" i="93" s="1"/>
  <c r="H10" i="92" s="1"/>
  <c r="G80" i="93"/>
  <c r="G81" i="93" s="1"/>
  <c r="E91" i="96"/>
  <c r="G90" i="96"/>
  <c r="G91" i="96" s="1"/>
  <c r="H90" i="96"/>
  <c r="H91" i="96" s="1"/>
  <c r="F90" i="96"/>
  <c r="I90" i="96"/>
  <c r="K90" i="96"/>
  <c r="K62" i="96"/>
  <c r="I62" i="96"/>
  <c r="L125" i="95"/>
  <c r="N12" i="92"/>
  <c r="G116" i="92" s="1"/>
  <c r="I116" i="92" s="1"/>
  <c r="M12" i="92"/>
  <c r="P125" i="78"/>
  <c r="P115" i="73"/>
  <c r="T115" i="73" s="1"/>
  <c r="J9" i="79" s="1"/>
  <c r="N127" i="73"/>
  <c r="R5" i="79"/>
  <c r="O25" i="79"/>
  <c r="M19" i="79"/>
  <c r="N19" i="79" s="1"/>
  <c r="N50" i="95"/>
  <c r="N21" i="95"/>
  <c r="W11" i="17"/>
  <c r="O11" i="17"/>
  <c r="V11" i="17"/>
  <c r="N11" i="17"/>
  <c r="P7" i="17"/>
  <c r="W17" i="17"/>
  <c r="O17" i="17"/>
  <c r="N17" i="17"/>
  <c r="V17" i="17"/>
  <c r="U35" i="93"/>
  <c r="W35" i="93" s="1"/>
  <c r="J52" i="93"/>
  <c r="R26" i="68"/>
  <c r="R28" i="68" s="1"/>
  <c r="M27" i="69" s="1"/>
  <c r="P5" i="69"/>
  <c r="M25" i="69"/>
  <c r="P109" i="78"/>
  <c r="I104" i="93"/>
  <c r="I105" i="93" s="1"/>
  <c r="I104" i="96"/>
  <c r="I105" i="96" s="1"/>
  <c r="D37" i="83"/>
  <c r="O25" i="74"/>
  <c r="R6" i="74"/>
  <c r="P22" i="17"/>
  <c r="W23" i="17"/>
  <c r="N23" i="17"/>
  <c r="O23" i="17"/>
  <c r="V23" i="17"/>
  <c r="L54" i="66"/>
  <c r="E111" i="66" s="1"/>
  <c r="M10" i="78"/>
  <c r="G112" i="78" s="1"/>
  <c r="L10" i="78"/>
  <c r="L10" i="66"/>
  <c r="D111" i="66" s="1"/>
  <c r="S118" i="85"/>
  <c r="Q6" i="79"/>
  <c r="S6" i="79" s="1"/>
  <c r="O53" i="95"/>
  <c r="H115" i="95" s="1"/>
  <c r="T108" i="73"/>
  <c r="O20" i="95"/>
  <c r="O6" i="95"/>
  <c r="W8" i="17"/>
  <c r="O8" i="17"/>
  <c r="V8" i="17"/>
  <c r="N8" i="17"/>
  <c r="D22" i="76"/>
  <c r="D8" i="76"/>
  <c r="D21" i="76"/>
  <c r="D6" i="76"/>
  <c r="D20" i="76"/>
  <c r="D9" i="76"/>
  <c r="D23" i="76"/>
  <c r="D12" i="76"/>
  <c r="D16" i="76"/>
  <c r="D5" i="76"/>
  <c r="D17" i="76"/>
  <c r="D15" i="76"/>
  <c r="D19" i="76"/>
  <c r="D13" i="76"/>
  <c r="D11" i="76"/>
  <c r="D7" i="76"/>
  <c r="D10" i="76"/>
  <c r="D14" i="76"/>
  <c r="H32" i="80" s="1"/>
  <c r="H33" i="80" s="1"/>
  <c r="D4" i="76"/>
  <c r="D9" i="89"/>
  <c r="F9" i="89" s="1"/>
  <c r="F8" i="82"/>
  <c r="J73" i="85"/>
  <c r="L7" i="66"/>
  <c r="D108" i="66" s="1"/>
  <c r="J73" i="66"/>
  <c r="H108" i="66" s="1"/>
  <c r="K108" i="66"/>
  <c r="M19" i="78"/>
  <c r="G121" i="78" s="1"/>
  <c r="L19" i="78"/>
  <c r="L19" i="66"/>
  <c r="D120" i="66" s="1"/>
  <c r="K105" i="96"/>
  <c r="E106" i="96"/>
  <c r="G105" i="96"/>
  <c r="G106" i="96" s="1"/>
  <c r="W32" i="96"/>
  <c r="L114" i="92"/>
  <c r="L43" i="95"/>
  <c r="N23" i="95"/>
  <c r="H14" i="80"/>
  <c r="M14" i="79"/>
  <c r="N14" i="79" s="1"/>
  <c r="D14" i="80"/>
  <c r="D121" i="92"/>
  <c r="F121" i="92" s="1"/>
  <c r="U121" i="92" s="1"/>
  <c r="W121" i="92" s="1"/>
  <c r="P17" i="92"/>
  <c r="O131" i="95"/>
  <c r="R131" i="95"/>
  <c r="AB33" i="94"/>
  <c r="AD33" i="94" s="1"/>
  <c r="AF33" i="94" s="1"/>
  <c r="AG33" i="94" s="1"/>
  <c r="T33" i="94"/>
  <c r="U33" i="94" s="1"/>
  <c r="L5" i="118" l="1"/>
  <c r="F5" i="118"/>
  <c r="F6" i="118" s="1"/>
  <c r="J5" i="118"/>
  <c r="J6" i="118" s="1"/>
  <c r="K5" i="118"/>
  <c r="K6" i="118" s="1"/>
  <c r="G5" i="118"/>
  <c r="G6" i="118" s="1"/>
  <c r="H5" i="118"/>
  <c r="H6" i="118" s="1"/>
  <c r="I5" i="118"/>
  <c r="I6" i="118" s="1"/>
  <c r="G40" i="118"/>
  <c r="H40" i="118"/>
  <c r="I40" i="118"/>
  <c r="J40" i="118"/>
  <c r="F40" i="118"/>
  <c r="K40" i="118"/>
  <c r="L40" i="118"/>
  <c r="F109" i="118"/>
  <c r="F124" i="125" s="1"/>
  <c r="F127" i="125" s="1"/>
  <c r="J109" i="118"/>
  <c r="J124" i="125" s="1"/>
  <c r="J127" i="125" s="1"/>
  <c r="G109" i="118"/>
  <c r="G124" i="125" s="1"/>
  <c r="G127" i="125" s="1"/>
  <c r="H109" i="118"/>
  <c r="H124" i="125" s="1"/>
  <c r="H127" i="125" s="1"/>
  <c r="I109" i="118"/>
  <c r="I124" i="125" s="1"/>
  <c r="I127" i="125" s="1"/>
  <c r="K109" i="118"/>
  <c r="K124" i="125" s="1"/>
  <c r="K127" i="125" s="1"/>
  <c r="L109" i="118"/>
  <c r="L124" i="125" s="1"/>
  <c r="O7" i="117"/>
  <c r="Q13" i="104"/>
  <c r="V13" i="112"/>
  <c r="H39" i="118"/>
  <c r="I39" i="118"/>
  <c r="J39" i="118"/>
  <c r="K39" i="118"/>
  <c r="G39" i="118"/>
  <c r="L39" i="118"/>
  <c r="F39" i="118"/>
  <c r="J7" i="117"/>
  <c r="M7" i="117"/>
  <c r="Q17" i="104"/>
  <c r="V17" i="112"/>
  <c r="N7" i="117"/>
  <c r="K88" i="118"/>
  <c r="J88" i="118"/>
  <c r="L88" i="118"/>
  <c r="F88" i="118"/>
  <c r="I88" i="118"/>
  <c r="G88" i="118"/>
  <c r="L7" i="117"/>
  <c r="L46" i="118"/>
  <c r="J46" i="118"/>
  <c r="F46" i="118"/>
  <c r="G46" i="118"/>
  <c r="K46" i="118"/>
  <c r="H46" i="118"/>
  <c r="I46" i="118"/>
  <c r="Q19" i="104"/>
  <c r="V19" i="112"/>
  <c r="P7" i="117"/>
  <c r="Q22" i="104"/>
  <c r="V22" i="112"/>
  <c r="K7" i="117"/>
  <c r="H11" i="118"/>
  <c r="J11" i="118"/>
  <c r="I11" i="118"/>
  <c r="F11" i="118"/>
  <c r="K11" i="118"/>
  <c r="G11" i="118"/>
  <c r="L11" i="118"/>
  <c r="Q5" i="104"/>
  <c r="S4" i="112"/>
  <c r="L4" i="104"/>
  <c r="R25" i="94"/>
  <c r="AJ25" i="104"/>
  <c r="AX131" i="108"/>
  <c r="Z8" i="104"/>
  <c r="AB8" i="104" s="1"/>
  <c r="R8" i="104"/>
  <c r="S8" i="104" s="1"/>
  <c r="N74" i="95"/>
  <c r="Z12" i="104"/>
  <c r="AB12" i="104" s="1"/>
  <c r="R12" i="104"/>
  <c r="S12" i="104" s="1"/>
  <c r="Z19" i="104"/>
  <c r="AB19" i="104" s="1"/>
  <c r="S19" i="104"/>
  <c r="Z17" i="104"/>
  <c r="AB17" i="104" s="1"/>
  <c r="J121" i="95"/>
  <c r="L121" i="95" s="1"/>
  <c r="J116" i="95"/>
  <c r="N88" i="95"/>
  <c r="J118" i="95"/>
  <c r="L118" i="95" s="1"/>
  <c r="N28" i="95"/>
  <c r="F121" i="95"/>
  <c r="N78" i="95"/>
  <c r="N79" i="95"/>
  <c r="L128" i="95"/>
  <c r="AX18" i="104"/>
  <c r="K22" i="104"/>
  <c r="L22" i="104" s="1"/>
  <c r="E25" i="104"/>
  <c r="K13" i="104"/>
  <c r="L13" i="104" s="1"/>
  <c r="R13" i="104" s="1"/>
  <c r="S13" i="104" s="1"/>
  <c r="K5" i="104"/>
  <c r="D25" i="104"/>
  <c r="D30" i="104" s="1"/>
  <c r="T122" i="95"/>
  <c r="J11" i="94" s="1"/>
  <c r="Q60" i="95"/>
  <c r="H77" i="93"/>
  <c r="F9" i="92" s="1"/>
  <c r="L40" i="78"/>
  <c r="K114" i="85"/>
  <c r="L114" i="85" s="1"/>
  <c r="M114" i="85" s="1"/>
  <c r="I22" i="84" s="1"/>
  <c r="T122" i="85"/>
  <c r="J12" i="84" s="1"/>
  <c r="L122" i="85"/>
  <c r="T119" i="85"/>
  <c r="J18" i="84" s="1"/>
  <c r="K115" i="85"/>
  <c r="O13" i="85"/>
  <c r="I110" i="85"/>
  <c r="T120" i="95"/>
  <c r="J23" i="94" s="1"/>
  <c r="T118" i="95"/>
  <c r="J22" i="94" s="1"/>
  <c r="J124" i="78"/>
  <c r="I121" i="85"/>
  <c r="N82" i="95"/>
  <c r="F112" i="66"/>
  <c r="F109" i="66"/>
  <c r="I110" i="66"/>
  <c r="I123" i="85"/>
  <c r="L37" i="78"/>
  <c r="M116" i="92"/>
  <c r="I22" i="91" s="1"/>
  <c r="O8" i="85"/>
  <c r="I108" i="85"/>
  <c r="G62" i="93"/>
  <c r="E6" i="92" s="1"/>
  <c r="J62" i="93"/>
  <c r="I6" i="92" s="1"/>
  <c r="O6" i="92" s="1"/>
  <c r="N110" i="92" s="1"/>
  <c r="P110" i="92" s="1"/>
  <c r="T110" i="92" s="1"/>
  <c r="J4" i="91" s="1"/>
  <c r="Q56" i="95"/>
  <c r="F124" i="85"/>
  <c r="I118" i="95"/>
  <c r="F116" i="66"/>
  <c r="J116" i="66" s="1"/>
  <c r="H10" i="69" s="1"/>
  <c r="K10" i="69" s="1"/>
  <c r="L10" i="69" s="1"/>
  <c r="O10" i="69" s="1"/>
  <c r="Q10" i="69" s="1"/>
  <c r="L31" i="85"/>
  <c r="N131" i="95"/>
  <c r="I113" i="78"/>
  <c r="Y18" i="17"/>
  <c r="AA18" i="17" s="1"/>
  <c r="Y19" i="17"/>
  <c r="H12" i="68" s="1"/>
  <c r="K12" i="68" s="1"/>
  <c r="Q12" i="68" s="1"/>
  <c r="O9" i="78"/>
  <c r="I111" i="78"/>
  <c r="I122" i="78"/>
  <c r="T122" i="78"/>
  <c r="J12" i="74" s="1"/>
  <c r="T124" i="85"/>
  <c r="J14" i="84" s="1"/>
  <c r="O8" i="78"/>
  <c r="F117" i="66"/>
  <c r="J114" i="78"/>
  <c r="L114" i="78" s="1"/>
  <c r="I113" i="66"/>
  <c r="I114" i="66"/>
  <c r="G72" i="96"/>
  <c r="I117" i="85"/>
  <c r="N35" i="95"/>
  <c r="I111" i="85"/>
  <c r="M87" i="96"/>
  <c r="L117" i="78"/>
  <c r="M117" i="78" s="1"/>
  <c r="I10" i="74" s="1"/>
  <c r="I116" i="85"/>
  <c r="L34" i="85"/>
  <c r="O20" i="85"/>
  <c r="I120" i="85"/>
  <c r="H77" i="96"/>
  <c r="F122" i="78"/>
  <c r="D110" i="78"/>
  <c r="F110" i="78" s="1"/>
  <c r="H6" i="74" s="1"/>
  <c r="F122" i="85"/>
  <c r="H12" i="91" s="1"/>
  <c r="J114" i="95"/>
  <c r="L114" i="95" s="1"/>
  <c r="L75" i="85"/>
  <c r="F115" i="85"/>
  <c r="H9" i="94" s="1"/>
  <c r="Q8" i="95"/>
  <c r="O18" i="85"/>
  <c r="Q57" i="95"/>
  <c r="F114" i="78"/>
  <c r="H22" i="74" s="1"/>
  <c r="K122" i="78"/>
  <c r="E118" i="95"/>
  <c r="F118" i="95" s="1"/>
  <c r="T120" i="78"/>
  <c r="J19" i="74" s="1"/>
  <c r="F113" i="66"/>
  <c r="J113" i="66" s="1"/>
  <c r="H22" i="69" s="1"/>
  <c r="K22" i="69" s="1"/>
  <c r="L22" i="69" s="1"/>
  <c r="O22" i="69" s="1"/>
  <c r="Q22" i="69" s="1"/>
  <c r="M15" i="92"/>
  <c r="D119" i="92" s="1"/>
  <c r="F119" i="92" s="1"/>
  <c r="H92" i="93"/>
  <c r="F20" i="92" s="1"/>
  <c r="D114" i="95"/>
  <c r="F114" i="95" s="1"/>
  <c r="Q13" i="95"/>
  <c r="O21" i="85"/>
  <c r="F92" i="93"/>
  <c r="J118" i="85"/>
  <c r="I114" i="95"/>
  <c r="J110" i="85"/>
  <c r="I110" i="78"/>
  <c r="F72" i="96"/>
  <c r="I115" i="85"/>
  <c r="O15" i="85"/>
  <c r="K113" i="95"/>
  <c r="F67" i="93"/>
  <c r="O15" i="78"/>
  <c r="L75" i="78"/>
  <c r="I118" i="66"/>
  <c r="I72" i="96"/>
  <c r="I114" i="78"/>
  <c r="F107" i="66"/>
  <c r="I122" i="85"/>
  <c r="M122" i="85" s="1"/>
  <c r="I12" i="84" s="1"/>
  <c r="Q10" i="95"/>
  <c r="L80" i="78"/>
  <c r="K118" i="78"/>
  <c r="L118" i="78" s="1"/>
  <c r="K113" i="78"/>
  <c r="T123" i="78"/>
  <c r="J13" i="74" s="1"/>
  <c r="J72" i="96"/>
  <c r="J117" i="85"/>
  <c r="L86" i="85"/>
  <c r="L30" i="78"/>
  <c r="H72" i="96"/>
  <c r="L111" i="85"/>
  <c r="Q52" i="95"/>
  <c r="M123" i="92"/>
  <c r="I20" i="91" s="1"/>
  <c r="K110" i="78"/>
  <c r="L110" i="78" s="1"/>
  <c r="L41" i="85"/>
  <c r="G116" i="95"/>
  <c r="I116" i="95" s="1"/>
  <c r="G77" i="96"/>
  <c r="N81" i="95"/>
  <c r="I122" i="66"/>
  <c r="F122" i="66"/>
  <c r="I121" i="66"/>
  <c r="J121" i="66" s="1"/>
  <c r="H12" i="69" s="1"/>
  <c r="K12" i="69" s="1"/>
  <c r="L12" i="69" s="1"/>
  <c r="O12" i="69" s="1"/>
  <c r="Q12" i="69" s="1"/>
  <c r="F111" i="85"/>
  <c r="H7" i="94" s="1"/>
  <c r="J124" i="85"/>
  <c r="L124" i="85" s="1"/>
  <c r="D120" i="85"/>
  <c r="F120" i="85" s="1"/>
  <c r="O9" i="85"/>
  <c r="D111" i="78"/>
  <c r="F111" i="78" s="1"/>
  <c r="K123" i="85"/>
  <c r="L123" i="85" s="1"/>
  <c r="M120" i="92"/>
  <c r="I11" i="91" s="1"/>
  <c r="F113" i="78"/>
  <c r="H17" i="74" s="1"/>
  <c r="T127" i="95"/>
  <c r="J13" i="94" s="1"/>
  <c r="L78" i="78"/>
  <c r="F61" i="93"/>
  <c r="F62" i="93" s="1"/>
  <c r="D6" i="92" s="1"/>
  <c r="J111" i="78"/>
  <c r="L111" i="78" s="1"/>
  <c r="M111" i="78" s="1"/>
  <c r="I7" i="74" s="1"/>
  <c r="F113" i="85"/>
  <c r="H17" i="84" s="1"/>
  <c r="K117" i="85"/>
  <c r="Y15" i="17"/>
  <c r="I113" i="85"/>
  <c r="J113" i="78"/>
  <c r="L113" i="78" s="1"/>
  <c r="M113" i="78" s="1"/>
  <c r="I17" i="74" s="1"/>
  <c r="K123" i="78"/>
  <c r="K108" i="78"/>
  <c r="I123" i="78"/>
  <c r="H62" i="93"/>
  <c r="F6" i="92" s="1"/>
  <c r="M6" i="92" s="1"/>
  <c r="F120" i="95"/>
  <c r="I124" i="85"/>
  <c r="J109" i="66"/>
  <c r="H6" i="69" s="1"/>
  <c r="K6" i="69" s="1"/>
  <c r="L6" i="69" s="1"/>
  <c r="O6" i="69" s="1"/>
  <c r="Q6" i="69" s="1"/>
  <c r="Q7" i="95"/>
  <c r="J82" i="96"/>
  <c r="V33" i="94"/>
  <c r="W33" i="94" s="1"/>
  <c r="X33" i="94" s="1"/>
  <c r="N15" i="92"/>
  <c r="G119" i="92" s="1"/>
  <c r="I119" i="92" s="1"/>
  <c r="M119" i="92" s="1"/>
  <c r="I10" i="91" s="1"/>
  <c r="Q16" i="95"/>
  <c r="L88" i="78"/>
  <c r="K121" i="85"/>
  <c r="L121" i="85" s="1"/>
  <c r="T123" i="85"/>
  <c r="J13" i="84" s="1"/>
  <c r="Q22" i="95"/>
  <c r="I115" i="66"/>
  <c r="N75" i="95"/>
  <c r="K62" i="93"/>
  <c r="H6" i="92" s="1"/>
  <c r="P127" i="73"/>
  <c r="Y7" i="17"/>
  <c r="AA7" i="17" s="1"/>
  <c r="G122" i="95"/>
  <c r="I122" i="95" s="1"/>
  <c r="Y13" i="17"/>
  <c r="AA13" i="17" s="1"/>
  <c r="L83" i="85"/>
  <c r="J122" i="95"/>
  <c r="L122" i="95" s="1"/>
  <c r="N31" i="95"/>
  <c r="I120" i="66"/>
  <c r="F61" i="96"/>
  <c r="F62" i="96" s="1"/>
  <c r="Q15" i="95"/>
  <c r="F118" i="66"/>
  <c r="L35" i="78"/>
  <c r="I124" i="78"/>
  <c r="I119" i="66"/>
  <c r="X9" i="17"/>
  <c r="Y9" i="17" s="1"/>
  <c r="H8" i="68" s="1"/>
  <c r="K8" i="68" s="1"/>
  <c r="M87" i="93"/>
  <c r="N44" i="95"/>
  <c r="F114" i="85"/>
  <c r="H22" i="94" s="1"/>
  <c r="O22" i="78"/>
  <c r="T118" i="78"/>
  <c r="J11" i="74" s="1"/>
  <c r="T119" i="78"/>
  <c r="J18" i="74" s="1"/>
  <c r="F123" i="85"/>
  <c r="H13" i="91" s="1"/>
  <c r="Q9" i="95"/>
  <c r="K119" i="78"/>
  <c r="O21" i="78"/>
  <c r="T108" i="78"/>
  <c r="J4" i="74" s="1"/>
  <c r="D14" i="61" s="1"/>
  <c r="U117" i="95"/>
  <c r="W117" i="95" s="1"/>
  <c r="AO117" i="95" s="1"/>
  <c r="L72" i="85"/>
  <c r="I8" i="92"/>
  <c r="M72" i="93"/>
  <c r="X12" i="17"/>
  <c r="L124" i="78"/>
  <c r="L115" i="78"/>
  <c r="M115" i="78" s="1"/>
  <c r="I9" i="74" s="1"/>
  <c r="J122" i="78"/>
  <c r="L42" i="78"/>
  <c r="L74" i="85"/>
  <c r="K110" i="85"/>
  <c r="F120" i="66"/>
  <c r="F113" i="95"/>
  <c r="I112" i="78"/>
  <c r="I40" i="74"/>
  <c r="O12" i="78"/>
  <c r="O11" i="85"/>
  <c r="P6" i="17"/>
  <c r="O11" i="78"/>
  <c r="G92" i="93"/>
  <c r="E20" i="92" s="1"/>
  <c r="T49" i="41"/>
  <c r="F82" i="96"/>
  <c r="O22" i="85"/>
  <c r="K126" i="95"/>
  <c r="L126" i="95" s="1"/>
  <c r="J77" i="96"/>
  <c r="K120" i="78"/>
  <c r="L120" i="78" s="1"/>
  <c r="I112" i="66"/>
  <c r="J112" i="66" s="1"/>
  <c r="H17" i="69" s="1"/>
  <c r="K17" i="69" s="1"/>
  <c r="L17" i="69" s="1"/>
  <c r="O17" i="69" s="1"/>
  <c r="Q17" i="69" s="1"/>
  <c r="Y10" i="17"/>
  <c r="H18" i="68" s="1"/>
  <c r="K18" i="68" s="1"/>
  <c r="Q18" i="68" s="1"/>
  <c r="I121" i="78"/>
  <c r="O12" i="85"/>
  <c r="J113" i="95"/>
  <c r="K112" i="78"/>
  <c r="Q66" i="95"/>
  <c r="D123" i="78"/>
  <c r="F123" i="78" s="1"/>
  <c r="H13" i="74" s="1"/>
  <c r="F124" i="78"/>
  <c r="I67" i="96"/>
  <c r="I128" i="95"/>
  <c r="Q14" i="95"/>
  <c r="Q59" i="95"/>
  <c r="T120" i="85"/>
  <c r="J19" i="84" s="1"/>
  <c r="L79" i="78"/>
  <c r="P23" i="17"/>
  <c r="J129" i="95"/>
  <c r="L129" i="95" s="1"/>
  <c r="I107" i="66"/>
  <c r="I120" i="78"/>
  <c r="M120" i="78" s="1"/>
  <c r="I19" i="74" s="1"/>
  <c r="T116" i="78"/>
  <c r="J23" i="74" s="1"/>
  <c r="I113" i="95"/>
  <c r="I119" i="78"/>
  <c r="J110" i="66"/>
  <c r="H7" i="69" s="1"/>
  <c r="K7" i="69" s="1"/>
  <c r="L7" i="69" s="1"/>
  <c r="O7" i="69" s="1"/>
  <c r="Q7" i="69" s="1"/>
  <c r="H82" i="96"/>
  <c r="F115" i="95"/>
  <c r="Q53" i="95"/>
  <c r="J112" i="78"/>
  <c r="K120" i="95"/>
  <c r="K121" i="78"/>
  <c r="N89" i="95"/>
  <c r="L36" i="78"/>
  <c r="J77" i="93"/>
  <c r="I9" i="92" s="1"/>
  <c r="O9" i="92" s="1"/>
  <c r="N113" i="92" s="1"/>
  <c r="P113" i="92" s="1"/>
  <c r="T113" i="92" s="1"/>
  <c r="J7" i="91" s="1"/>
  <c r="F116" i="78"/>
  <c r="H23" i="74" s="1"/>
  <c r="F119" i="66"/>
  <c r="F101" i="93"/>
  <c r="F102" i="93" s="1"/>
  <c r="D22" i="92" s="1"/>
  <c r="N22" i="92" s="1"/>
  <c r="G126" i="92" s="1"/>
  <c r="I126" i="92" s="1"/>
  <c r="M126" i="92" s="1"/>
  <c r="I14" i="91" s="1"/>
  <c r="F114" i="66"/>
  <c r="J114" i="66" s="1"/>
  <c r="H9" i="69" s="1"/>
  <c r="K9" i="69" s="1"/>
  <c r="L9" i="69" s="1"/>
  <c r="O9" i="69" s="1"/>
  <c r="Q9" i="69" s="1"/>
  <c r="X20" i="17"/>
  <c r="Y21" i="17"/>
  <c r="AA21" i="17" s="1"/>
  <c r="K112" i="85"/>
  <c r="J121" i="78"/>
  <c r="Q51" i="95"/>
  <c r="W49" i="96"/>
  <c r="G121" i="95"/>
  <c r="I121" i="95" s="1"/>
  <c r="Q20" i="95"/>
  <c r="Y22" i="17"/>
  <c r="AA22" i="17" s="1"/>
  <c r="T116" i="85"/>
  <c r="J23" i="84" s="1"/>
  <c r="Q12" i="95"/>
  <c r="S131" i="95"/>
  <c r="F67" i="96"/>
  <c r="N42" i="95"/>
  <c r="O17" i="78"/>
  <c r="G77" i="93"/>
  <c r="E9" i="92" s="1"/>
  <c r="I119" i="85"/>
  <c r="M117" i="95"/>
  <c r="I17" i="94" s="1"/>
  <c r="U117" i="92"/>
  <c r="W117" i="92" s="1"/>
  <c r="F123" i="66"/>
  <c r="J123" i="66" s="1"/>
  <c r="H14" i="69" s="1"/>
  <c r="L28" i="85"/>
  <c r="J108" i="85"/>
  <c r="L108" i="85" s="1"/>
  <c r="M108" i="85" s="1"/>
  <c r="P8" i="17"/>
  <c r="X11" i="17"/>
  <c r="E127" i="78"/>
  <c r="H127" i="85"/>
  <c r="P14" i="17"/>
  <c r="J108" i="78"/>
  <c r="L28" i="78"/>
  <c r="D108" i="78"/>
  <c r="F108" i="78" s="1"/>
  <c r="H4" i="74" s="1"/>
  <c r="O6" i="78"/>
  <c r="K120" i="85"/>
  <c r="L84" i="85"/>
  <c r="F101" i="96"/>
  <c r="F102" i="96" s="1"/>
  <c r="M102" i="96" s="1"/>
  <c r="F128" i="95"/>
  <c r="G107" i="96"/>
  <c r="N127" i="78"/>
  <c r="T125" i="78"/>
  <c r="J15" i="74" s="1"/>
  <c r="B13" i="83" s="1"/>
  <c r="I116" i="78"/>
  <c r="I112" i="85"/>
  <c r="S127" i="78"/>
  <c r="K116" i="95"/>
  <c r="X14" i="17"/>
  <c r="J120" i="85"/>
  <c r="L40" i="85"/>
  <c r="T108" i="85"/>
  <c r="J4" i="84" s="1"/>
  <c r="J115" i="85"/>
  <c r="L115" i="85" s="1"/>
  <c r="L35" i="85"/>
  <c r="P20" i="17"/>
  <c r="Q54" i="95"/>
  <c r="M62" i="96"/>
  <c r="I118" i="85"/>
  <c r="T121" i="78"/>
  <c r="J20" i="74" s="1"/>
  <c r="G107" i="93"/>
  <c r="E23" i="92" s="1"/>
  <c r="M122" i="92"/>
  <c r="I19" i="91" s="1"/>
  <c r="E127" i="85"/>
  <c r="L36" i="85"/>
  <c r="F115" i="66"/>
  <c r="D108" i="85"/>
  <c r="F108" i="85" s="1"/>
  <c r="H4" i="84" s="1"/>
  <c r="O6" i="85"/>
  <c r="D115" i="78"/>
  <c r="F115" i="78" s="1"/>
  <c r="O13" i="78"/>
  <c r="L43" i="78"/>
  <c r="J123" i="78"/>
  <c r="D120" i="78"/>
  <c r="F120" i="78" s="1"/>
  <c r="O18" i="78"/>
  <c r="J113" i="85"/>
  <c r="L113" i="85" s="1"/>
  <c r="L33" i="85"/>
  <c r="F106" i="93"/>
  <c r="F107" i="93" s="1"/>
  <c r="D23" i="92" s="1"/>
  <c r="J107" i="96"/>
  <c r="W49" i="93"/>
  <c r="F106" i="96"/>
  <c r="F107" i="96" s="1"/>
  <c r="G97" i="96"/>
  <c r="Q58" i="95"/>
  <c r="J82" i="93"/>
  <c r="I10" i="92" s="1"/>
  <c r="O10" i="92" s="1"/>
  <c r="N114" i="92" s="1"/>
  <c r="P114" i="92" s="1"/>
  <c r="T114" i="92" s="1"/>
  <c r="J8" i="91" s="1"/>
  <c r="K130" i="66"/>
  <c r="F82" i="93"/>
  <c r="D10" i="92" s="1"/>
  <c r="H107" i="93"/>
  <c r="F23" i="92" s="1"/>
  <c r="J97" i="96"/>
  <c r="F97" i="96"/>
  <c r="L38" i="78"/>
  <c r="T112" i="85"/>
  <c r="J8" i="84" s="1"/>
  <c r="J67" i="93"/>
  <c r="I7" i="92" s="1"/>
  <c r="O7" i="92" s="1"/>
  <c r="N111" i="92" s="1"/>
  <c r="P111" i="92" s="1"/>
  <c r="H82" i="93"/>
  <c r="F10" i="92" s="1"/>
  <c r="H67" i="93"/>
  <c r="F7" i="92" s="1"/>
  <c r="M9" i="79"/>
  <c r="N9" i="79" s="1"/>
  <c r="U115" i="73"/>
  <c r="W115" i="73" s="1"/>
  <c r="K112" i="95"/>
  <c r="L112" i="95" s="1"/>
  <c r="F76" i="93"/>
  <c r="F77" i="93" s="1"/>
  <c r="I77" i="96"/>
  <c r="K77" i="96"/>
  <c r="J92" i="96"/>
  <c r="G92" i="96"/>
  <c r="G82" i="93"/>
  <c r="E10" i="92" s="1"/>
  <c r="H131" i="95"/>
  <c r="H127" i="78"/>
  <c r="X6" i="17"/>
  <c r="J67" i="96"/>
  <c r="G67" i="96"/>
  <c r="I125" i="78"/>
  <c r="K77" i="93"/>
  <c r="H9" i="92" s="1"/>
  <c r="I77" i="93"/>
  <c r="G9" i="92" s="1"/>
  <c r="F76" i="96"/>
  <c r="F77" i="96" s="1"/>
  <c r="J4" i="79"/>
  <c r="T127" i="73"/>
  <c r="D116" i="92"/>
  <c r="F116" i="92" s="1"/>
  <c r="U116" i="92" s="1"/>
  <c r="W116" i="92" s="1"/>
  <c r="P12" i="92"/>
  <c r="I125" i="85"/>
  <c r="N36" i="95"/>
  <c r="J120" i="95"/>
  <c r="D121" i="85"/>
  <c r="F121" i="85" s="1"/>
  <c r="O19" i="85"/>
  <c r="I107" i="96"/>
  <c r="K107" i="96"/>
  <c r="F108" i="66"/>
  <c r="X14" i="79"/>
  <c r="Q14" i="79"/>
  <c r="D19" i="80"/>
  <c r="H107" i="96"/>
  <c r="G126" i="95"/>
  <c r="I126" i="95" s="1"/>
  <c r="H10" i="74"/>
  <c r="U117" i="78"/>
  <c r="W117" i="78" s="1"/>
  <c r="P17" i="17"/>
  <c r="P11" i="17"/>
  <c r="D127" i="95"/>
  <c r="Q21" i="95"/>
  <c r="H92" i="96"/>
  <c r="L45" i="85"/>
  <c r="J125" i="85"/>
  <c r="F119" i="95"/>
  <c r="K107" i="93"/>
  <c r="H23" i="92" s="1"/>
  <c r="I107" i="93"/>
  <c r="G23" i="92" s="1"/>
  <c r="E127" i="95"/>
  <c r="Q65" i="95"/>
  <c r="I109" i="78"/>
  <c r="G127" i="78"/>
  <c r="F116" i="95"/>
  <c r="J109" i="85"/>
  <c r="L29" i="85"/>
  <c r="I109" i="85"/>
  <c r="G127" i="85"/>
  <c r="G119" i="95"/>
  <c r="I119" i="95" s="1"/>
  <c r="W108" i="73"/>
  <c r="T118" i="85"/>
  <c r="J11" i="84" s="1"/>
  <c r="H97" i="93"/>
  <c r="F21" i="92" s="1"/>
  <c r="G97" i="93"/>
  <c r="E21" i="92" s="1"/>
  <c r="D20" i="92"/>
  <c r="O16" i="78"/>
  <c r="D118" i="78"/>
  <c r="F118" i="78" s="1"/>
  <c r="J125" i="78"/>
  <c r="L45" i="78"/>
  <c r="L73" i="78"/>
  <c r="K109" i="78"/>
  <c r="M125" i="95"/>
  <c r="I20" i="94" s="1"/>
  <c r="U125" i="95"/>
  <c r="W125" i="95" s="1"/>
  <c r="S127" i="85"/>
  <c r="H12" i="84"/>
  <c r="M127" i="73"/>
  <c r="L119" i="95"/>
  <c r="J97" i="93"/>
  <c r="I21" i="92" s="1"/>
  <c r="O21" i="92" s="1"/>
  <c r="N125" i="92" s="1"/>
  <c r="P125" i="92" s="1"/>
  <c r="T125" i="92" s="1"/>
  <c r="J13" i="91" s="1"/>
  <c r="F97" i="93"/>
  <c r="K92" i="93"/>
  <c r="H20" i="92" s="1"/>
  <c r="I92" i="93"/>
  <c r="G20" i="92" s="1"/>
  <c r="I67" i="93"/>
  <c r="G7" i="92" s="1"/>
  <c r="X16" i="17"/>
  <c r="I118" i="78"/>
  <c r="T121" i="85"/>
  <c r="J20" i="84" s="1"/>
  <c r="L39" i="78"/>
  <c r="J119" i="78"/>
  <c r="I111" i="66"/>
  <c r="H14" i="94"/>
  <c r="H14" i="84"/>
  <c r="H14" i="91"/>
  <c r="I115" i="95"/>
  <c r="F122" i="95"/>
  <c r="I82" i="96"/>
  <c r="I117" i="66"/>
  <c r="X5" i="17"/>
  <c r="O14" i="78"/>
  <c r="L116" i="78"/>
  <c r="I120" i="95"/>
  <c r="D121" i="78"/>
  <c r="F121" i="78" s="1"/>
  <c r="O19" i="78"/>
  <c r="O16" i="85"/>
  <c r="D118" i="85"/>
  <c r="F118" i="85" s="1"/>
  <c r="D122" i="92"/>
  <c r="F122" i="92" s="1"/>
  <c r="U122" i="92" s="1"/>
  <c r="W122" i="92" s="1"/>
  <c r="P18" i="92"/>
  <c r="G127" i="95"/>
  <c r="I127" i="95" s="1"/>
  <c r="I108" i="66"/>
  <c r="H13" i="83"/>
  <c r="D13" i="83"/>
  <c r="K127" i="95"/>
  <c r="N87" i="95"/>
  <c r="O17" i="85"/>
  <c r="D119" i="85"/>
  <c r="F119" i="85" s="1"/>
  <c r="D116" i="85"/>
  <c r="F116" i="85" s="1"/>
  <c r="O14" i="85"/>
  <c r="Q23" i="95"/>
  <c r="D129" i="95"/>
  <c r="F129" i="95" s="1"/>
  <c r="H6" i="94"/>
  <c r="H6" i="84"/>
  <c r="H6" i="91"/>
  <c r="F111" i="66"/>
  <c r="X23" i="17"/>
  <c r="T109" i="78"/>
  <c r="P127" i="78"/>
  <c r="M29" i="69"/>
  <c r="Q19" i="79"/>
  <c r="S19" i="79" s="1"/>
  <c r="K92" i="96"/>
  <c r="I92" i="96"/>
  <c r="L82" i="85"/>
  <c r="K118" i="85"/>
  <c r="L118" i="85" s="1"/>
  <c r="O23" i="85"/>
  <c r="D125" i="85"/>
  <c r="F125" i="85" s="1"/>
  <c r="L89" i="85"/>
  <c r="K125" i="85"/>
  <c r="P131" i="95"/>
  <c r="T112" i="95"/>
  <c r="L39" i="85"/>
  <c r="J119" i="85"/>
  <c r="L119" i="85" s="1"/>
  <c r="H12" i="74"/>
  <c r="H17" i="94"/>
  <c r="H17" i="91"/>
  <c r="M17" i="91" s="1"/>
  <c r="N17" i="91" s="1"/>
  <c r="M124" i="95"/>
  <c r="I19" i="94" s="1"/>
  <c r="U124" i="95"/>
  <c r="W124" i="95" s="1"/>
  <c r="D123" i="92"/>
  <c r="F123" i="92" s="1"/>
  <c r="U123" i="92" s="1"/>
  <c r="W123" i="92" s="1"/>
  <c r="P19" i="92"/>
  <c r="D109" i="85"/>
  <c r="O7" i="85"/>
  <c r="J112" i="85"/>
  <c r="L32" i="85"/>
  <c r="M112" i="96"/>
  <c r="P109" i="85"/>
  <c r="N127" i="85"/>
  <c r="U123" i="95"/>
  <c r="W123" i="95" s="1"/>
  <c r="D7" i="92"/>
  <c r="Q9" i="79"/>
  <c r="S9" i="79" s="1"/>
  <c r="K125" i="78"/>
  <c r="L89" i="78"/>
  <c r="M111" i="85"/>
  <c r="I7" i="84" s="1"/>
  <c r="I129" i="95"/>
  <c r="AT123" i="95"/>
  <c r="AQ121" i="92"/>
  <c r="N43" i="95"/>
  <c r="J127" i="95"/>
  <c r="L73" i="85"/>
  <c r="K109" i="85"/>
  <c r="D25" i="76"/>
  <c r="X8" i="17"/>
  <c r="G112" i="95"/>
  <c r="O10" i="78"/>
  <c r="D112" i="78"/>
  <c r="F112" i="78" s="1"/>
  <c r="X17" i="17"/>
  <c r="E112" i="95"/>
  <c r="Q50" i="95"/>
  <c r="F91" i="96"/>
  <c r="F92" i="96" s="1"/>
  <c r="I82" i="93"/>
  <c r="G10" i="92" s="1"/>
  <c r="J107" i="93"/>
  <c r="I23" i="92" s="1"/>
  <c r="O23" i="92" s="1"/>
  <c r="N127" i="92" s="1"/>
  <c r="P127" i="92" s="1"/>
  <c r="T127" i="92" s="1"/>
  <c r="J15" i="91" s="1"/>
  <c r="L29" i="78"/>
  <c r="J109" i="78"/>
  <c r="H97" i="96"/>
  <c r="P12" i="17"/>
  <c r="Q67" i="95"/>
  <c r="D109" i="78"/>
  <c r="O7" i="78"/>
  <c r="D115" i="92"/>
  <c r="F115" i="92" s="1"/>
  <c r="U115" i="92" s="1"/>
  <c r="W115" i="92" s="1"/>
  <c r="P11" i="92"/>
  <c r="H67" i="96"/>
  <c r="Q64" i="95"/>
  <c r="E126" i="95"/>
  <c r="F126" i="95" s="1"/>
  <c r="P16" i="92"/>
  <c r="D120" i="92"/>
  <c r="F120" i="92" s="1"/>
  <c r="U120" i="92" s="1"/>
  <c r="W120" i="92" s="1"/>
  <c r="H10" i="94"/>
  <c r="H10" i="84"/>
  <c r="H10" i="91"/>
  <c r="E14" i="92"/>
  <c r="M112" i="93"/>
  <c r="I97" i="93"/>
  <c r="G21" i="92" s="1"/>
  <c r="G67" i="93"/>
  <c r="E7" i="92" s="1"/>
  <c r="P16" i="17"/>
  <c r="I124" i="66"/>
  <c r="J124" i="66" s="1"/>
  <c r="H15" i="69" s="1"/>
  <c r="K15" i="69" s="1"/>
  <c r="L15" i="69" s="1"/>
  <c r="D112" i="85"/>
  <c r="F112" i="85" s="1"/>
  <c r="O10" i="85"/>
  <c r="Q6" i="95"/>
  <c r="G82" i="96"/>
  <c r="D125" i="78"/>
  <c r="F125" i="78" s="1"/>
  <c r="O23" i="78"/>
  <c r="P5" i="17"/>
  <c r="B13" i="61"/>
  <c r="I25" i="79"/>
  <c r="I30" i="74" s="1"/>
  <c r="L80" i="85"/>
  <c r="K116" i="85"/>
  <c r="L116" i="85" s="1"/>
  <c r="M116" i="85" s="1"/>
  <c r="I23" i="84" s="1"/>
  <c r="L129" i="92"/>
  <c r="F119" i="78"/>
  <c r="L115" i="95"/>
  <c r="Z4" i="104" l="1"/>
  <c r="AB4" i="104" s="1"/>
  <c r="R4" i="104"/>
  <c r="S4" i="104" s="1"/>
  <c r="L116" i="95"/>
  <c r="M116" i="95" s="1"/>
  <c r="I8" i="94" s="1"/>
  <c r="B18" i="111"/>
  <c r="F18" i="111" s="1"/>
  <c r="B15" i="105"/>
  <c r="Z22" i="104"/>
  <c r="AB22" i="104" s="1"/>
  <c r="R22" i="104"/>
  <c r="S22" i="104" s="1"/>
  <c r="S17" i="104"/>
  <c r="Z13" i="104"/>
  <c r="AB13" i="104" s="1"/>
  <c r="L5" i="104"/>
  <c r="K25" i="104"/>
  <c r="J117" i="66"/>
  <c r="H11" i="69" s="1"/>
  <c r="K11" i="69" s="1"/>
  <c r="L11" i="69" s="1"/>
  <c r="M123" i="85"/>
  <c r="I13" i="84" s="1"/>
  <c r="H9" i="91"/>
  <c r="M9" i="91" s="1"/>
  <c r="N9" i="91" s="1"/>
  <c r="Y9" i="91" s="1"/>
  <c r="AA9" i="91" s="1"/>
  <c r="L113" i="95"/>
  <c r="U113" i="95" s="1"/>
  <c r="W113" i="95" s="1"/>
  <c r="AO113" i="95" s="1"/>
  <c r="M121" i="85"/>
  <c r="I20" i="84" s="1"/>
  <c r="H21" i="68"/>
  <c r="K21" i="68" s="1"/>
  <c r="M110" i="78"/>
  <c r="I6" i="74" s="1"/>
  <c r="M114" i="95"/>
  <c r="I6" i="94" s="1"/>
  <c r="H22" i="91"/>
  <c r="M22" i="91" s="1"/>
  <c r="N22" i="91" s="1"/>
  <c r="Y22" i="91" s="1"/>
  <c r="AA22" i="91" s="1"/>
  <c r="M22" i="92"/>
  <c r="H9" i="84"/>
  <c r="AA19" i="17"/>
  <c r="H6" i="68"/>
  <c r="K6" i="68" s="1"/>
  <c r="L123" i="78"/>
  <c r="M115" i="85"/>
  <c r="I9" i="84" s="1"/>
  <c r="M72" i="96"/>
  <c r="U111" i="85"/>
  <c r="W111" i="85" s="1"/>
  <c r="AQ115" i="95" s="1"/>
  <c r="H12" i="94"/>
  <c r="M10" i="74"/>
  <c r="N10" i="74" s="1"/>
  <c r="Q10" i="74" s="1"/>
  <c r="S10" i="74" s="1"/>
  <c r="J115" i="66"/>
  <c r="H23" i="69" s="1"/>
  <c r="K23" i="69" s="1"/>
  <c r="L23" i="69" s="1"/>
  <c r="O23" i="69" s="1"/>
  <c r="Q23" i="69" s="1"/>
  <c r="M121" i="95"/>
  <c r="I10" i="94" s="1"/>
  <c r="L122" i="78"/>
  <c r="U122" i="78" s="1"/>
  <c r="W122" i="78" s="1"/>
  <c r="M124" i="78"/>
  <c r="I14" i="74" s="1"/>
  <c r="L117" i="85"/>
  <c r="M117" i="85" s="1"/>
  <c r="I10" i="84" s="1"/>
  <c r="M10" i="84" s="1"/>
  <c r="N10" i="84" s="1"/>
  <c r="U122" i="85"/>
  <c r="W122" i="85" s="1"/>
  <c r="AQ126" i="95" s="1"/>
  <c r="L110" i="85"/>
  <c r="U110" i="85" s="1"/>
  <c r="W110" i="85" s="1"/>
  <c r="AQ114" i="95" s="1"/>
  <c r="J122" i="66"/>
  <c r="H13" i="69" s="1"/>
  <c r="K13" i="69" s="1"/>
  <c r="L13" i="69" s="1"/>
  <c r="O13" i="69" s="1"/>
  <c r="Q13" i="69" s="1"/>
  <c r="N12" i="68"/>
  <c r="J107" i="66"/>
  <c r="H4" i="69" s="1"/>
  <c r="K4" i="69" s="1"/>
  <c r="H19" i="94"/>
  <c r="H19" i="91"/>
  <c r="M19" i="91" s="1"/>
  <c r="N19" i="91" s="1"/>
  <c r="Y19" i="91" s="1"/>
  <c r="AA19" i="91" s="1"/>
  <c r="Y12" i="17"/>
  <c r="H9" i="68" s="1"/>
  <c r="K9" i="68" s="1"/>
  <c r="U124" i="78"/>
  <c r="W124" i="78" s="1"/>
  <c r="H15" i="68"/>
  <c r="K15" i="68" s="1"/>
  <c r="Q15" i="68" s="1"/>
  <c r="M62" i="93"/>
  <c r="Y6" i="17"/>
  <c r="AA6" i="17" s="1"/>
  <c r="N6" i="92"/>
  <c r="G110" i="92" s="1"/>
  <c r="I110" i="92" s="1"/>
  <c r="U114" i="78"/>
  <c r="W114" i="78" s="1"/>
  <c r="M124" i="85"/>
  <c r="I14" i="84" s="1"/>
  <c r="M14" i="84" s="1"/>
  <c r="N14" i="84" s="1"/>
  <c r="Y14" i="84" s="1"/>
  <c r="AA14" i="84" s="1"/>
  <c r="M12" i="84"/>
  <c r="N12" i="84" s="1"/>
  <c r="Y12" i="84" s="1"/>
  <c r="AA12" i="84" s="1"/>
  <c r="M118" i="85"/>
  <c r="I11" i="84" s="1"/>
  <c r="M123" i="78"/>
  <c r="I13" i="74" s="1"/>
  <c r="M13" i="74" s="1"/>
  <c r="N13" i="74" s="1"/>
  <c r="Q13" i="74" s="1"/>
  <c r="S13" i="74" s="1"/>
  <c r="J119" i="66"/>
  <c r="H19" i="69" s="1"/>
  <c r="K19" i="69" s="1"/>
  <c r="L19" i="69" s="1"/>
  <c r="O19" i="69" s="1"/>
  <c r="Q19" i="69" s="1"/>
  <c r="M114" i="78"/>
  <c r="I22" i="74" s="1"/>
  <c r="M22" i="74" s="1"/>
  <c r="N22" i="74" s="1"/>
  <c r="Q22" i="74" s="1"/>
  <c r="S22" i="74" s="1"/>
  <c r="P15" i="92"/>
  <c r="H14" i="61"/>
  <c r="U123" i="85"/>
  <c r="W123" i="85" s="1"/>
  <c r="AQ127" i="95" s="1"/>
  <c r="J118" i="66"/>
  <c r="H18" i="69" s="1"/>
  <c r="K18" i="69" s="1"/>
  <c r="L18" i="69" s="1"/>
  <c r="O18" i="69" s="1"/>
  <c r="Q18" i="69" s="1"/>
  <c r="U111" i="78"/>
  <c r="W111" i="78" s="1"/>
  <c r="AA15" i="17"/>
  <c r="H11" i="68"/>
  <c r="K11" i="68" s="1"/>
  <c r="H7" i="91"/>
  <c r="U124" i="85"/>
  <c r="W124" i="85" s="1"/>
  <c r="AQ128" i="95" s="1"/>
  <c r="H14" i="74"/>
  <c r="L108" i="78"/>
  <c r="M108" i="78" s="1"/>
  <c r="I4" i="74" s="1"/>
  <c r="M4" i="74" s="1"/>
  <c r="M122" i="95"/>
  <c r="I11" i="94" s="1"/>
  <c r="H7" i="74"/>
  <c r="M7" i="74" s="1"/>
  <c r="N7" i="74" s="1"/>
  <c r="Q7" i="74" s="1"/>
  <c r="S7" i="74" s="1"/>
  <c r="H7" i="84"/>
  <c r="M7" i="84" s="1"/>
  <c r="N7" i="84" s="1"/>
  <c r="AA10" i="17"/>
  <c r="L112" i="78"/>
  <c r="M112" i="78" s="1"/>
  <c r="I8" i="74" s="1"/>
  <c r="U114" i="85"/>
  <c r="W114" i="85" s="1"/>
  <c r="AQ118" i="95" s="1"/>
  <c r="H13" i="94"/>
  <c r="AA9" i="17"/>
  <c r="U119" i="92"/>
  <c r="W119" i="92" s="1"/>
  <c r="AT121" i="95" s="1"/>
  <c r="H22" i="84"/>
  <c r="M22" i="84" s="1"/>
  <c r="N22" i="84" s="1"/>
  <c r="Y22" i="84" s="1"/>
  <c r="AA22" i="84" s="1"/>
  <c r="M6" i="74"/>
  <c r="N6" i="74" s="1"/>
  <c r="Q6" i="74" s="1"/>
  <c r="S6" i="74" s="1"/>
  <c r="N18" i="68"/>
  <c r="P18" i="68" s="1"/>
  <c r="P26" i="68" s="1"/>
  <c r="P28" i="68" s="1"/>
  <c r="H13" i="84"/>
  <c r="M13" i="84" s="1"/>
  <c r="N13" i="84" s="1"/>
  <c r="Q13" i="84" s="1"/>
  <c r="R13" i="84" s="1"/>
  <c r="H24" i="68"/>
  <c r="K24" i="68" s="1"/>
  <c r="N24" i="68" s="1"/>
  <c r="U118" i="95"/>
  <c r="W118" i="95" s="1"/>
  <c r="AO118" i="95" s="1"/>
  <c r="L121" i="78"/>
  <c r="M121" i="78" s="1"/>
  <c r="I20" i="74" s="1"/>
  <c r="J120" i="66"/>
  <c r="H20" i="69" s="1"/>
  <c r="K20" i="69" s="1"/>
  <c r="L20" i="69" s="1"/>
  <c r="O20" i="69" s="1"/>
  <c r="Q20" i="69" s="1"/>
  <c r="H14" i="68"/>
  <c r="K14" i="68" s="1"/>
  <c r="Q14" i="68" s="1"/>
  <c r="Y8" i="17"/>
  <c r="H7" i="68" s="1"/>
  <c r="K7" i="68" s="1"/>
  <c r="U110" i="78"/>
  <c r="W110" i="78" s="1"/>
  <c r="M126" i="95"/>
  <c r="I12" i="94" s="1"/>
  <c r="M102" i="93"/>
  <c r="U128" i="95"/>
  <c r="W128" i="95" s="1"/>
  <c r="AO128" i="95" s="1"/>
  <c r="L119" i="78"/>
  <c r="M119" i="78" s="1"/>
  <c r="I18" i="74" s="1"/>
  <c r="U123" i="78"/>
  <c r="W123" i="78" s="1"/>
  <c r="M128" i="95"/>
  <c r="I14" i="94" s="1"/>
  <c r="Y23" i="17"/>
  <c r="AA23" i="17" s="1"/>
  <c r="P6" i="92"/>
  <c r="Y20" i="17"/>
  <c r="AA20" i="17" s="1"/>
  <c r="M110" i="85"/>
  <c r="I6" i="84" s="1"/>
  <c r="M6" i="84" s="1"/>
  <c r="N6" i="84" s="1"/>
  <c r="U126" i="95"/>
  <c r="W126" i="95" s="1"/>
  <c r="AO126" i="95" s="1"/>
  <c r="H19" i="84"/>
  <c r="I127" i="85"/>
  <c r="M107" i="96"/>
  <c r="O8" i="92"/>
  <c r="N112" i="92" s="1"/>
  <c r="P112" i="92" s="1"/>
  <c r="T112" i="92" s="1"/>
  <c r="J6" i="91" s="1"/>
  <c r="N8" i="92"/>
  <c r="G112" i="92" s="1"/>
  <c r="I112" i="92" s="1"/>
  <c r="M112" i="92" s="1"/>
  <c r="I6" i="91" s="1"/>
  <c r="M82" i="96"/>
  <c r="U114" i="95"/>
  <c r="W114" i="95" s="1"/>
  <c r="AR114" i="95" s="1"/>
  <c r="M8" i="92"/>
  <c r="B13" i="80"/>
  <c r="K14" i="69"/>
  <c r="L14" i="69" s="1"/>
  <c r="O14" i="69" s="1"/>
  <c r="Q14" i="69" s="1"/>
  <c r="U113" i="78"/>
  <c r="W113" i="78" s="1"/>
  <c r="U108" i="85"/>
  <c r="W108" i="85" s="1"/>
  <c r="U121" i="95"/>
  <c r="W121" i="95" s="1"/>
  <c r="L112" i="85"/>
  <c r="M112" i="85" s="1"/>
  <c r="I8" i="84" s="1"/>
  <c r="W127" i="73"/>
  <c r="L120" i="95"/>
  <c r="U120" i="95" s="1"/>
  <c r="W120" i="95" s="1"/>
  <c r="AO120" i="95" s="1"/>
  <c r="L120" i="85"/>
  <c r="M120" i="85" s="1"/>
  <c r="I19" i="84" s="1"/>
  <c r="L127" i="95"/>
  <c r="M127" i="95" s="1"/>
  <c r="I13" i="94" s="1"/>
  <c r="M17" i="74"/>
  <c r="N17" i="74" s="1"/>
  <c r="Q17" i="74" s="1"/>
  <c r="S17" i="74" s="1"/>
  <c r="M119" i="85"/>
  <c r="I18" i="84" s="1"/>
  <c r="D110" i="92"/>
  <c r="F110" i="92" s="1"/>
  <c r="J111" i="66"/>
  <c r="H8" i="69" s="1"/>
  <c r="K8" i="69" s="1"/>
  <c r="L8" i="69" s="1"/>
  <c r="O8" i="69" s="1"/>
  <c r="Q8" i="69" s="1"/>
  <c r="U116" i="78"/>
  <c r="W116" i="78" s="1"/>
  <c r="U127" i="73"/>
  <c r="D131" i="95"/>
  <c r="Y14" i="17"/>
  <c r="AA14" i="17" s="1"/>
  <c r="AQ117" i="92"/>
  <c r="AT119" i="95"/>
  <c r="H19" i="74"/>
  <c r="M19" i="74" s="1"/>
  <c r="N19" i="74" s="1"/>
  <c r="Q19" i="74" s="1"/>
  <c r="S19" i="74" s="1"/>
  <c r="U120" i="78"/>
  <c r="W120" i="78" s="1"/>
  <c r="M113" i="85"/>
  <c r="I17" i="84" s="1"/>
  <c r="M17" i="84" s="1"/>
  <c r="N17" i="84" s="1"/>
  <c r="U113" i="85"/>
  <c r="W113" i="85" s="1"/>
  <c r="AQ117" i="95" s="1"/>
  <c r="AR117" i="95" s="1"/>
  <c r="H4" i="94"/>
  <c r="U108" i="78"/>
  <c r="W108" i="78" s="1"/>
  <c r="K131" i="95"/>
  <c r="I127" i="78"/>
  <c r="H9" i="74"/>
  <c r="M9" i="74" s="1"/>
  <c r="N9" i="74" s="1"/>
  <c r="Q9" i="74" s="1"/>
  <c r="S9" i="74" s="1"/>
  <c r="U115" i="78"/>
  <c r="W115" i="78" s="1"/>
  <c r="M10" i="91"/>
  <c r="N10" i="91" s="1"/>
  <c r="Q10" i="91" s="1"/>
  <c r="R10" i="91" s="1"/>
  <c r="H4" i="91"/>
  <c r="U115" i="95"/>
  <c r="W115" i="95" s="1"/>
  <c r="AR115" i="95" s="1"/>
  <c r="M67" i="96"/>
  <c r="Y11" i="17"/>
  <c r="AA11" i="17" s="1"/>
  <c r="U115" i="85"/>
  <c r="W115" i="85" s="1"/>
  <c r="AQ119" i="95" s="1"/>
  <c r="M118" i="95"/>
  <c r="I22" i="94" s="1"/>
  <c r="M92" i="96"/>
  <c r="M92" i="93"/>
  <c r="D9" i="92"/>
  <c r="M77" i="93"/>
  <c r="M97" i="96"/>
  <c r="E131" i="95"/>
  <c r="U122" i="95"/>
  <c r="W122" i="95" s="1"/>
  <c r="M77" i="96"/>
  <c r="O15" i="69"/>
  <c r="Q15" i="69" s="1"/>
  <c r="H16" i="68"/>
  <c r="K16" i="68" s="1"/>
  <c r="H8" i="94"/>
  <c r="H8" i="84"/>
  <c r="H8" i="91"/>
  <c r="N14" i="92"/>
  <c r="G118" i="92" s="1"/>
  <c r="I118" i="92" s="1"/>
  <c r="M118" i="92" s="1"/>
  <c r="I23" i="91" s="1"/>
  <c r="M14" i="92"/>
  <c r="G131" i="95"/>
  <c r="I112" i="95"/>
  <c r="T12" i="68"/>
  <c r="V12" i="68" s="1"/>
  <c r="X12" i="68" s="1"/>
  <c r="AQ122" i="92"/>
  <c r="AT124" i="95"/>
  <c r="AU124" i="95" s="1"/>
  <c r="AB18" i="68"/>
  <c r="AC18" i="68" s="1"/>
  <c r="AD18" i="68" s="1"/>
  <c r="AE18" i="68" s="1"/>
  <c r="R17" i="69" s="1"/>
  <c r="S17" i="69" s="1"/>
  <c r="T18" i="68"/>
  <c r="V18" i="68" s="1"/>
  <c r="X18" i="68" s="1"/>
  <c r="Y18" i="68" s="1"/>
  <c r="Z18" i="68" s="1"/>
  <c r="L109" i="85"/>
  <c r="M109" i="85" s="1"/>
  <c r="I5" i="84" s="1"/>
  <c r="J127" i="85"/>
  <c r="L4" i="69"/>
  <c r="Y17" i="17"/>
  <c r="J108" i="66"/>
  <c r="O11" i="69"/>
  <c r="Q11" i="69" s="1"/>
  <c r="M116" i="78"/>
  <c r="I23" i="74" s="1"/>
  <c r="M23" i="74" s="1"/>
  <c r="N23" i="74" s="1"/>
  <c r="F109" i="78"/>
  <c r="D127" i="78"/>
  <c r="Q8" i="68"/>
  <c r="N8" i="68"/>
  <c r="H8" i="74"/>
  <c r="M8" i="74" s="1"/>
  <c r="N8" i="74" s="1"/>
  <c r="AT125" i="95"/>
  <c r="AU125" i="95" s="1"/>
  <c r="AQ123" i="92"/>
  <c r="N15" i="68"/>
  <c r="H12" i="61"/>
  <c r="D12" i="61"/>
  <c r="H20" i="94"/>
  <c r="U121" i="85"/>
  <c r="W121" i="85" s="1"/>
  <c r="AQ125" i="95" s="1"/>
  <c r="AR125" i="95" s="1"/>
  <c r="H20" i="84"/>
  <c r="M20" i="84" s="1"/>
  <c r="N20" i="84" s="1"/>
  <c r="H20" i="91"/>
  <c r="M20" i="91" s="1"/>
  <c r="N20" i="91" s="1"/>
  <c r="J25" i="79"/>
  <c r="J30" i="74" s="1"/>
  <c r="B14" i="61"/>
  <c r="Y33" i="94"/>
  <c r="AA33" i="94" s="1"/>
  <c r="AH33" i="94" s="1"/>
  <c r="AI33" i="94" s="1"/>
  <c r="AK33" i="94" s="1"/>
  <c r="P127" i="85"/>
  <c r="T109" i="85"/>
  <c r="AO124" i="95"/>
  <c r="H23" i="84"/>
  <c r="M23" i="84" s="1"/>
  <c r="N23" i="84" s="1"/>
  <c r="H23" i="94"/>
  <c r="H23" i="91"/>
  <c r="U116" i="85"/>
  <c r="W116" i="85" s="1"/>
  <c r="AQ120" i="95" s="1"/>
  <c r="H20" i="74"/>
  <c r="U121" i="78"/>
  <c r="W121" i="78" s="1"/>
  <c r="M115" i="95"/>
  <c r="I7" i="94" s="1"/>
  <c r="J131" i="95"/>
  <c r="K127" i="78"/>
  <c r="L125" i="78"/>
  <c r="M125" i="78" s="1"/>
  <c r="I15" i="74" s="1"/>
  <c r="N20" i="92"/>
  <c r="G124" i="92" s="1"/>
  <c r="I124" i="92" s="1"/>
  <c r="M124" i="92" s="1"/>
  <c r="I12" i="91" s="1"/>
  <c r="M12" i="91" s="1"/>
  <c r="N12" i="91" s="1"/>
  <c r="M20" i="92"/>
  <c r="Y13" i="84"/>
  <c r="AA13" i="84" s="1"/>
  <c r="M119" i="95"/>
  <c r="I9" i="94" s="1"/>
  <c r="L125" i="85"/>
  <c r="U125" i="85" s="1"/>
  <c r="W125" i="85" s="1"/>
  <c r="M82" i="93"/>
  <c r="F127" i="95"/>
  <c r="S14" i="79"/>
  <c r="D30" i="80" s="1"/>
  <c r="D26" i="80"/>
  <c r="M110" i="92"/>
  <c r="AT118" i="95"/>
  <c r="AQ116" i="92"/>
  <c r="N7" i="92"/>
  <c r="G111" i="92" s="1"/>
  <c r="M7" i="92"/>
  <c r="AU123" i="95"/>
  <c r="AO123" i="95"/>
  <c r="H15" i="94"/>
  <c r="H15" i="91"/>
  <c r="H15" i="84"/>
  <c r="M97" i="93"/>
  <c r="D21" i="92"/>
  <c r="Q12" i="84"/>
  <c r="R12" i="84" s="1"/>
  <c r="AO125" i="95"/>
  <c r="N23" i="92"/>
  <c r="G127" i="92" s="1"/>
  <c r="I127" i="92" s="1"/>
  <c r="M127" i="92" s="1"/>
  <c r="I15" i="91" s="1"/>
  <c r="M23" i="92"/>
  <c r="T111" i="92"/>
  <c r="Y16" i="17"/>
  <c r="AT122" i="95"/>
  <c r="AQ120" i="92"/>
  <c r="Q17" i="91"/>
  <c r="R17" i="91" s="1"/>
  <c r="Y17" i="91"/>
  <c r="AA17" i="91" s="1"/>
  <c r="H11" i="91"/>
  <c r="M11" i="91" s="1"/>
  <c r="N11" i="91" s="1"/>
  <c r="H11" i="84"/>
  <c r="H11" i="94"/>
  <c r="U118" i="85"/>
  <c r="W118" i="85" s="1"/>
  <c r="AQ122" i="95" s="1"/>
  <c r="I4" i="84"/>
  <c r="F112" i="95"/>
  <c r="U119" i="95"/>
  <c r="W119" i="95" s="1"/>
  <c r="N10" i="92"/>
  <c r="G114" i="92" s="1"/>
  <c r="I114" i="92" s="1"/>
  <c r="M114" i="92" s="1"/>
  <c r="I8" i="91" s="1"/>
  <c r="M10" i="92"/>
  <c r="H18" i="74"/>
  <c r="M4" i="79"/>
  <c r="Y5" i="17"/>
  <c r="H15" i="74"/>
  <c r="AQ115" i="92"/>
  <c r="AT117" i="95"/>
  <c r="AU117" i="95" s="1"/>
  <c r="AA12" i="17"/>
  <c r="L109" i="78"/>
  <c r="M109" i="78" s="1"/>
  <c r="I5" i="74" s="1"/>
  <c r="J127" i="78"/>
  <c r="N6" i="68"/>
  <c r="Q6" i="68"/>
  <c r="K127" i="85"/>
  <c r="M129" i="95"/>
  <c r="I15" i="94" s="1"/>
  <c r="M67" i="93"/>
  <c r="F109" i="85"/>
  <c r="D127" i="85"/>
  <c r="J4" i="94"/>
  <c r="T131" i="95"/>
  <c r="J5" i="74"/>
  <c r="J25" i="74" s="1"/>
  <c r="T127" i="78"/>
  <c r="U129" i="95"/>
  <c r="W129" i="95" s="1"/>
  <c r="H18" i="94"/>
  <c r="M18" i="94" s="1"/>
  <c r="N18" i="94" s="1"/>
  <c r="T18" i="94" s="1"/>
  <c r="U18" i="94" s="1"/>
  <c r="H18" i="84"/>
  <c r="U119" i="85"/>
  <c r="W119" i="85" s="1"/>
  <c r="AQ123" i="95" s="1"/>
  <c r="AR123" i="95" s="1"/>
  <c r="H18" i="91"/>
  <c r="M18" i="91" s="1"/>
  <c r="N18" i="91" s="1"/>
  <c r="D126" i="92"/>
  <c r="F126" i="92" s="1"/>
  <c r="U126" i="92" s="1"/>
  <c r="W126" i="92" s="1"/>
  <c r="P22" i="92"/>
  <c r="M14" i="91"/>
  <c r="N14" i="91" s="1"/>
  <c r="M118" i="78"/>
  <c r="I11" i="74" s="1"/>
  <c r="U118" i="78"/>
  <c r="W118" i="78" s="1"/>
  <c r="H11" i="74"/>
  <c r="Y14" i="79"/>
  <c r="Z14" i="79" s="1"/>
  <c r="AA14" i="79" s="1"/>
  <c r="T14" i="74" s="1"/>
  <c r="H19" i="80"/>
  <c r="H35" i="80" s="1"/>
  <c r="M107" i="93"/>
  <c r="Q22" i="91" l="1"/>
  <c r="R22" i="91" s="1"/>
  <c r="U116" i="95"/>
  <c r="W116" i="95" s="1"/>
  <c r="AO116" i="95" s="1"/>
  <c r="AX19" i="104"/>
  <c r="M113" i="95"/>
  <c r="I5" i="94" s="1"/>
  <c r="R5" i="104"/>
  <c r="M17" i="94"/>
  <c r="N17" i="94" s="1"/>
  <c r="T17" i="94" s="1"/>
  <c r="U17" i="94" s="1"/>
  <c r="M22" i="94"/>
  <c r="N22" i="94" s="1"/>
  <c r="T22" i="94" s="1"/>
  <c r="U22" i="94" s="1"/>
  <c r="M11" i="94"/>
  <c r="N11" i="94" s="1"/>
  <c r="T11" i="94" s="1"/>
  <c r="U11" i="94" s="1"/>
  <c r="Z5" i="104"/>
  <c r="AB5" i="104" s="1"/>
  <c r="L25" i="104"/>
  <c r="M9" i="84"/>
  <c r="N9" i="84" s="1"/>
  <c r="Y9" i="84" s="1"/>
  <c r="AA9" i="84" s="1"/>
  <c r="Q9" i="91"/>
  <c r="R9" i="91" s="1"/>
  <c r="AA8" i="17"/>
  <c r="M14" i="74"/>
  <c r="N14" i="74" s="1"/>
  <c r="Q14" i="74" s="1"/>
  <c r="S14" i="74" s="1"/>
  <c r="Q21" i="68"/>
  <c r="N21" i="68"/>
  <c r="P21" i="68" s="1"/>
  <c r="M122" i="78"/>
  <c r="I12" i="74" s="1"/>
  <c r="M12" i="74" s="1"/>
  <c r="N12" i="74" s="1"/>
  <c r="Q12" i="74" s="1"/>
  <c r="S12" i="74" s="1"/>
  <c r="AR118" i="95"/>
  <c r="AR128" i="95"/>
  <c r="U117" i="85"/>
  <c r="W117" i="85" s="1"/>
  <c r="AQ121" i="95" s="1"/>
  <c r="M18" i="84"/>
  <c r="N18" i="84" s="1"/>
  <c r="Q24" i="68"/>
  <c r="T24" i="68" s="1"/>
  <c r="V24" i="68" s="1"/>
  <c r="X24" i="68" s="1"/>
  <c r="AR121" i="95"/>
  <c r="U112" i="78"/>
  <c r="W112" i="78" s="1"/>
  <c r="H5" i="68"/>
  <c r="K5" i="68" s="1"/>
  <c r="AO122" i="95"/>
  <c r="M11" i="84"/>
  <c r="N11" i="84" s="1"/>
  <c r="Y11" i="84" s="1"/>
  <c r="AA11" i="84" s="1"/>
  <c r="Q14" i="84"/>
  <c r="R14" i="84" s="1"/>
  <c r="AO114" i="95"/>
  <c r="N14" i="68"/>
  <c r="Y10" i="84"/>
  <c r="AA10" i="84" s="1"/>
  <c r="AE10" i="94" s="1"/>
  <c r="Q10" i="84"/>
  <c r="R10" i="84" s="1"/>
  <c r="N129" i="92"/>
  <c r="M20" i="74"/>
  <c r="N20" i="74" s="1"/>
  <c r="Q20" i="74" s="1"/>
  <c r="S20" i="74" s="1"/>
  <c r="Q19" i="91"/>
  <c r="R19" i="91" s="1"/>
  <c r="P129" i="92"/>
  <c r="H10" i="68"/>
  <c r="K10" i="68" s="1"/>
  <c r="N10" i="68" s="1"/>
  <c r="Q22" i="84"/>
  <c r="R22" i="84" s="1"/>
  <c r="M6" i="91"/>
  <c r="N6" i="91" s="1"/>
  <c r="Y6" i="91" s="1"/>
  <c r="AA6" i="91" s="1"/>
  <c r="AU121" i="95"/>
  <c r="AQ119" i="92"/>
  <c r="AO121" i="95"/>
  <c r="Q11" i="68"/>
  <c r="T11" i="68" s="1"/>
  <c r="V11" i="68" s="1"/>
  <c r="X11" i="68" s="1"/>
  <c r="N11" i="68"/>
  <c r="Q6" i="84"/>
  <c r="R6" i="84" s="1"/>
  <c r="Y6" i="84"/>
  <c r="AA6" i="84" s="1"/>
  <c r="AB6" i="91" s="1"/>
  <c r="H23" i="68"/>
  <c r="K23" i="68" s="1"/>
  <c r="N23" i="68" s="1"/>
  <c r="AR122" i="95"/>
  <c r="AU118" i="95"/>
  <c r="J32" i="74"/>
  <c r="U119" i="78"/>
  <c r="W119" i="78" s="1"/>
  <c r="AR120" i="95"/>
  <c r="AO115" i="95"/>
  <c r="U120" i="85"/>
  <c r="W120" i="85" s="1"/>
  <c r="AQ124" i="95" s="1"/>
  <c r="AR124" i="95" s="1"/>
  <c r="H13" i="68"/>
  <c r="K13" i="68" s="1"/>
  <c r="Q13" i="68" s="1"/>
  <c r="T13" i="68" s="1"/>
  <c r="V13" i="68" s="1"/>
  <c r="X13" i="68" s="1"/>
  <c r="M120" i="95"/>
  <c r="I23" i="94" s="1"/>
  <c r="M18" i="74"/>
  <c r="N18" i="74" s="1"/>
  <c r="Q18" i="74" s="1"/>
  <c r="S18" i="74" s="1"/>
  <c r="L131" i="95"/>
  <c r="Q9" i="84"/>
  <c r="R9" i="84" s="1"/>
  <c r="U127" i="95"/>
  <c r="W127" i="95" s="1"/>
  <c r="AO127" i="95" s="1"/>
  <c r="Y10" i="91"/>
  <c r="AA10" i="91" s="1"/>
  <c r="M8" i="84"/>
  <c r="N8" i="84" s="1"/>
  <c r="Y8" i="84" s="1"/>
  <c r="AA8" i="84" s="1"/>
  <c r="AR126" i="95"/>
  <c r="M19" i="84"/>
  <c r="N19" i="84" s="1"/>
  <c r="Q19" i="84" s="1"/>
  <c r="R19" i="84" s="1"/>
  <c r="P8" i="92"/>
  <c r="D112" i="92"/>
  <c r="F112" i="92" s="1"/>
  <c r="U112" i="92" s="1"/>
  <c r="W112" i="92" s="1"/>
  <c r="U112" i="85"/>
  <c r="W112" i="85" s="1"/>
  <c r="AQ116" i="95" s="1"/>
  <c r="M11" i="74"/>
  <c r="N11" i="74" s="1"/>
  <c r="Q11" i="74" s="1"/>
  <c r="S11" i="74" s="1"/>
  <c r="U125" i="78"/>
  <c r="W125" i="78" s="1"/>
  <c r="AU122" i="95"/>
  <c r="M125" i="85"/>
  <c r="I15" i="84" s="1"/>
  <c r="D12" i="83" s="1"/>
  <c r="N9" i="92"/>
  <c r="G113" i="92" s="1"/>
  <c r="I113" i="92" s="1"/>
  <c r="M113" i="92" s="1"/>
  <c r="I7" i="91" s="1"/>
  <c r="M7" i="91" s="1"/>
  <c r="N7" i="91" s="1"/>
  <c r="M9" i="92"/>
  <c r="L127" i="78"/>
  <c r="M23" i="91"/>
  <c r="N23" i="91" s="1"/>
  <c r="Y23" i="91" s="1"/>
  <c r="AA23" i="91" s="1"/>
  <c r="Y12" i="91"/>
  <c r="AA12" i="91" s="1"/>
  <c r="Q12" i="91"/>
  <c r="R12" i="91" s="1"/>
  <c r="H5" i="94"/>
  <c r="H25" i="94" s="1"/>
  <c r="H5" i="84"/>
  <c r="H5" i="91"/>
  <c r="U109" i="85"/>
  <c r="F127" i="85"/>
  <c r="U112" i="95"/>
  <c r="F131" i="95"/>
  <c r="I111" i="92"/>
  <c r="Q23" i="74"/>
  <c r="S23" i="74" s="1"/>
  <c r="Q8" i="74"/>
  <c r="S8" i="74" s="1"/>
  <c r="H5" i="69"/>
  <c r="J126" i="66"/>
  <c r="P14" i="92"/>
  <c r="D118" i="92"/>
  <c r="F118" i="92" s="1"/>
  <c r="U118" i="92" s="1"/>
  <c r="W118" i="92" s="1"/>
  <c r="AQ120" i="108" s="1"/>
  <c r="AR120" i="108" s="1"/>
  <c r="N16" i="68"/>
  <c r="Q16" i="68"/>
  <c r="Q18" i="84"/>
  <c r="R18" i="84" s="1"/>
  <c r="Y18" i="84"/>
  <c r="AA18" i="84" s="1"/>
  <c r="T6" i="68"/>
  <c r="V6" i="68" s="1"/>
  <c r="X6" i="68" s="1"/>
  <c r="B12" i="83"/>
  <c r="M15" i="74"/>
  <c r="N15" i="74" s="1"/>
  <c r="AO119" i="95"/>
  <c r="AU119" i="95"/>
  <c r="AR119" i="95"/>
  <c r="AQ112" i="95"/>
  <c r="D44" i="61"/>
  <c r="AB18" i="94"/>
  <c r="AD18" i="94" s="1"/>
  <c r="AQ126" i="92"/>
  <c r="AT128" i="95"/>
  <c r="AU128" i="95" s="1"/>
  <c r="M19" i="94"/>
  <c r="N19" i="94" s="1"/>
  <c r="T19" i="94" s="1"/>
  <c r="U19" i="94" s="1"/>
  <c r="J5" i="91"/>
  <c r="J25" i="91" s="1"/>
  <c r="T129" i="92"/>
  <c r="M21" i="92"/>
  <c r="N21" i="92"/>
  <c r="G125" i="92" s="1"/>
  <c r="I125" i="92" s="1"/>
  <c r="M125" i="92" s="1"/>
  <c r="I13" i="91" s="1"/>
  <c r="M13" i="91" s="1"/>
  <c r="N13" i="91" s="1"/>
  <c r="AQ129" i="95"/>
  <c r="AR129" i="95" s="1"/>
  <c r="D42" i="83"/>
  <c r="I4" i="91"/>
  <c r="AE9" i="94"/>
  <c r="AB9" i="91"/>
  <c r="AC9" i="91" s="1"/>
  <c r="AD9" i="91" s="1"/>
  <c r="AE13" i="94"/>
  <c r="AB13" i="91"/>
  <c r="Q20" i="84"/>
  <c r="R20" i="84" s="1"/>
  <c r="Y20" i="84"/>
  <c r="AA20" i="84" s="1"/>
  <c r="Q5" i="68"/>
  <c r="N5" i="68"/>
  <c r="M4" i="84"/>
  <c r="M8" i="91"/>
  <c r="N8" i="91" s="1"/>
  <c r="N7" i="68"/>
  <c r="Q7" i="68"/>
  <c r="Q14" i="91"/>
  <c r="R14" i="91" s="1"/>
  <c r="Y14" i="91"/>
  <c r="AA14" i="91" s="1"/>
  <c r="N4" i="79"/>
  <c r="M25" i="79"/>
  <c r="M30" i="74" s="1"/>
  <c r="AA16" i="17"/>
  <c r="H19" i="68"/>
  <c r="K19" i="68" s="1"/>
  <c r="AE12" i="94"/>
  <c r="AB12" i="91"/>
  <c r="U110" i="92"/>
  <c r="Y17" i="84"/>
  <c r="AA17" i="84" s="1"/>
  <c r="Q17" i="84"/>
  <c r="R17" i="84" s="1"/>
  <c r="J5" i="84"/>
  <c r="J25" i="84" s="1"/>
  <c r="T127" i="85"/>
  <c r="Y7" i="84"/>
  <c r="AA7" i="84" s="1"/>
  <c r="Q7" i="84"/>
  <c r="R7" i="84" s="1"/>
  <c r="O4" i="69"/>
  <c r="Q4" i="69" s="1"/>
  <c r="M127" i="78"/>
  <c r="M112" i="95"/>
  <c r="I131" i="95"/>
  <c r="J25" i="94"/>
  <c r="Q9" i="68"/>
  <c r="N9" i="68"/>
  <c r="M15" i="91"/>
  <c r="N15" i="91" s="1"/>
  <c r="P20" i="92"/>
  <c r="D124" i="92"/>
  <c r="F124" i="92" s="1"/>
  <c r="U124" i="92" s="1"/>
  <c r="W124" i="92" s="1"/>
  <c r="Y20" i="91"/>
  <c r="AA20" i="91" s="1"/>
  <c r="Q20" i="91"/>
  <c r="R20" i="91" s="1"/>
  <c r="N4" i="74"/>
  <c r="U109" i="78"/>
  <c r="H5" i="74"/>
  <c r="F127" i="78"/>
  <c r="U14" i="74"/>
  <c r="H13" i="61"/>
  <c r="I25" i="74"/>
  <c r="I32" i="74" s="1"/>
  <c r="D13" i="61"/>
  <c r="Q23" i="68"/>
  <c r="Y18" i="91"/>
  <c r="AA18" i="91" s="1"/>
  <c r="Q18" i="91"/>
  <c r="R18" i="91" s="1"/>
  <c r="AO129" i="95"/>
  <c r="H4" i="68"/>
  <c r="AA5" i="17"/>
  <c r="P10" i="92"/>
  <c r="D114" i="92"/>
  <c r="F114" i="92" s="1"/>
  <c r="U114" i="92" s="1"/>
  <c r="W114" i="92" s="1"/>
  <c r="M20" i="94"/>
  <c r="N20" i="94" s="1"/>
  <c r="T20" i="94" s="1"/>
  <c r="U20" i="94" s="1"/>
  <c r="Q11" i="91"/>
  <c r="R11" i="91" s="1"/>
  <c r="Y11" i="91"/>
  <c r="AA11" i="91" s="1"/>
  <c r="D127" i="92"/>
  <c r="F127" i="92" s="1"/>
  <c r="U127" i="92" s="1"/>
  <c r="W127" i="92" s="1"/>
  <c r="P23" i="92"/>
  <c r="AE14" i="94"/>
  <c r="AB14" i="91"/>
  <c r="P7" i="92"/>
  <c r="D111" i="92"/>
  <c r="Y11" i="68"/>
  <c r="Z11" i="68" s="1"/>
  <c r="AA11" i="68"/>
  <c r="AB11" i="68" s="1"/>
  <c r="AC11" i="68" s="1"/>
  <c r="AD11" i="68" s="1"/>
  <c r="AE11" i="68" s="1"/>
  <c r="R11" i="69" s="1"/>
  <c r="S11" i="69" s="1"/>
  <c r="Q23" i="84"/>
  <c r="R23" i="84" s="1"/>
  <c r="Y23" i="84"/>
  <c r="AA23" i="84" s="1"/>
  <c r="T14" i="68"/>
  <c r="V14" i="68" s="1"/>
  <c r="X14" i="68" s="1"/>
  <c r="T15" i="68"/>
  <c r="V15" i="68" s="1"/>
  <c r="X15" i="68" s="1"/>
  <c r="AE22" i="94"/>
  <c r="AB22" i="91"/>
  <c r="AC22" i="91" s="1"/>
  <c r="AD22" i="91" s="1"/>
  <c r="T8" i="68"/>
  <c r="V8" i="68" s="1"/>
  <c r="X8" i="68" s="1"/>
  <c r="H20" i="68"/>
  <c r="K20" i="68" s="1"/>
  <c r="AA17" i="17"/>
  <c r="L127" i="85"/>
  <c r="T17" i="69"/>
  <c r="U17" i="69" s="1"/>
  <c r="L33" i="66" s="1"/>
  <c r="T112" i="66" s="1"/>
  <c r="AD17" i="69" s="1"/>
  <c r="N55" i="66"/>
  <c r="S112" i="66" s="1"/>
  <c r="AB17" i="69" s="1"/>
  <c r="V17" i="69"/>
  <c r="W17" i="69" s="1"/>
  <c r="P112" i="66" s="1"/>
  <c r="Q112" i="66" s="1"/>
  <c r="L77" i="66"/>
  <c r="U112" i="66" s="1"/>
  <c r="AE17" i="69" s="1"/>
  <c r="N11" i="66"/>
  <c r="R112" i="66" s="1"/>
  <c r="AA17" i="69" s="1"/>
  <c r="AA12" i="68"/>
  <c r="AB12" i="68" s="1"/>
  <c r="AC12" i="68" s="1"/>
  <c r="AD12" i="68" s="1"/>
  <c r="AE12" i="68" s="1"/>
  <c r="R12" i="69" s="1"/>
  <c r="S12" i="69" s="1"/>
  <c r="Y12" i="68"/>
  <c r="Z12" i="68" s="1"/>
  <c r="Q8" i="84"/>
  <c r="R8" i="84" s="1"/>
  <c r="AR116" i="95" l="1"/>
  <c r="M5" i="94"/>
  <c r="N5" i="94" s="1"/>
  <c r="T5" i="94" s="1"/>
  <c r="U5" i="94" s="1"/>
  <c r="AB17" i="94"/>
  <c r="AD17" i="94" s="1"/>
  <c r="S5" i="104"/>
  <c r="AB22" i="94"/>
  <c r="AD22" i="94" s="1"/>
  <c r="AF22" i="94" s="1"/>
  <c r="AG22" i="94" s="1"/>
  <c r="M10" i="94"/>
  <c r="N10" i="94" s="1"/>
  <c r="T10" i="94" s="1"/>
  <c r="U10" i="94" s="1"/>
  <c r="M8" i="94"/>
  <c r="N8" i="94" s="1"/>
  <c r="T8" i="94" s="1"/>
  <c r="U8" i="94" s="1"/>
  <c r="M6" i="94"/>
  <c r="N6" i="94" s="1"/>
  <c r="T6" i="94" s="1"/>
  <c r="U6" i="94" s="1"/>
  <c r="M12" i="94"/>
  <c r="N12" i="94" s="1"/>
  <c r="T12" i="94" s="1"/>
  <c r="U12" i="94" s="1"/>
  <c r="Q6" i="91"/>
  <c r="R6" i="91" s="1"/>
  <c r="M14" i="94"/>
  <c r="N14" i="94" s="1"/>
  <c r="T14" i="94" s="1"/>
  <c r="U14" i="94" s="1"/>
  <c r="T21" i="68"/>
  <c r="V21" i="68" s="1"/>
  <c r="X21" i="68" s="1"/>
  <c r="Y21" i="68" s="1"/>
  <c r="Z21" i="68" s="1"/>
  <c r="AB21" i="68"/>
  <c r="AC21" i="68" s="1"/>
  <c r="AD21" i="68" s="1"/>
  <c r="AE21" i="68" s="1"/>
  <c r="R20" i="69" s="1"/>
  <c r="S20" i="69" s="1"/>
  <c r="AB10" i="91"/>
  <c r="T20" i="69"/>
  <c r="U20" i="69" s="1"/>
  <c r="L41" i="66" s="1"/>
  <c r="T120" i="66" s="1"/>
  <c r="AD20" i="69" s="1"/>
  <c r="Q11" i="84"/>
  <c r="R11" i="84" s="1"/>
  <c r="Q10" i="68"/>
  <c r="T10" i="68" s="1"/>
  <c r="V10" i="68" s="1"/>
  <c r="X10" i="68" s="1"/>
  <c r="AA10" i="68" s="1"/>
  <c r="AB10" i="68" s="1"/>
  <c r="AC10" i="68" s="1"/>
  <c r="AD10" i="68" s="1"/>
  <c r="AE10" i="68" s="1"/>
  <c r="R10" i="69" s="1"/>
  <c r="S10" i="69" s="1"/>
  <c r="N59" i="66" s="1"/>
  <c r="S116" i="66" s="1"/>
  <c r="AB10" i="69" s="1"/>
  <c r="AC6" i="91"/>
  <c r="AD6" i="91" s="1"/>
  <c r="H12" i="83"/>
  <c r="N13" i="68"/>
  <c r="Y19" i="84"/>
  <c r="AA19" i="84" s="1"/>
  <c r="AE6" i="94"/>
  <c r="M15" i="84"/>
  <c r="N15" i="84" s="1"/>
  <c r="Q15" i="84" s="1"/>
  <c r="D19" i="83" s="1"/>
  <c r="M127" i="85"/>
  <c r="AR127" i="95"/>
  <c r="V20" i="69"/>
  <c r="W20" i="69" s="1"/>
  <c r="P120" i="66" s="1"/>
  <c r="Q120" i="66" s="1"/>
  <c r="N19" i="66"/>
  <c r="R120" i="66" s="1"/>
  <c r="AA20" i="69" s="1"/>
  <c r="I25" i="84"/>
  <c r="AC10" i="91"/>
  <c r="AD10" i="91" s="1"/>
  <c r="AT114" i="95"/>
  <c r="AU114" i="95" s="1"/>
  <c r="AQ112" i="92"/>
  <c r="Q23" i="91"/>
  <c r="R23" i="91" s="1"/>
  <c r="Y13" i="68"/>
  <c r="Z13" i="68" s="1"/>
  <c r="AA13" i="68"/>
  <c r="AB13" i="68" s="1"/>
  <c r="AC13" i="68" s="1"/>
  <c r="AD13" i="68" s="1"/>
  <c r="AE13" i="68" s="1"/>
  <c r="R13" i="69" s="1"/>
  <c r="S13" i="69" s="1"/>
  <c r="D113" i="92"/>
  <c r="F113" i="92" s="1"/>
  <c r="U113" i="92" s="1"/>
  <c r="W113" i="92" s="1"/>
  <c r="P9" i="92"/>
  <c r="M13" i="94"/>
  <c r="N13" i="94" s="1"/>
  <c r="T13" i="94" s="1"/>
  <c r="U13" i="94" s="1"/>
  <c r="Q7" i="91"/>
  <c r="R7" i="91" s="1"/>
  <c r="Y7" i="91"/>
  <c r="AA7" i="91" s="1"/>
  <c r="N16" i="66"/>
  <c r="R117" i="66" s="1"/>
  <c r="AA11" i="69" s="1"/>
  <c r="L82" i="66"/>
  <c r="U117" i="66" s="1"/>
  <c r="AE11" i="69" s="1"/>
  <c r="N60" i="66"/>
  <c r="S117" i="66" s="1"/>
  <c r="AB11" i="69" s="1"/>
  <c r="V11" i="69"/>
  <c r="W11" i="69" s="1"/>
  <c r="P117" i="66" s="1"/>
  <c r="Q117" i="66" s="1"/>
  <c r="T11" i="69"/>
  <c r="U11" i="69" s="1"/>
  <c r="L38" i="66" s="1"/>
  <c r="T117" i="66" s="1"/>
  <c r="AD11" i="69" s="1"/>
  <c r="Q20" i="68"/>
  <c r="N20" i="68"/>
  <c r="P20" i="68" s="1"/>
  <c r="Y8" i="68"/>
  <c r="Z8" i="68" s="1"/>
  <c r="AA8" i="68"/>
  <c r="AB8" i="68" s="1"/>
  <c r="AC8" i="68" s="1"/>
  <c r="AD8" i="68" s="1"/>
  <c r="AE8" i="68" s="1"/>
  <c r="R8" i="69" s="1"/>
  <c r="S8" i="69" s="1"/>
  <c r="V14" i="74"/>
  <c r="N88" i="78"/>
  <c r="AH124" i="78" s="1"/>
  <c r="Q22" i="78"/>
  <c r="AD124" i="78" s="1"/>
  <c r="Q66" i="78"/>
  <c r="AE124" i="78" s="1"/>
  <c r="N44" i="78"/>
  <c r="AG124" i="78" s="1"/>
  <c r="W14" i="74"/>
  <c r="X14" i="74" s="1"/>
  <c r="T9" i="68"/>
  <c r="V9" i="68" s="1"/>
  <c r="X9" i="68" s="1"/>
  <c r="I4" i="94"/>
  <c r="M131" i="95"/>
  <c r="Q19" i="68"/>
  <c r="N19" i="68"/>
  <c r="P19" i="68" s="1"/>
  <c r="N4" i="84"/>
  <c r="D125" i="92"/>
  <c r="F125" i="92" s="1"/>
  <c r="U125" i="92" s="1"/>
  <c r="W125" i="92" s="1"/>
  <c r="P21" i="92"/>
  <c r="AB19" i="94"/>
  <c r="AD19" i="94" s="1"/>
  <c r="V10" i="69"/>
  <c r="W10" i="69" s="1"/>
  <c r="P116" i="66" s="1"/>
  <c r="Q116" i="66" s="1"/>
  <c r="N15" i="66"/>
  <c r="R116" i="66" s="1"/>
  <c r="AA10" i="69" s="1"/>
  <c r="AQ118" i="92"/>
  <c r="AT120" i="95"/>
  <c r="AU120" i="95" s="1"/>
  <c r="K5" i="69"/>
  <c r="H25" i="69"/>
  <c r="AA24" i="68"/>
  <c r="AB24" i="68" s="1"/>
  <c r="AC24" i="68" s="1"/>
  <c r="AD24" i="68" s="1"/>
  <c r="AE24" i="68" s="1"/>
  <c r="R23" i="69" s="1"/>
  <c r="S23" i="69" s="1"/>
  <c r="Y24" i="68"/>
  <c r="Z24" i="68" s="1"/>
  <c r="W112" i="95"/>
  <c r="U131" i="95"/>
  <c r="M5" i="84"/>
  <c r="N5" i="84" s="1"/>
  <c r="H25" i="84"/>
  <c r="AC17" i="69"/>
  <c r="AF17" i="69"/>
  <c r="Y15" i="68"/>
  <c r="Z15" i="68" s="1"/>
  <c r="AA15" i="68"/>
  <c r="AB15" i="68" s="1"/>
  <c r="AC15" i="68" s="1"/>
  <c r="AD15" i="68" s="1"/>
  <c r="AE15" i="68" s="1"/>
  <c r="AB23" i="91"/>
  <c r="AC23" i="91" s="1"/>
  <c r="AD23" i="91" s="1"/>
  <c r="AE23" i="94"/>
  <c r="M15" i="94"/>
  <c r="N15" i="94" s="1"/>
  <c r="T15" i="94" s="1"/>
  <c r="U15" i="94" s="1"/>
  <c r="Y15" i="91"/>
  <c r="AA15" i="91" s="1"/>
  <c r="Q15" i="91"/>
  <c r="R15" i="91" s="1"/>
  <c r="AE17" i="94"/>
  <c r="AB17" i="91"/>
  <c r="AC17" i="91" s="1"/>
  <c r="AD17" i="91" s="1"/>
  <c r="M9" i="94"/>
  <c r="N9" i="94" s="1"/>
  <c r="T9" i="94" s="1"/>
  <c r="U9" i="94" s="1"/>
  <c r="T7" i="68"/>
  <c r="V7" i="68" s="1"/>
  <c r="X7" i="68" s="1"/>
  <c r="AB11" i="94"/>
  <c r="AD11" i="94" s="1"/>
  <c r="Q15" i="74"/>
  <c r="S15" i="74" s="1"/>
  <c r="G129" i="92"/>
  <c r="AC12" i="91"/>
  <c r="AD12" i="91" s="1"/>
  <c r="AB8" i="91"/>
  <c r="AE8" i="94"/>
  <c r="M7" i="94"/>
  <c r="N7" i="94" s="1"/>
  <c r="T7" i="94" s="1"/>
  <c r="U7" i="94" s="1"/>
  <c r="F111" i="92"/>
  <c r="AQ127" i="92"/>
  <c r="AT129" i="95"/>
  <c r="AU129" i="95" s="1"/>
  <c r="AB20" i="94"/>
  <c r="AD20" i="94" s="1"/>
  <c r="H26" i="68"/>
  <c r="H28" i="68" s="1"/>
  <c r="H27" i="69" s="1"/>
  <c r="K4" i="68"/>
  <c r="T23" i="68"/>
  <c r="V23" i="68" s="1"/>
  <c r="X23" i="68" s="1"/>
  <c r="M5" i="74"/>
  <c r="H25" i="74"/>
  <c r="H32" i="74" s="1"/>
  <c r="I38" i="74" s="1"/>
  <c r="I42" i="74" s="1"/>
  <c r="D18" i="61"/>
  <c r="Q4" i="74"/>
  <c r="AE7" i="94"/>
  <c r="AB7" i="91"/>
  <c r="T5" i="68"/>
  <c r="V5" i="68" s="1"/>
  <c r="X5" i="68" s="1"/>
  <c r="AB20" i="91"/>
  <c r="AC20" i="91" s="1"/>
  <c r="AD20" i="91" s="1"/>
  <c r="AE20" i="94"/>
  <c r="T16" i="68"/>
  <c r="V16" i="68" s="1"/>
  <c r="X16" i="68" s="1"/>
  <c r="M111" i="92"/>
  <c r="I129" i="92"/>
  <c r="W109" i="85"/>
  <c r="U127" i="85"/>
  <c r="T12" i="69"/>
  <c r="U12" i="69" s="1"/>
  <c r="L42" i="66" s="1"/>
  <c r="T121" i="66" s="1"/>
  <c r="AD12" i="69" s="1"/>
  <c r="N20" i="66"/>
  <c r="R121" i="66" s="1"/>
  <c r="AA12" i="69" s="1"/>
  <c r="L86" i="66"/>
  <c r="U121" i="66" s="1"/>
  <c r="AE12" i="69" s="1"/>
  <c r="V12" i="69"/>
  <c r="W12" i="69" s="1"/>
  <c r="P121" i="66" s="1"/>
  <c r="Q121" i="66" s="1"/>
  <c r="N64" i="66"/>
  <c r="S121" i="66" s="1"/>
  <c r="AB12" i="69" s="1"/>
  <c r="AA14" i="68"/>
  <c r="AB14" i="68" s="1"/>
  <c r="AC14" i="68" s="1"/>
  <c r="AD14" i="68" s="1"/>
  <c r="AE14" i="68" s="1"/>
  <c r="R14" i="69" s="1"/>
  <c r="S14" i="69" s="1"/>
  <c r="Y14" i="68"/>
  <c r="Z14" i="68" s="1"/>
  <c r="AQ114" i="92"/>
  <c r="AT116" i="95"/>
  <c r="AU116" i="95" s="1"/>
  <c r="W109" i="78"/>
  <c r="W127" i="78" s="1"/>
  <c r="U127" i="78"/>
  <c r="AQ124" i="92"/>
  <c r="AT126" i="95"/>
  <c r="AU126" i="95" s="1"/>
  <c r="W110" i="92"/>
  <c r="N25" i="79"/>
  <c r="Q4" i="79"/>
  <c r="S4" i="79" s="1"/>
  <c r="Q8" i="91"/>
  <c r="R8" i="91" s="1"/>
  <c r="Y8" i="91"/>
  <c r="AA8" i="91" s="1"/>
  <c r="M4" i="91"/>
  <c r="Q13" i="91"/>
  <c r="R13" i="91" s="1"/>
  <c r="Y13" i="91"/>
  <c r="AA13" i="91" s="1"/>
  <c r="AC13" i="91" s="1"/>
  <c r="AD13" i="91" s="1"/>
  <c r="AE11" i="94"/>
  <c r="AB11" i="91"/>
  <c r="AC11" i="91" s="1"/>
  <c r="AD11" i="91" s="1"/>
  <c r="Y6" i="68"/>
  <c r="Z6" i="68" s="1"/>
  <c r="AA6" i="68"/>
  <c r="AB6" i="68" s="1"/>
  <c r="AC6" i="68" s="1"/>
  <c r="AD6" i="68" s="1"/>
  <c r="AE6" i="68" s="1"/>
  <c r="R6" i="69" s="1"/>
  <c r="S6" i="69" s="1"/>
  <c r="AB18" i="91"/>
  <c r="AC18" i="91" s="1"/>
  <c r="AD18" i="91" s="1"/>
  <c r="AE18" i="94"/>
  <c r="AF18" i="94" s="1"/>
  <c r="AG18" i="94" s="1"/>
  <c r="H25" i="91"/>
  <c r="AF17" i="94" l="1"/>
  <c r="AG17" i="94" s="1"/>
  <c r="AB8" i="94"/>
  <c r="AD8" i="94" s="1"/>
  <c r="AF8" i="94" s="1"/>
  <c r="AG8" i="94" s="1"/>
  <c r="AB6" i="94"/>
  <c r="AD6" i="94" s="1"/>
  <c r="AF6" i="94" s="1"/>
  <c r="AG6" i="94" s="1"/>
  <c r="AB10" i="94"/>
  <c r="AD10" i="94" s="1"/>
  <c r="AF10" i="94" s="1"/>
  <c r="AG10" i="94" s="1"/>
  <c r="AB13" i="94"/>
  <c r="AD13" i="94" s="1"/>
  <c r="AF13" i="94" s="1"/>
  <c r="AG13" i="94" s="1"/>
  <c r="AB14" i="94"/>
  <c r="AD14" i="94" s="1"/>
  <c r="AB12" i="94"/>
  <c r="AD12" i="94" s="1"/>
  <c r="AF12" i="94" s="1"/>
  <c r="AG12" i="94" s="1"/>
  <c r="E25" i="94"/>
  <c r="L81" i="66"/>
  <c r="U116" i="66" s="1"/>
  <c r="AE10" i="69" s="1"/>
  <c r="T10" i="69"/>
  <c r="U10" i="69" s="1"/>
  <c r="L37" i="66" s="1"/>
  <c r="T116" i="66" s="1"/>
  <c r="AD10" i="69" s="1"/>
  <c r="AF10" i="69" s="1"/>
  <c r="N63" i="66"/>
  <c r="S120" i="66" s="1"/>
  <c r="AB20" i="69" s="1"/>
  <c r="AC20" i="69" s="1"/>
  <c r="AG20" i="69" s="1"/>
  <c r="AH20" i="69" s="1"/>
  <c r="AI20" i="69" s="1"/>
  <c r="AJ20" i="69" s="1"/>
  <c r="AK20" i="69" s="1"/>
  <c r="T20" i="79" s="1"/>
  <c r="U20" i="79" s="1"/>
  <c r="W20" i="79" s="1"/>
  <c r="X20" i="79" s="1"/>
  <c r="Y20" i="79" s="1"/>
  <c r="Z20" i="79" s="1"/>
  <c r="AA20" i="79" s="1"/>
  <c r="T20" i="74" s="1"/>
  <c r="U20" i="74" s="1"/>
  <c r="L85" i="66"/>
  <c r="U120" i="66" s="1"/>
  <c r="AE20" i="69" s="1"/>
  <c r="AF20" i="69" s="1"/>
  <c r="Y10" i="68"/>
  <c r="Z10" i="68" s="1"/>
  <c r="Y15" i="84"/>
  <c r="AA15" i="84" s="1"/>
  <c r="R15" i="84"/>
  <c r="D17" i="83"/>
  <c r="AE19" i="94"/>
  <c r="AF19" i="94" s="1"/>
  <c r="AG19" i="94" s="1"/>
  <c r="AB19" i="91"/>
  <c r="AC19" i="91" s="1"/>
  <c r="AD19" i="91" s="1"/>
  <c r="AB5" i="94"/>
  <c r="AD5" i="94" s="1"/>
  <c r="M23" i="94"/>
  <c r="N23" i="94" s="1"/>
  <c r="T23" i="94" s="1"/>
  <c r="U23" i="94" s="1"/>
  <c r="AF20" i="94"/>
  <c r="AG20" i="94" s="1"/>
  <c r="AC7" i="91"/>
  <c r="AD7" i="91" s="1"/>
  <c r="N21" i="66"/>
  <c r="R122" i="66" s="1"/>
  <c r="AA13" i="69" s="1"/>
  <c r="L87" i="66"/>
  <c r="U122" i="66" s="1"/>
  <c r="AE13" i="69" s="1"/>
  <c r="V13" i="69"/>
  <c r="W13" i="69" s="1"/>
  <c r="P122" i="66" s="1"/>
  <c r="Q122" i="66" s="1"/>
  <c r="N65" i="66"/>
  <c r="S122" i="66" s="1"/>
  <c r="AB13" i="69" s="1"/>
  <c r="T13" i="69"/>
  <c r="U13" i="69" s="1"/>
  <c r="L43" i="66" s="1"/>
  <c r="T122" i="66" s="1"/>
  <c r="AD13" i="69" s="1"/>
  <c r="AT115" i="95"/>
  <c r="AU115" i="95" s="1"/>
  <c r="AQ113" i="92"/>
  <c r="D129" i="92"/>
  <c r="AF11" i="94"/>
  <c r="AG11" i="94" s="1"/>
  <c r="AF12" i="69"/>
  <c r="AG17" i="69"/>
  <c r="AH17" i="69" s="1"/>
  <c r="AI17" i="69" s="1"/>
  <c r="AJ17" i="69" s="1"/>
  <c r="AK17" i="69" s="1"/>
  <c r="T17" i="79" s="1"/>
  <c r="U17" i="79" s="1"/>
  <c r="W17" i="79" s="1"/>
  <c r="X17" i="79" s="1"/>
  <c r="Y17" i="79" s="1"/>
  <c r="Z17" i="79" s="1"/>
  <c r="AA17" i="79" s="1"/>
  <c r="T17" i="74" s="1"/>
  <c r="U17" i="74" s="1"/>
  <c r="AF11" i="69"/>
  <c r="AC11" i="69"/>
  <c r="N4" i="91"/>
  <c r="AQ110" i="92"/>
  <c r="AT112" i="95"/>
  <c r="AU112" i="95" s="1"/>
  <c r="N5" i="74"/>
  <c r="M25" i="74"/>
  <c r="M32" i="74" s="1"/>
  <c r="Q4" i="68"/>
  <c r="K26" i="68"/>
  <c r="K28" i="68" s="1"/>
  <c r="K27" i="69" s="1"/>
  <c r="N4" i="68"/>
  <c r="N26" i="68" s="1"/>
  <c r="N28" i="68" s="1"/>
  <c r="AB15" i="94"/>
  <c r="AD15" i="94" s="1"/>
  <c r="Y5" i="84"/>
  <c r="AA5" i="84" s="1"/>
  <c r="Q5" i="84"/>
  <c r="R5" i="84" s="1"/>
  <c r="N14" i="66"/>
  <c r="R115" i="66" s="1"/>
  <c r="AA23" i="69" s="1"/>
  <c r="N58" i="66"/>
  <c r="S115" i="66" s="1"/>
  <c r="AB23" i="69" s="1"/>
  <c r="T23" i="69"/>
  <c r="U23" i="69" s="1"/>
  <c r="L36" i="66" s="1"/>
  <c r="T115" i="66" s="1"/>
  <c r="AD23" i="69" s="1"/>
  <c r="L80" i="66"/>
  <c r="U115" i="66" s="1"/>
  <c r="AE23" i="69" s="1"/>
  <c r="V23" i="69"/>
  <c r="W23" i="69" s="1"/>
  <c r="P115" i="66" s="1"/>
  <c r="Q115" i="66" s="1"/>
  <c r="Y14" i="74"/>
  <c r="Z14" i="74" s="1"/>
  <c r="AA14" i="74" s="1"/>
  <c r="AB14" i="84" s="1"/>
  <c r="AC14" i="84" s="1"/>
  <c r="AD14" i="84" s="1"/>
  <c r="AB14" i="74"/>
  <c r="AC14" i="74" s="1"/>
  <c r="AD14" i="74" s="1"/>
  <c r="S14" i="84" s="1"/>
  <c r="AB124" i="78"/>
  <c r="AC124" i="78" s="1"/>
  <c r="L76" i="66"/>
  <c r="U111" i="66" s="1"/>
  <c r="AE8" i="69" s="1"/>
  <c r="N54" i="66"/>
  <c r="S111" i="66" s="1"/>
  <c r="AB8" i="69" s="1"/>
  <c r="T8" i="69"/>
  <c r="U8" i="69" s="1"/>
  <c r="L32" i="66" s="1"/>
  <c r="T111" i="66" s="1"/>
  <c r="AD8" i="69" s="1"/>
  <c r="N10" i="66"/>
  <c r="R111" i="66" s="1"/>
  <c r="AA8" i="69" s="1"/>
  <c r="V8" i="69"/>
  <c r="W8" i="69" s="1"/>
  <c r="P111" i="66" s="1"/>
  <c r="Q111" i="66" s="1"/>
  <c r="V6" i="69"/>
  <c r="W6" i="69" s="1"/>
  <c r="P109" i="66" s="1"/>
  <c r="Q109" i="66" s="1"/>
  <c r="N8" i="66"/>
  <c r="R109" i="66" s="1"/>
  <c r="AA6" i="69" s="1"/>
  <c r="L74" i="66"/>
  <c r="U109" i="66" s="1"/>
  <c r="AE6" i="69" s="1"/>
  <c r="T6" i="69"/>
  <c r="U6" i="69" s="1"/>
  <c r="L30" i="66" s="1"/>
  <c r="T109" i="66" s="1"/>
  <c r="AD6" i="69" s="1"/>
  <c r="N52" i="66"/>
  <c r="S109" i="66" s="1"/>
  <c r="AB6" i="69" s="1"/>
  <c r="AQ113" i="95"/>
  <c r="AR113" i="95" s="1"/>
  <c r="W127" i="85"/>
  <c r="AA5" i="68"/>
  <c r="AB5" i="68" s="1"/>
  <c r="AC5" i="68" s="1"/>
  <c r="AD5" i="68" s="1"/>
  <c r="AE5" i="68" s="1"/>
  <c r="R5" i="69" s="1"/>
  <c r="Y5" i="68"/>
  <c r="Z5" i="68" s="1"/>
  <c r="AA23" i="68"/>
  <c r="AB23" i="68" s="1"/>
  <c r="AC23" i="68" s="1"/>
  <c r="AD23" i="68" s="1"/>
  <c r="AE23" i="68" s="1"/>
  <c r="R22" i="69" s="1"/>
  <c r="S22" i="69" s="1"/>
  <c r="Y23" i="68"/>
  <c r="Z23" i="68" s="1"/>
  <c r="U111" i="92"/>
  <c r="F129" i="92"/>
  <c r="AB9" i="94"/>
  <c r="AD9" i="94" s="1"/>
  <c r="H29" i="69"/>
  <c r="AQ125" i="92"/>
  <c r="AT127" i="95"/>
  <c r="AU127" i="95" s="1"/>
  <c r="I25" i="94"/>
  <c r="AI124" i="78"/>
  <c r="AA16" i="68"/>
  <c r="AB16" i="68" s="1"/>
  <c r="AC16" i="68" s="1"/>
  <c r="AD16" i="68" s="1"/>
  <c r="AE16" i="68" s="1"/>
  <c r="R15" i="69" s="1"/>
  <c r="S15" i="69" s="1"/>
  <c r="Y16" i="68"/>
  <c r="Z16" i="68" s="1"/>
  <c r="AB7" i="94"/>
  <c r="AD7" i="94" s="1"/>
  <c r="AR112" i="95"/>
  <c r="AO112" i="95"/>
  <c r="W131" i="95"/>
  <c r="L5" i="69"/>
  <c r="K25" i="69"/>
  <c r="M25" i="84"/>
  <c r="AB19" i="68"/>
  <c r="AC19" i="68" s="1"/>
  <c r="AD19" i="68" s="1"/>
  <c r="AE19" i="68" s="1"/>
  <c r="R18" i="69" s="1"/>
  <c r="S18" i="69" s="1"/>
  <c r="T19" i="68"/>
  <c r="V19" i="68" s="1"/>
  <c r="X19" i="68" s="1"/>
  <c r="Y19" i="68" s="1"/>
  <c r="Z19" i="68" s="1"/>
  <c r="AA9" i="68"/>
  <c r="AB9" i="68" s="1"/>
  <c r="AC9" i="68" s="1"/>
  <c r="AD9" i="68" s="1"/>
  <c r="AE9" i="68" s="1"/>
  <c r="R9" i="69" s="1"/>
  <c r="S9" i="69" s="1"/>
  <c r="Y9" i="68"/>
  <c r="Z9" i="68" s="1"/>
  <c r="AC8" i="91"/>
  <c r="AD8" i="91" s="1"/>
  <c r="L88" i="66"/>
  <c r="U123" i="66" s="1"/>
  <c r="AE14" i="69" s="1"/>
  <c r="T14" i="69"/>
  <c r="U14" i="69" s="1"/>
  <c r="L44" i="66" s="1"/>
  <c r="T123" i="66" s="1"/>
  <c r="AD14" i="69" s="1"/>
  <c r="N22" i="66"/>
  <c r="R123" i="66" s="1"/>
  <c r="AA14" i="69" s="1"/>
  <c r="N66" i="66"/>
  <c r="S123" i="66" s="1"/>
  <c r="AB14" i="69" s="1"/>
  <c r="V14" i="69"/>
  <c r="AC12" i="69"/>
  <c r="I5" i="91"/>
  <c r="M129" i="92"/>
  <c r="S4" i="74"/>
  <c r="D25" i="61"/>
  <c r="Y7" i="68"/>
  <c r="Z7" i="68" s="1"/>
  <c r="AA7" i="68"/>
  <c r="AB7" i="68" s="1"/>
  <c r="AC7" i="68" s="1"/>
  <c r="AD7" i="68" s="1"/>
  <c r="AE7" i="68" s="1"/>
  <c r="R7" i="69" s="1"/>
  <c r="S7" i="69" s="1"/>
  <c r="AC10" i="69"/>
  <c r="Q4" i="84"/>
  <c r="R4" i="84" s="1"/>
  <c r="N25" i="84"/>
  <c r="Y4" i="84"/>
  <c r="AA4" i="84" s="1"/>
  <c r="D24" i="83"/>
  <c r="AF124" i="78"/>
  <c r="T20" i="68"/>
  <c r="V20" i="68" s="1"/>
  <c r="X20" i="68" s="1"/>
  <c r="Y20" i="68" s="1"/>
  <c r="Z20" i="68" s="1"/>
  <c r="AB20" i="68"/>
  <c r="AC20" i="68" s="1"/>
  <c r="AD20" i="68" s="1"/>
  <c r="AE20" i="68" s="1"/>
  <c r="R19" i="69" s="1"/>
  <c r="S19" i="69" s="1"/>
  <c r="AB23" i="94" l="1"/>
  <c r="AD23" i="94" s="1"/>
  <c r="AF23" i="94" s="1"/>
  <c r="AG23" i="94" s="1"/>
  <c r="AF9" i="94"/>
  <c r="AG9" i="94" s="1"/>
  <c r="AF7" i="94"/>
  <c r="AG7" i="94" s="1"/>
  <c r="K29" i="69"/>
  <c r="V20" i="79"/>
  <c r="AB15" i="91"/>
  <c r="AC15" i="91" s="1"/>
  <c r="AD15" i="91" s="1"/>
  <c r="AE15" i="94"/>
  <c r="AF15" i="94" s="1"/>
  <c r="AG15" i="94" s="1"/>
  <c r="AG11" i="69"/>
  <c r="AH11" i="69" s="1"/>
  <c r="AI11" i="69" s="1"/>
  <c r="AJ11" i="69" s="1"/>
  <c r="AK11" i="69" s="1"/>
  <c r="T11" i="79" s="1"/>
  <c r="U11" i="79" s="1"/>
  <c r="AG12" i="69"/>
  <c r="AH12" i="69" s="1"/>
  <c r="AI12" i="69" s="1"/>
  <c r="AJ12" i="69" s="1"/>
  <c r="AK12" i="69" s="1"/>
  <c r="T12" i="79" s="1"/>
  <c r="U12" i="79" s="1"/>
  <c r="AF14" i="69"/>
  <c r="AC6" i="69"/>
  <c r="AF13" i="69"/>
  <c r="AF23" i="69"/>
  <c r="AF6" i="69"/>
  <c r="V17" i="79"/>
  <c r="AC13" i="69"/>
  <c r="AG13" i="69" s="1"/>
  <c r="AH13" i="69" s="1"/>
  <c r="AI13" i="69" s="1"/>
  <c r="AJ13" i="69" s="1"/>
  <c r="AK13" i="69" s="1"/>
  <c r="T13" i="79" s="1"/>
  <c r="U13" i="79" s="1"/>
  <c r="AC8" i="69"/>
  <c r="AF8" i="69"/>
  <c r="V19" i="69"/>
  <c r="W19" i="69" s="1"/>
  <c r="P119" i="66" s="1"/>
  <c r="Q119" i="66" s="1"/>
  <c r="N62" i="66"/>
  <c r="S119" i="66" s="1"/>
  <c r="AB19" i="69" s="1"/>
  <c r="N18" i="66"/>
  <c r="R119" i="66" s="1"/>
  <c r="AA19" i="69" s="1"/>
  <c r="T19" i="69"/>
  <c r="U19" i="69" s="1"/>
  <c r="L40" i="66" s="1"/>
  <c r="T119" i="66" s="1"/>
  <c r="AD19" i="69" s="1"/>
  <c r="L84" i="66"/>
  <c r="U119" i="66" s="1"/>
  <c r="AE19" i="69" s="1"/>
  <c r="T7" i="69"/>
  <c r="U7" i="69" s="1"/>
  <c r="L31" i="66" s="1"/>
  <c r="T110" i="66" s="1"/>
  <c r="AD7" i="69" s="1"/>
  <c r="N9" i="66"/>
  <c r="R110" i="66" s="1"/>
  <c r="AA7" i="69" s="1"/>
  <c r="V7" i="69"/>
  <c r="W7" i="69" s="1"/>
  <c r="P110" i="66" s="1"/>
  <c r="Q110" i="66" s="1"/>
  <c r="N53" i="66"/>
  <c r="S110" i="66" s="1"/>
  <c r="AB7" i="69" s="1"/>
  <c r="L75" i="66"/>
  <c r="U110" i="66" s="1"/>
  <c r="AE7" i="69" s="1"/>
  <c r="W12" i="79"/>
  <c r="X12" i="79" s="1"/>
  <c r="Y12" i="79" s="1"/>
  <c r="Z12" i="79" s="1"/>
  <c r="AA12" i="79" s="1"/>
  <c r="T12" i="74" s="1"/>
  <c r="U12" i="74" s="1"/>
  <c r="V12" i="79"/>
  <c r="D25" i="94"/>
  <c r="D30" i="94" s="1"/>
  <c r="M4" i="94"/>
  <c r="T22" i="69"/>
  <c r="U22" i="69" s="1"/>
  <c r="L34" i="66" s="1"/>
  <c r="T113" i="66" s="1"/>
  <c r="AD22" i="69" s="1"/>
  <c r="V22" i="69"/>
  <c r="W22" i="69" s="1"/>
  <c r="P113" i="66" s="1"/>
  <c r="Q113" i="66" s="1"/>
  <c r="L78" i="66"/>
  <c r="U113" i="66" s="1"/>
  <c r="AE22" i="69" s="1"/>
  <c r="N12" i="66"/>
  <c r="R113" i="66" s="1"/>
  <c r="AA22" i="69" s="1"/>
  <c r="N56" i="66"/>
  <c r="S113" i="66" s="1"/>
  <c r="AB22" i="69" s="1"/>
  <c r="Q55" i="78"/>
  <c r="AE113" i="78" s="1"/>
  <c r="W17" i="74"/>
  <c r="X17" i="74" s="1"/>
  <c r="Q11" i="78"/>
  <c r="AD113" i="78" s="1"/>
  <c r="N33" i="78"/>
  <c r="AG113" i="78" s="1"/>
  <c r="N77" i="78"/>
  <c r="AH113" i="78" s="1"/>
  <c r="V17" i="74"/>
  <c r="D29" i="61"/>
  <c r="B18" i="80"/>
  <c r="W14" i="69"/>
  <c r="V9" i="69"/>
  <c r="W9" i="69" s="1"/>
  <c r="P114" i="66" s="1"/>
  <c r="Q114" i="66" s="1"/>
  <c r="L79" i="66"/>
  <c r="U114" i="66" s="1"/>
  <c r="AE9" i="69" s="1"/>
  <c r="N57" i="66"/>
  <c r="S114" i="66" s="1"/>
  <c r="AB9" i="69" s="1"/>
  <c r="N13" i="66"/>
  <c r="R114" i="66" s="1"/>
  <c r="AA9" i="69" s="1"/>
  <c r="T9" i="69"/>
  <c r="U9" i="69" s="1"/>
  <c r="L35" i="66" s="1"/>
  <c r="T114" i="66" s="1"/>
  <c r="AD9" i="69" s="1"/>
  <c r="V15" i="69"/>
  <c r="W15" i="69" s="1"/>
  <c r="P124" i="66" s="1"/>
  <c r="Q124" i="66" s="1"/>
  <c r="N67" i="66"/>
  <c r="S124" i="66" s="1"/>
  <c r="AB15" i="69" s="1"/>
  <c r="T15" i="69"/>
  <c r="U15" i="69" s="1"/>
  <c r="L45" i="66" s="1"/>
  <c r="T124" i="66" s="1"/>
  <c r="AD15" i="69" s="1"/>
  <c r="N23" i="66"/>
  <c r="R124" i="66" s="1"/>
  <c r="AA15" i="69" s="1"/>
  <c r="L89" i="66"/>
  <c r="U124" i="66" s="1"/>
  <c r="AE15" i="69" s="1"/>
  <c r="Q5" i="74"/>
  <c r="S5" i="74" s="1"/>
  <c r="N25" i="74"/>
  <c r="AJ124" i="78"/>
  <c r="AL124" i="78"/>
  <c r="AB4" i="91"/>
  <c r="AE4" i="94"/>
  <c r="AG10" i="69"/>
  <c r="AH10" i="69" s="1"/>
  <c r="AI10" i="69" s="1"/>
  <c r="AJ10" i="69" s="1"/>
  <c r="AK10" i="69" s="1"/>
  <c r="T10" i="79" s="1"/>
  <c r="U10" i="79" s="1"/>
  <c r="W111" i="92"/>
  <c r="U129" i="92"/>
  <c r="W11" i="79"/>
  <c r="X11" i="79" s="1"/>
  <c r="Y11" i="79" s="1"/>
  <c r="Z11" i="79" s="1"/>
  <c r="AA11" i="79" s="1"/>
  <c r="T11" i="74" s="1"/>
  <c r="U11" i="74" s="1"/>
  <c r="V11" i="79"/>
  <c r="S14" i="91"/>
  <c r="T14" i="91" s="1"/>
  <c r="U14" i="91" s="1"/>
  <c r="T14" i="84"/>
  <c r="U14" i="84" s="1"/>
  <c r="AC23" i="69"/>
  <c r="AE5" i="94"/>
  <c r="AF5" i="94" s="1"/>
  <c r="AG5" i="94" s="1"/>
  <c r="AB5" i="91"/>
  <c r="Q4" i="91"/>
  <c r="R4" i="91" s="1"/>
  <c r="Y4" i="91"/>
  <c r="AA4" i="91" s="1"/>
  <c r="I25" i="91"/>
  <c r="M5" i="91"/>
  <c r="AC14" i="69"/>
  <c r="L83" i="66"/>
  <c r="U118" i="66" s="1"/>
  <c r="AE18" i="69" s="1"/>
  <c r="N61" i="66"/>
  <c r="S118" i="66" s="1"/>
  <c r="AB18" i="69" s="1"/>
  <c r="T18" i="69"/>
  <c r="U18" i="69" s="1"/>
  <c r="L39" i="66" s="1"/>
  <c r="T118" i="66" s="1"/>
  <c r="AD18" i="69" s="1"/>
  <c r="N17" i="66"/>
  <c r="R118" i="66" s="1"/>
  <c r="AA18" i="69" s="1"/>
  <c r="V18" i="69"/>
  <c r="W18" i="69" s="1"/>
  <c r="P118" i="66" s="1"/>
  <c r="Q118" i="66" s="1"/>
  <c r="O5" i="69"/>
  <c r="Q5" i="69" s="1"/>
  <c r="S5" i="69" s="1"/>
  <c r="L25" i="69"/>
  <c r="T4" i="68"/>
  <c r="V4" i="68" s="1"/>
  <c r="X4" i="68" s="1"/>
  <c r="Q26" i="68"/>
  <c r="Q28" i="68" s="1"/>
  <c r="L27" i="69" s="1"/>
  <c r="Q19" i="78"/>
  <c r="AD121" i="78" s="1"/>
  <c r="W20" i="74"/>
  <c r="X20" i="74" s="1"/>
  <c r="N41" i="78"/>
  <c r="AG121" i="78" s="1"/>
  <c r="N85" i="78"/>
  <c r="AH121" i="78" s="1"/>
  <c r="V20" i="74"/>
  <c r="Q63" i="78"/>
  <c r="AE121" i="78" s="1"/>
  <c r="AG14" i="69" l="1"/>
  <c r="AH14" i="69" s="1"/>
  <c r="AI14" i="69" s="1"/>
  <c r="AG6" i="69"/>
  <c r="AH6" i="69" s="1"/>
  <c r="AI6" i="69" s="1"/>
  <c r="AJ6" i="69" s="1"/>
  <c r="AK6" i="69" s="1"/>
  <c r="T6" i="79" s="1"/>
  <c r="U6" i="79" s="1"/>
  <c r="W6" i="79" s="1"/>
  <c r="X6" i="79" s="1"/>
  <c r="Y6" i="79" s="1"/>
  <c r="Z6" i="79" s="1"/>
  <c r="AA6" i="79" s="1"/>
  <c r="T6" i="74" s="1"/>
  <c r="U6" i="74" s="1"/>
  <c r="AC18" i="69"/>
  <c r="AG23" i="69"/>
  <c r="AH23" i="69" s="1"/>
  <c r="AI23" i="69" s="1"/>
  <c r="AJ23" i="69" s="1"/>
  <c r="AK23" i="69" s="1"/>
  <c r="T23" i="79" s="1"/>
  <c r="U23" i="79" s="1"/>
  <c r="V23" i="79" s="1"/>
  <c r="AI121" i="78"/>
  <c r="V13" i="79"/>
  <c r="W13" i="79"/>
  <c r="X13" i="79" s="1"/>
  <c r="Y13" i="79" s="1"/>
  <c r="Z13" i="79" s="1"/>
  <c r="AA13" i="79" s="1"/>
  <c r="T13" i="74" s="1"/>
  <c r="U13" i="74" s="1"/>
  <c r="AC19" i="69"/>
  <c r="AG8" i="69"/>
  <c r="AH8" i="69" s="1"/>
  <c r="AI8" i="69" s="1"/>
  <c r="AJ8" i="69" s="1"/>
  <c r="AK8" i="69" s="1"/>
  <c r="T8" i="79" s="1"/>
  <c r="U8" i="79" s="1"/>
  <c r="N38" i="78"/>
  <c r="AG118" i="78" s="1"/>
  <c r="N82" i="78"/>
  <c r="AH118" i="78" s="1"/>
  <c r="Q60" i="78"/>
  <c r="AE118" i="78" s="1"/>
  <c r="W11" i="74"/>
  <c r="X11" i="74" s="1"/>
  <c r="V11" i="74"/>
  <c r="Q16" i="78"/>
  <c r="AD118" i="78" s="1"/>
  <c r="Y17" i="74"/>
  <c r="Z17" i="74" s="1"/>
  <c r="AA17" i="74" s="1"/>
  <c r="AB17" i="84" s="1"/>
  <c r="AC17" i="84" s="1"/>
  <c r="AD17" i="84" s="1"/>
  <c r="AB17" i="74"/>
  <c r="AC17" i="74" s="1"/>
  <c r="AD17" i="74" s="1"/>
  <c r="S17" i="84" s="1"/>
  <c r="AB113" i="78"/>
  <c r="AC113" i="78" s="1"/>
  <c r="AB121" i="78"/>
  <c r="AC121" i="78" s="1"/>
  <c r="AB20" i="74"/>
  <c r="AC20" i="74" s="1"/>
  <c r="AD20" i="74" s="1"/>
  <c r="S20" i="84" s="1"/>
  <c r="Y20" i="74"/>
  <c r="Z20" i="74" s="1"/>
  <c r="AA20" i="74" s="1"/>
  <c r="AB20" i="84" s="1"/>
  <c r="AC20" i="84" s="1"/>
  <c r="AD20" i="84" s="1"/>
  <c r="AA4" i="68"/>
  <c r="Y4" i="68"/>
  <c r="Z4" i="68" s="1"/>
  <c r="L29" i="69"/>
  <c r="AJ14" i="69"/>
  <c r="B21" i="80"/>
  <c r="V14" i="84"/>
  <c r="X14" i="84" s="1"/>
  <c r="AE14" i="84" s="1"/>
  <c r="AF14" i="84" s="1"/>
  <c r="V6" i="79"/>
  <c r="AF19" i="69"/>
  <c r="AF121" i="78"/>
  <c r="AF18" i="69"/>
  <c r="AG18" i="69" s="1"/>
  <c r="AH18" i="69" s="1"/>
  <c r="AI18" i="69" s="1"/>
  <c r="AJ18" i="69" s="1"/>
  <c r="AK18" i="69" s="1"/>
  <c r="T18" i="79" s="1"/>
  <c r="U18" i="79" s="1"/>
  <c r="N5" i="91"/>
  <c r="M25" i="91"/>
  <c r="AC4" i="91"/>
  <c r="AD4" i="91" s="1"/>
  <c r="V14" i="91"/>
  <c r="X14" i="91" s="1"/>
  <c r="AE14" i="91" s="1"/>
  <c r="AF14" i="91" s="1"/>
  <c r="W10" i="79"/>
  <c r="X10" i="79" s="1"/>
  <c r="Y10" i="79" s="1"/>
  <c r="Z10" i="79" s="1"/>
  <c r="AA10" i="79" s="1"/>
  <c r="T10" i="74" s="1"/>
  <c r="U10" i="74" s="1"/>
  <c r="V10" i="79"/>
  <c r="AC15" i="69"/>
  <c r="AF9" i="69"/>
  <c r="AI113" i="78"/>
  <c r="AF22" i="69"/>
  <c r="W12" i="74"/>
  <c r="X12" i="74" s="1"/>
  <c r="V12" i="74"/>
  <c r="N86" i="78"/>
  <c r="AH122" i="78" s="1"/>
  <c r="Q64" i="78"/>
  <c r="AE122" i="78" s="1"/>
  <c r="N42" i="78"/>
  <c r="AG122" i="78" s="1"/>
  <c r="Q20" i="78"/>
  <c r="AD122" i="78" s="1"/>
  <c r="AC7" i="69"/>
  <c r="N7" i="66"/>
  <c r="R108" i="66" s="1"/>
  <c r="AA5" i="69" s="1"/>
  <c r="V5" i="69"/>
  <c r="W5" i="69" s="1"/>
  <c r="P108" i="66" s="1"/>
  <c r="Q108" i="66" s="1"/>
  <c r="T5" i="69"/>
  <c r="U5" i="69" s="1"/>
  <c r="L29" i="66" s="1"/>
  <c r="T108" i="66" s="1"/>
  <c r="AD5" i="69" s="1"/>
  <c r="N51" i="66"/>
  <c r="S108" i="66" s="1"/>
  <c r="AB5" i="69" s="1"/>
  <c r="L73" i="66"/>
  <c r="U108" i="66" s="1"/>
  <c r="AE5" i="69" s="1"/>
  <c r="AQ111" i="92"/>
  <c r="AT113" i="95"/>
  <c r="AU113" i="95" s="1"/>
  <c r="W129" i="92"/>
  <c r="AF15" i="69"/>
  <c r="AC9" i="69"/>
  <c r="B19" i="80"/>
  <c r="P123" i="66"/>
  <c r="Q123" i="66" s="1"/>
  <c r="AF113" i="78"/>
  <c r="AC22" i="69"/>
  <c r="N4" i="94"/>
  <c r="T4" i="94" s="1"/>
  <c r="U4" i="94" s="1"/>
  <c r="M25" i="94"/>
  <c r="AF7" i="69"/>
  <c r="W23" i="79" l="1"/>
  <c r="X23" i="79" s="1"/>
  <c r="Y23" i="79" s="1"/>
  <c r="Z23" i="79" s="1"/>
  <c r="AA23" i="79" s="1"/>
  <c r="T23" i="74" s="1"/>
  <c r="U23" i="74" s="1"/>
  <c r="Q14" i="78" s="1"/>
  <c r="AD116" i="78" s="1"/>
  <c r="AF118" i="78"/>
  <c r="AG19" i="69"/>
  <c r="AH19" i="69" s="1"/>
  <c r="AI19" i="69" s="1"/>
  <c r="AJ19" i="69" s="1"/>
  <c r="AK19" i="69" s="1"/>
  <c r="T19" i="79" s="1"/>
  <c r="U19" i="79" s="1"/>
  <c r="AF5" i="69"/>
  <c r="AG7" i="69"/>
  <c r="AH7" i="69" s="1"/>
  <c r="AI7" i="69" s="1"/>
  <c r="AJ7" i="69" s="1"/>
  <c r="AK7" i="69" s="1"/>
  <c r="T7" i="79" s="1"/>
  <c r="U7" i="79" s="1"/>
  <c r="W7" i="79" s="1"/>
  <c r="X7" i="79" s="1"/>
  <c r="Y7" i="79" s="1"/>
  <c r="Z7" i="79" s="1"/>
  <c r="AA7" i="79" s="1"/>
  <c r="T7" i="74" s="1"/>
  <c r="U7" i="74" s="1"/>
  <c r="AG15" i="69"/>
  <c r="AH15" i="69" s="1"/>
  <c r="AI15" i="69" s="1"/>
  <c r="AJ15" i="69" s="1"/>
  <c r="AK15" i="69" s="1"/>
  <c r="T15" i="79" s="1"/>
  <c r="U15" i="79" s="1"/>
  <c r="V15" i="79" s="1"/>
  <c r="N43" i="78"/>
  <c r="AG123" i="78" s="1"/>
  <c r="V13" i="74"/>
  <c r="Q65" i="78"/>
  <c r="AE123" i="78" s="1"/>
  <c r="W13" i="74"/>
  <c r="X13" i="74" s="1"/>
  <c r="Q21" i="78"/>
  <c r="AD123" i="78" s="1"/>
  <c r="N87" i="78"/>
  <c r="AH123" i="78" s="1"/>
  <c r="W8" i="79"/>
  <c r="X8" i="79" s="1"/>
  <c r="Y8" i="79" s="1"/>
  <c r="Z8" i="79" s="1"/>
  <c r="AA8" i="79" s="1"/>
  <c r="T8" i="74" s="1"/>
  <c r="U8" i="74" s="1"/>
  <c r="V8" i="79"/>
  <c r="AH14" i="91"/>
  <c r="AL14" i="91"/>
  <c r="AB126" i="92"/>
  <c r="AC126" i="92" s="1"/>
  <c r="AJ14" i="91"/>
  <c r="AK14" i="91" s="1"/>
  <c r="V18" i="79"/>
  <c r="W18" i="79"/>
  <c r="X18" i="79" s="1"/>
  <c r="Y18" i="79" s="1"/>
  <c r="Z18" i="79" s="1"/>
  <c r="AA18" i="79" s="1"/>
  <c r="T18" i="74" s="1"/>
  <c r="U18" i="74" s="1"/>
  <c r="AB4" i="94"/>
  <c r="AD4" i="94" s="1"/>
  <c r="N25" i="94"/>
  <c r="W19" i="79"/>
  <c r="X19" i="79" s="1"/>
  <c r="Y19" i="79" s="1"/>
  <c r="Z19" i="79" s="1"/>
  <c r="AA19" i="79" s="1"/>
  <c r="T19" i="74" s="1"/>
  <c r="U19" i="74" s="1"/>
  <c r="V19" i="79"/>
  <c r="Y5" i="91"/>
  <c r="AA5" i="91" s="1"/>
  <c r="AC5" i="91" s="1"/>
  <c r="AD5" i="91" s="1"/>
  <c r="Q5" i="91"/>
  <c r="R5" i="91" s="1"/>
  <c r="N25" i="91"/>
  <c r="AL14" i="84"/>
  <c r="AO14" i="84"/>
  <c r="AP14" i="84" s="1"/>
  <c r="AJ14" i="94"/>
  <c r="AB124" i="85"/>
  <c r="AC124" i="85" s="1"/>
  <c r="AJ14" i="84"/>
  <c r="AK14" i="84" s="1"/>
  <c r="AH14" i="84"/>
  <c r="S20" i="91"/>
  <c r="T20" i="91" s="1"/>
  <c r="U20" i="91" s="1"/>
  <c r="T20" i="84"/>
  <c r="U20" i="84" s="1"/>
  <c r="AG22" i="69"/>
  <c r="AH22" i="69" s="1"/>
  <c r="AI22" i="69" s="1"/>
  <c r="AJ22" i="69" s="1"/>
  <c r="AK22" i="69" s="1"/>
  <c r="T22" i="79" s="1"/>
  <c r="U22" i="79" s="1"/>
  <c r="V6" i="74"/>
  <c r="Q52" i="78"/>
  <c r="AE110" i="78" s="1"/>
  <c r="Q8" i="78"/>
  <c r="AD110" i="78" s="1"/>
  <c r="N74" i="78"/>
  <c r="AH110" i="78" s="1"/>
  <c r="N30" i="78"/>
  <c r="AG110" i="78" s="1"/>
  <c r="W6" i="74"/>
  <c r="X6" i="74" s="1"/>
  <c r="AI118" i="78"/>
  <c r="AG9" i="69"/>
  <c r="AH9" i="69" s="1"/>
  <c r="AI9" i="69" s="1"/>
  <c r="AJ9" i="69" s="1"/>
  <c r="AK9" i="69" s="1"/>
  <c r="T9" i="79" s="1"/>
  <c r="U9" i="79" s="1"/>
  <c r="AF122" i="78"/>
  <c r="AL121" i="78"/>
  <c r="AJ121" i="78"/>
  <c r="B26" i="80"/>
  <c r="AK14" i="69"/>
  <c r="B30" i="80" s="1"/>
  <c r="AA26" i="68"/>
  <c r="V27" i="69" s="1"/>
  <c r="AB4" i="68"/>
  <c r="S17" i="91"/>
  <c r="T17" i="91" s="1"/>
  <c r="U17" i="91" s="1"/>
  <c r="T17" i="84"/>
  <c r="U17" i="84" s="1"/>
  <c r="AB118" i="78"/>
  <c r="AC118" i="78" s="1"/>
  <c r="AB11" i="74"/>
  <c r="AC11" i="74" s="1"/>
  <c r="AD11" i="74" s="1"/>
  <c r="S11" i="84" s="1"/>
  <c r="Y11" i="74"/>
  <c r="Z11" i="74" s="1"/>
  <c r="AA11" i="74" s="1"/>
  <c r="AB11" i="84" s="1"/>
  <c r="AC11" i="84" s="1"/>
  <c r="AD11" i="84" s="1"/>
  <c r="AJ113" i="78"/>
  <c r="AL113" i="78"/>
  <c r="AC5" i="69"/>
  <c r="AG5" i="69" s="1"/>
  <c r="AH5" i="69" s="1"/>
  <c r="AI5" i="69" s="1"/>
  <c r="AJ5" i="69" s="1"/>
  <c r="AK5" i="69" s="1"/>
  <c r="T5" i="79" s="1"/>
  <c r="U5" i="79" s="1"/>
  <c r="AI122" i="78"/>
  <c r="Y12" i="74"/>
  <c r="Z12" i="74" s="1"/>
  <c r="AA12" i="74" s="1"/>
  <c r="AB12" i="84" s="1"/>
  <c r="AC12" i="84" s="1"/>
  <c r="AD12" i="84" s="1"/>
  <c r="AB122" i="78"/>
  <c r="AC122" i="78" s="1"/>
  <c r="AB12" i="74"/>
  <c r="AC12" i="74" s="1"/>
  <c r="AD12" i="74" s="1"/>
  <c r="S12" i="84" s="1"/>
  <c r="Q59" i="78"/>
  <c r="AE117" i="78" s="1"/>
  <c r="Q15" i="78"/>
  <c r="AD117" i="78" s="1"/>
  <c r="N37" i="78"/>
  <c r="AG117" i="78" s="1"/>
  <c r="V10" i="74"/>
  <c r="N81" i="78"/>
  <c r="AH117" i="78" s="1"/>
  <c r="W10" i="74"/>
  <c r="X10" i="74" s="1"/>
  <c r="V23" i="74"/>
  <c r="W23" i="74"/>
  <c r="X23" i="74" s="1"/>
  <c r="Q58" i="78"/>
  <c r="AE116" i="78" s="1"/>
  <c r="N36" i="78"/>
  <c r="AG116" i="78" s="1"/>
  <c r="AF4" i="94" l="1"/>
  <c r="AG4" i="94" s="1"/>
  <c r="N80" i="78"/>
  <c r="AH116" i="78" s="1"/>
  <c r="V7" i="79"/>
  <c r="AI123" i="78"/>
  <c r="AJ118" i="78"/>
  <c r="AI117" i="78"/>
  <c r="W15" i="79"/>
  <c r="X15" i="79" s="1"/>
  <c r="Y15" i="79" s="1"/>
  <c r="Z15" i="79" s="1"/>
  <c r="AA15" i="79" s="1"/>
  <c r="T15" i="74" s="1"/>
  <c r="U15" i="74" s="1"/>
  <c r="Q67" i="78" s="1"/>
  <c r="AE125" i="78" s="1"/>
  <c r="AF123" i="78"/>
  <c r="AB13" i="74"/>
  <c r="AC13" i="74" s="1"/>
  <c r="AD13" i="74" s="1"/>
  <c r="S13" i="84" s="1"/>
  <c r="Y13" i="74"/>
  <c r="Z13" i="74" s="1"/>
  <c r="AA13" i="74" s="1"/>
  <c r="AB13" i="84" s="1"/>
  <c r="AC13" i="84" s="1"/>
  <c r="AD13" i="84" s="1"/>
  <c r="AB123" i="78"/>
  <c r="AC123" i="78" s="1"/>
  <c r="AF117" i="78"/>
  <c r="AL118" i="78"/>
  <c r="AI116" i="78"/>
  <c r="V8" i="74"/>
  <c r="N76" i="78"/>
  <c r="AH112" i="78" s="1"/>
  <c r="N32" i="78"/>
  <c r="AG112" i="78" s="1"/>
  <c r="W8" i="74"/>
  <c r="X8" i="74" s="1"/>
  <c r="Q54" i="78"/>
  <c r="AE112" i="78" s="1"/>
  <c r="Q10" i="78"/>
  <c r="AD112" i="78" s="1"/>
  <c r="AB10" i="74"/>
  <c r="AC10" i="74" s="1"/>
  <c r="AD10" i="74" s="1"/>
  <c r="S10" i="84" s="1"/>
  <c r="Y10" i="74"/>
  <c r="Z10" i="74" s="1"/>
  <c r="AA10" i="74" s="1"/>
  <c r="AB10" i="84" s="1"/>
  <c r="AC10" i="84" s="1"/>
  <c r="AD10" i="84" s="1"/>
  <c r="AB117" i="78"/>
  <c r="AC117" i="78" s="1"/>
  <c r="AB23" i="74"/>
  <c r="AC23" i="74" s="1"/>
  <c r="AD23" i="74" s="1"/>
  <c r="S23" i="84" s="1"/>
  <c r="Y23" i="74"/>
  <c r="Z23" i="74" s="1"/>
  <c r="AA23" i="74" s="1"/>
  <c r="AB23" i="84" s="1"/>
  <c r="AC23" i="84" s="1"/>
  <c r="AD23" i="84" s="1"/>
  <c r="AB116" i="78"/>
  <c r="AC116" i="78" s="1"/>
  <c r="V17" i="91"/>
  <c r="X17" i="91" s="1"/>
  <c r="AE17" i="91" s="1"/>
  <c r="AF17" i="91" s="1"/>
  <c r="W9" i="79"/>
  <c r="X9" i="79" s="1"/>
  <c r="Y9" i="79" s="1"/>
  <c r="Z9" i="79" s="1"/>
  <c r="AA9" i="79" s="1"/>
  <c r="T9" i="74" s="1"/>
  <c r="U9" i="74" s="1"/>
  <c r="V9" i="79"/>
  <c r="AB110" i="78"/>
  <c r="AC110" i="78" s="1"/>
  <c r="Y6" i="74"/>
  <c r="Z6" i="74" s="1"/>
  <c r="AA6" i="74" s="1"/>
  <c r="AB6" i="84" s="1"/>
  <c r="AC6" i="84" s="1"/>
  <c r="AD6" i="84" s="1"/>
  <c r="AB6" i="74"/>
  <c r="AC6" i="74" s="1"/>
  <c r="AD6" i="74" s="1"/>
  <c r="S6" i="84" s="1"/>
  <c r="V14" i="94"/>
  <c r="AQ14" i="84"/>
  <c r="V19" i="74"/>
  <c r="Q18" i="78"/>
  <c r="AD120" i="78" s="1"/>
  <c r="N40" i="78"/>
  <c r="AG120" i="78" s="1"/>
  <c r="Q62" i="78"/>
  <c r="AE120" i="78" s="1"/>
  <c r="N84" i="78"/>
  <c r="AH120" i="78" s="1"/>
  <c r="W19" i="74"/>
  <c r="X19" i="74" s="1"/>
  <c r="R22" i="92"/>
  <c r="AD126" i="92" s="1"/>
  <c r="O44" i="92"/>
  <c r="AG126" i="92" s="1"/>
  <c r="R66" i="92"/>
  <c r="AE126" i="92" s="1"/>
  <c r="O88" i="92"/>
  <c r="AH126" i="92" s="1"/>
  <c r="S12" i="91"/>
  <c r="T12" i="91" s="1"/>
  <c r="U12" i="91" s="1"/>
  <c r="T12" i="84"/>
  <c r="U12" i="84" s="1"/>
  <c r="V5" i="79"/>
  <c r="W5" i="79"/>
  <c r="X5" i="79" s="1"/>
  <c r="Y5" i="79" s="1"/>
  <c r="Z5" i="79" s="1"/>
  <c r="AA5" i="79" s="1"/>
  <c r="T5" i="74" s="1"/>
  <c r="U5" i="74" s="1"/>
  <c r="S11" i="91"/>
  <c r="T11" i="91" s="1"/>
  <c r="U11" i="91" s="1"/>
  <c r="T11" i="84"/>
  <c r="U11" i="84" s="1"/>
  <c r="AB26" i="68"/>
  <c r="AB28" i="68" s="1"/>
  <c r="AH27" i="69" s="1"/>
  <c r="AC4" i="68"/>
  <c r="AD4" i="68" s="1"/>
  <c r="AE4" i="68" s="1"/>
  <c r="R4" i="69" s="1"/>
  <c r="S4" i="69" s="1"/>
  <c r="AI110" i="78"/>
  <c r="V22" i="79"/>
  <c r="W22" i="79"/>
  <c r="X22" i="79" s="1"/>
  <c r="Y22" i="79" s="1"/>
  <c r="Z22" i="79" s="1"/>
  <c r="AA22" i="79" s="1"/>
  <c r="T22" i="74" s="1"/>
  <c r="U22" i="74" s="1"/>
  <c r="Q22" i="85"/>
  <c r="AD124" i="85" s="1"/>
  <c r="N88" i="85"/>
  <c r="AH124" i="85" s="1"/>
  <c r="Q66" i="85"/>
  <c r="AE124" i="85" s="1"/>
  <c r="N44" i="85"/>
  <c r="AG124" i="85" s="1"/>
  <c r="V20" i="84"/>
  <c r="X20" i="84" s="1"/>
  <c r="AE20" i="84" s="1"/>
  <c r="AF20" i="84" s="1"/>
  <c r="W18" i="74"/>
  <c r="X18" i="74" s="1"/>
  <c r="Q61" i="78"/>
  <c r="AE119" i="78" s="1"/>
  <c r="N83" i="78"/>
  <c r="AH119" i="78" s="1"/>
  <c r="N39" i="78"/>
  <c r="AG119" i="78" s="1"/>
  <c r="Q17" i="78"/>
  <c r="AD119" i="78" s="1"/>
  <c r="V18" i="74"/>
  <c r="AF116" i="78"/>
  <c r="V17" i="84"/>
  <c r="X17" i="84" s="1"/>
  <c r="AE17" i="84" s="1"/>
  <c r="AF17" i="84" s="1"/>
  <c r="AJ122" i="78"/>
  <c r="AL122" i="78"/>
  <c r="AF110" i="78"/>
  <c r="Q23" i="78"/>
  <c r="AD125" i="78" s="1"/>
  <c r="N45" i="78"/>
  <c r="AG125" i="78" s="1"/>
  <c r="W15" i="74"/>
  <c r="N89" i="78"/>
  <c r="AH125" i="78" s="1"/>
  <c r="W7" i="74"/>
  <c r="X7" i="74" s="1"/>
  <c r="Q9" i="78"/>
  <c r="AD111" i="78" s="1"/>
  <c r="V7" i="74"/>
  <c r="Q53" i="78"/>
  <c r="AE111" i="78" s="1"/>
  <c r="N31" i="78"/>
  <c r="AG111" i="78" s="1"/>
  <c r="N75" i="78"/>
  <c r="AH111" i="78" s="1"/>
  <c r="V20" i="91"/>
  <c r="X20" i="91" s="1"/>
  <c r="AE20" i="91" s="1"/>
  <c r="AF20" i="91" s="1"/>
  <c r="AJ117" i="78" l="1"/>
  <c r="AF124" i="85"/>
  <c r="AL117" i="78"/>
  <c r="V15" i="74"/>
  <c r="AI111" i="78"/>
  <c r="AL123" i="78"/>
  <c r="AJ123" i="78"/>
  <c r="AI126" i="92"/>
  <c r="AI112" i="78"/>
  <c r="S13" i="91"/>
  <c r="T13" i="91" s="1"/>
  <c r="U13" i="91" s="1"/>
  <c r="T13" i="84"/>
  <c r="U13" i="84" s="1"/>
  <c r="V13" i="84" s="1"/>
  <c r="X13" i="84" s="1"/>
  <c r="AE13" i="84" s="1"/>
  <c r="AF13" i="84" s="1"/>
  <c r="AJ13" i="84" s="1"/>
  <c r="AK13" i="84" s="1"/>
  <c r="Y8" i="74"/>
  <c r="Z8" i="74" s="1"/>
  <c r="AA8" i="74" s="1"/>
  <c r="AB8" i="84" s="1"/>
  <c r="AC8" i="84" s="1"/>
  <c r="AD8" i="84" s="1"/>
  <c r="AB112" i="78"/>
  <c r="AC112" i="78" s="1"/>
  <c r="AB8" i="74"/>
  <c r="AC8" i="74" s="1"/>
  <c r="AD8" i="74" s="1"/>
  <c r="S8" i="84" s="1"/>
  <c r="AF112" i="78"/>
  <c r="AH17" i="84"/>
  <c r="AJ17" i="84"/>
  <c r="AK17" i="84" s="1"/>
  <c r="AB113" i="85"/>
  <c r="AC113" i="85" s="1"/>
  <c r="AL17" i="84"/>
  <c r="AJ17" i="94"/>
  <c r="AO17" i="84"/>
  <c r="AP17" i="84" s="1"/>
  <c r="AJ20" i="91"/>
  <c r="AK20" i="91" s="1"/>
  <c r="AL20" i="91"/>
  <c r="AB123" i="92"/>
  <c r="AC123" i="92" s="1"/>
  <c r="AH20" i="91"/>
  <c r="AH20" i="84"/>
  <c r="AJ20" i="84"/>
  <c r="AK20" i="84" s="1"/>
  <c r="AO20" i="84"/>
  <c r="AP20" i="84" s="1"/>
  <c r="AB121" i="85"/>
  <c r="AC121" i="85" s="1"/>
  <c r="AJ20" i="94"/>
  <c r="AL20" i="84"/>
  <c r="AF119" i="78"/>
  <c r="N35" i="78"/>
  <c r="AG115" i="78" s="1"/>
  <c r="Q13" i="78"/>
  <c r="AD115" i="78" s="1"/>
  <c r="W9" i="74"/>
  <c r="X9" i="74" s="1"/>
  <c r="N79" i="78"/>
  <c r="AH115" i="78" s="1"/>
  <c r="Q57" i="78"/>
  <c r="AE115" i="78" s="1"/>
  <c r="V9" i="74"/>
  <c r="AF111" i="78"/>
  <c r="B16" i="83"/>
  <c r="X15" i="74"/>
  <c r="AJ110" i="78"/>
  <c r="AL110" i="78"/>
  <c r="AI119" i="78"/>
  <c r="AI124" i="85"/>
  <c r="V11" i="91"/>
  <c r="X11" i="91" s="1"/>
  <c r="AE11" i="91" s="1"/>
  <c r="AF11" i="91" s="1"/>
  <c r="V12" i="91"/>
  <c r="X12" i="91" s="1"/>
  <c r="AE12" i="91" s="1"/>
  <c r="AF12" i="91" s="1"/>
  <c r="AF126" i="92"/>
  <c r="AI120" i="78"/>
  <c r="W14" i="94"/>
  <c r="X14" i="94" s="1"/>
  <c r="AV14" i="94"/>
  <c r="N78" i="78"/>
  <c r="AH114" i="78" s="1"/>
  <c r="N34" i="78"/>
  <c r="AG114" i="78" s="1"/>
  <c r="Q12" i="78"/>
  <c r="AD114" i="78" s="1"/>
  <c r="W22" i="74"/>
  <c r="X22" i="74" s="1"/>
  <c r="Q56" i="78"/>
  <c r="AE114" i="78" s="1"/>
  <c r="V22" i="74"/>
  <c r="S23" i="91"/>
  <c r="T23" i="91" s="1"/>
  <c r="U23" i="91" s="1"/>
  <c r="T23" i="84"/>
  <c r="U23" i="84" s="1"/>
  <c r="AF125" i="78"/>
  <c r="AB18" i="74"/>
  <c r="AC18" i="74" s="1"/>
  <c r="AD18" i="74" s="1"/>
  <c r="S18" i="84" s="1"/>
  <c r="Y18" i="74"/>
  <c r="Z18" i="74" s="1"/>
  <c r="AA18" i="74" s="1"/>
  <c r="AB18" i="84" s="1"/>
  <c r="AC18" i="84" s="1"/>
  <c r="AD18" i="84" s="1"/>
  <c r="AB119" i="78"/>
  <c r="AC119" i="78" s="1"/>
  <c r="V11" i="84"/>
  <c r="X11" i="84" s="1"/>
  <c r="AE11" i="84" s="1"/>
  <c r="V12" i="84"/>
  <c r="X12" i="84" s="1"/>
  <c r="AE12" i="84" s="1"/>
  <c r="AF12" i="84" s="1"/>
  <c r="S6" i="91"/>
  <c r="T6" i="91" s="1"/>
  <c r="U6" i="91" s="1"/>
  <c r="T6" i="84"/>
  <c r="U6" i="84" s="1"/>
  <c r="AB111" i="78"/>
  <c r="AC111" i="78" s="1"/>
  <c r="AB7" i="74"/>
  <c r="AC7" i="74" s="1"/>
  <c r="AD7" i="74" s="1"/>
  <c r="S7" i="84" s="1"/>
  <c r="Y7" i="74"/>
  <c r="Z7" i="74" s="1"/>
  <c r="AA7" i="74" s="1"/>
  <c r="AB7" i="84" s="1"/>
  <c r="AC7" i="84" s="1"/>
  <c r="AD7" i="84" s="1"/>
  <c r="AI125" i="78"/>
  <c r="AJ116" i="78"/>
  <c r="AL116" i="78"/>
  <c r="V4" i="69"/>
  <c r="L72" i="66"/>
  <c r="U107" i="66" s="1"/>
  <c r="AE4" i="69" s="1"/>
  <c r="N50" i="66"/>
  <c r="S107" i="66" s="1"/>
  <c r="AB4" i="69" s="1"/>
  <c r="N6" i="66"/>
  <c r="R107" i="66" s="1"/>
  <c r="AA4" i="69" s="1"/>
  <c r="T4" i="69"/>
  <c r="U4" i="69" s="1"/>
  <c r="L28" i="66" s="1"/>
  <c r="T107" i="66" s="1"/>
  <c r="AD4" i="69" s="1"/>
  <c r="Q7" i="78"/>
  <c r="AD109" i="78" s="1"/>
  <c r="N29" i="78"/>
  <c r="AG109" i="78" s="1"/>
  <c r="V5" i="74"/>
  <c r="W5" i="74"/>
  <c r="X5" i="74" s="1"/>
  <c r="N73" i="78"/>
  <c r="AH109" i="78" s="1"/>
  <c r="Q51" i="78"/>
  <c r="AE109" i="78" s="1"/>
  <c r="AB120" i="78"/>
  <c r="AC120" i="78" s="1"/>
  <c r="Y19" i="74"/>
  <c r="Z19" i="74" s="1"/>
  <c r="AA19" i="74" s="1"/>
  <c r="AB19" i="84" s="1"/>
  <c r="AC19" i="84" s="1"/>
  <c r="AD19" i="84" s="1"/>
  <c r="AB19" i="74"/>
  <c r="AC19" i="74" s="1"/>
  <c r="AD19" i="74" s="1"/>
  <c r="S19" i="84" s="1"/>
  <c r="AF120" i="78"/>
  <c r="AH17" i="91"/>
  <c r="AB115" i="92"/>
  <c r="AC115" i="92" s="1"/>
  <c r="AJ17" i="91"/>
  <c r="AK17" i="91" s="1"/>
  <c r="AL17" i="91"/>
  <c r="S10" i="91"/>
  <c r="T10" i="91" s="1"/>
  <c r="U10" i="91" s="1"/>
  <c r="T10" i="84"/>
  <c r="U10" i="84" s="1"/>
  <c r="AF11" i="84" l="1"/>
  <c r="AL124" i="85"/>
  <c r="AF115" i="78"/>
  <c r="AL13" i="84"/>
  <c r="AO13" i="84"/>
  <c r="AP13" i="84" s="1"/>
  <c r="V13" i="94" s="1"/>
  <c r="AB123" i="85"/>
  <c r="AC123" i="85" s="1"/>
  <c r="AJ13" i="94"/>
  <c r="AH13" i="84"/>
  <c r="AC4" i="69"/>
  <c r="AI114" i="78"/>
  <c r="V13" i="91"/>
  <c r="X13" i="91" s="1"/>
  <c r="AE13" i="91" s="1"/>
  <c r="AF13" i="91" s="1"/>
  <c r="S8" i="91"/>
  <c r="T8" i="91" s="1"/>
  <c r="U8" i="91" s="1"/>
  <c r="V8" i="91" s="1"/>
  <c r="X8" i="91" s="1"/>
  <c r="AE8" i="91" s="1"/>
  <c r="AF8" i="91" s="1"/>
  <c r="AB114" i="92" s="1"/>
  <c r="AC114" i="92" s="1"/>
  <c r="T8" i="84"/>
  <c r="U8" i="84" s="1"/>
  <c r="V8" i="84" s="1"/>
  <c r="X8" i="84" s="1"/>
  <c r="AE8" i="84" s="1"/>
  <c r="AF8" i="84" s="1"/>
  <c r="AL8" i="84" s="1"/>
  <c r="AF109" i="78"/>
  <c r="AL112" i="78"/>
  <c r="AJ112" i="78"/>
  <c r="AF114" i="78"/>
  <c r="AJ11" i="91"/>
  <c r="AK11" i="91" s="1"/>
  <c r="AL11" i="91"/>
  <c r="AB120" i="92"/>
  <c r="AC120" i="92" s="1"/>
  <c r="AH11" i="91"/>
  <c r="AB118" i="85"/>
  <c r="AC118" i="85" s="1"/>
  <c r="AL11" i="84"/>
  <c r="AJ11" i="84"/>
  <c r="AK11" i="84" s="1"/>
  <c r="AJ11" i="94"/>
  <c r="AH11" i="84"/>
  <c r="AO11" i="84"/>
  <c r="AJ12" i="91"/>
  <c r="AK12" i="91" s="1"/>
  <c r="AL12" i="91"/>
  <c r="AB124" i="92"/>
  <c r="AC124" i="92" s="1"/>
  <c r="AH12" i="91"/>
  <c r="AB122" i="85"/>
  <c r="AC122" i="85" s="1"/>
  <c r="AL12" i="84"/>
  <c r="AO12" i="84"/>
  <c r="AP12" i="84" s="1"/>
  <c r="AJ12" i="94"/>
  <c r="AJ12" i="84"/>
  <c r="AK12" i="84" s="1"/>
  <c r="AH12" i="84"/>
  <c r="S19" i="91"/>
  <c r="T19" i="91" s="1"/>
  <c r="U19" i="91" s="1"/>
  <c r="T19" i="84"/>
  <c r="U19" i="84" s="1"/>
  <c r="AB114" i="78"/>
  <c r="AC114" i="78" s="1"/>
  <c r="AB22" i="74"/>
  <c r="AC22" i="74" s="1"/>
  <c r="AD22" i="74" s="1"/>
  <c r="S22" i="84" s="1"/>
  <c r="Y22" i="74"/>
  <c r="Z22" i="74" s="1"/>
  <c r="AA22" i="74" s="1"/>
  <c r="AB22" i="84" s="1"/>
  <c r="AC22" i="84" s="1"/>
  <c r="AD22" i="84" s="1"/>
  <c r="AX14" i="94"/>
  <c r="AW14" i="94"/>
  <c r="AJ111" i="78"/>
  <c r="AL111" i="78"/>
  <c r="N41" i="85"/>
  <c r="AG121" i="85" s="1"/>
  <c r="N85" i="85"/>
  <c r="AH121" i="85" s="1"/>
  <c r="Q63" i="85"/>
  <c r="AE121" i="85" s="1"/>
  <c r="Q19" i="85"/>
  <c r="AD121" i="85" s="1"/>
  <c r="AF4" i="69"/>
  <c r="V23" i="91"/>
  <c r="X23" i="91" s="1"/>
  <c r="AE23" i="91" s="1"/>
  <c r="AF23" i="91" s="1"/>
  <c r="Y14" i="94"/>
  <c r="AA14" i="94" s="1"/>
  <c r="AJ119" i="78"/>
  <c r="AL119" i="78"/>
  <c r="V6" i="84"/>
  <c r="X6" i="84" s="1"/>
  <c r="AE6" i="84" s="1"/>
  <c r="AF6" i="84" s="1"/>
  <c r="S18" i="91"/>
  <c r="T18" i="91" s="1"/>
  <c r="U18" i="91" s="1"/>
  <c r="T18" i="84"/>
  <c r="U18" i="84" s="1"/>
  <c r="AB125" i="78"/>
  <c r="AC125" i="78" s="1"/>
  <c r="AB15" i="74"/>
  <c r="Y15" i="74"/>
  <c r="Z15" i="74" s="1"/>
  <c r="AA15" i="74" s="1"/>
  <c r="AB15" i="84" s="1"/>
  <c r="AC15" i="84" s="1"/>
  <c r="AD15" i="84" s="1"/>
  <c r="B17" i="83"/>
  <c r="AI115" i="78"/>
  <c r="Q65" i="85"/>
  <c r="AE123" i="85" s="1"/>
  <c r="N87" i="85"/>
  <c r="AH123" i="85" s="1"/>
  <c r="N43" i="85"/>
  <c r="AG123" i="85" s="1"/>
  <c r="Q21" i="85"/>
  <c r="AD123" i="85" s="1"/>
  <c r="V17" i="94"/>
  <c r="AQ17" i="84"/>
  <c r="N77" i="85"/>
  <c r="AH113" i="85" s="1"/>
  <c r="N33" i="85"/>
  <c r="AG113" i="85" s="1"/>
  <c r="Q11" i="85"/>
  <c r="AD113" i="85" s="1"/>
  <c r="Q55" i="85"/>
  <c r="AE113" i="85" s="1"/>
  <c r="R11" i="92"/>
  <c r="AD115" i="92" s="1"/>
  <c r="O33" i="92"/>
  <c r="AG115" i="92" s="1"/>
  <c r="R55" i="92"/>
  <c r="AE115" i="92" s="1"/>
  <c r="O77" i="92"/>
  <c r="AH115" i="92" s="1"/>
  <c r="S7" i="91"/>
  <c r="T7" i="91" s="1"/>
  <c r="U7" i="91" s="1"/>
  <c r="T7" i="84"/>
  <c r="U7" i="84" s="1"/>
  <c r="V23" i="84"/>
  <c r="X23" i="84" s="1"/>
  <c r="AE23" i="84" s="1"/>
  <c r="AF23" i="84" s="1"/>
  <c r="Y9" i="74"/>
  <c r="Z9" i="74" s="1"/>
  <c r="AA9" i="74" s="1"/>
  <c r="AB9" i="84" s="1"/>
  <c r="AC9" i="84" s="1"/>
  <c r="AD9" i="84" s="1"/>
  <c r="AB9" i="74"/>
  <c r="AC9" i="74" s="1"/>
  <c r="AD9" i="74" s="1"/>
  <c r="S9" i="84" s="1"/>
  <c r="AB115" i="78"/>
  <c r="AC115" i="78" s="1"/>
  <c r="AJ124" i="85"/>
  <c r="V10" i="84"/>
  <c r="X10" i="84" s="1"/>
  <c r="AE10" i="84" s="1"/>
  <c r="AF10" i="84" s="1"/>
  <c r="AB5" i="74"/>
  <c r="AC5" i="74" s="1"/>
  <c r="AD5" i="74" s="1"/>
  <c r="S5" i="84" s="1"/>
  <c r="Y5" i="74"/>
  <c r="Z5" i="74" s="1"/>
  <c r="AA5" i="74" s="1"/>
  <c r="AB5" i="84" s="1"/>
  <c r="AC5" i="84" s="1"/>
  <c r="AD5" i="84" s="1"/>
  <c r="AB109" i="78"/>
  <c r="AC109" i="78" s="1"/>
  <c r="V25" i="69"/>
  <c r="V29" i="69" s="1"/>
  <c r="W4" i="69"/>
  <c r="P107" i="66" s="1"/>
  <c r="Q107" i="66" s="1"/>
  <c r="O41" i="92"/>
  <c r="AG123" i="92" s="1"/>
  <c r="R63" i="92"/>
  <c r="AE123" i="92" s="1"/>
  <c r="O85" i="92"/>
  <c r="AH123" i="92" s="1"/>
  <c r="R19" i="92"/>
  <c r="AD123" i="92" s="1"/>
  <c r="V10" i="91"/>
  <c r="X10" i="91" s="1"/>
  <c r="AE10" i="91" s="1"/>
  <c r="AF10" i="91" s="1"/>
  <c r="AJ120" i="78"/>
  <c r="AL120" i="78"/>
  <c r="AI109" i="78"/>
  <c r="V6" i="91"/>
  <c r="X6" i="91" s="1"/>
  <c r="AE6" i="91" s="1"/>
  <c r="AF6" i="91" s="1"/>
  <c r="AJ125" i="78"/>
  <c r="AL125" i="78"/>
  <c r="AJ126" i="92"/>
  <c r="AL126" i="92"/>
  <c r="AQ20" i="84"/>
  <c r="V20" i="94"/>
  <c r="AH14" i="94" l="1"/>
  <c r="AI14" i="94" s="1"/>
  <c r="AC14" i="104"/>
  <c r="AD14" i="104" s="1"/>
  <c r="AH14" i="104"/>
  <c r="AP11" i="84"/>
  <c r="V11" i="94" s="1"/>
  <c r="AQ13" i="84"/>
  <c r="AL8" i="91"/>
  <c r="AH8" i="84"/>
  <c r="AL115" i="78"/>
  <c r="AB112" i="85"/>
  <c r="AC112" i="85" s="1"/>
  <c r="AL114" i="78"/>
  <c r="AH8" i="91"/>
  <c r="AJ8" i="91"/>
  <c r="AK8" i="91" s="1"/>
  <c r="O76" i="92" s="1"/>
  <c r="AH114" i="92" s="1"/>
  <c r="AJ114" i="78"/>
  <c r="AO8" i="84"/>
  <c r="AP8" i="84" s="1"/>
  <c r="V8" i="94" s="1"/>
  <c r="AI115" i="92"/>
  <c r="AI113" i="85"/>
  <c r="AG4" i="69"/>
  <c r="AH4" i="69" s="1"/>
  <c r="AI4" i="69" s="1"/>
  <c r="AJ4" i="69" s="1"/>
  <c r="AK4" i="69" s="1"/>
  <c r="T4" i="79" s="1"/>
  <c r="U4" i="79" s="1"/>
  <c r="AJ8" i="84"/>
  <c r="AK8" i="84" s="1"/>
  <c r="N32" i="85" s="1"/>
  <c r="AG112" i="85" s="1"/>
  <c r="AJ8" i="94"/>
  <c r="AJ13" i="91"/>
  <c r="AK13" i="91" s="1"/>
  <c r="AL13" i="91"/>
  <c r="AB125" i="92"/>
  <c r="AC125" i="92" s="1"/>
  <c r="AH13" i="91"/>
  <c r="AF123" i="85"/>
  <c r="AF115" i="92"/>
  <c r="AF121" i="85"/>
  <c r="AI123" i="92"/>
  <c r="AF123" i="92"/>
  <c r="AI123" i="85"/>
  <c r="AI121" i="85"/>
  <c r="AL109" i="78"/>
  <c r="AJ23" i="94"/>
  <c r="AH23" i="84"/>
  <c r="AO23" i="84"/>
  <c r="AP23" i="84" s="1"/>
  <c r="AJ23" i="84"/>
  <c r="AK23" i="84" s="1"/>
  <c r="AB116" i="85"/>
  <c r="AC116" i="85" s="1"/>
  <c r="AL23" i="84"/>
  <c r="AL6" i="91"/>
  <c r="AB112" i="92"/>
  <c r="AC112" i="92" s="1"/>
  <c r="AJ6" i="91"/>
  <c r="AK6" i="91" s="1"/>
  <c r="AH6" i="91"/>
  <c r="AH10" i="84"/>
  <c r="AJ10" i="84"/>
  <c r="AK10" i="84" s="1"/>
  <c r="AO10" i="84"/>
  <c r="AP10" i="84" s="1"/>
  <c r="AJ10" i="94"/>
  <c r="AB117" i="85"/>
  <c r="AC117" i="85" s="1"/>
  <c r="AL10" i="84"/>
  <c r="AH23" i="91"/>
  <c r="AB118" i="92"/>
  <c r="AC118" i="92" s="1"/>
  <c r="AL23" i="91"/>
  <c r="AJ23" i="91"/>
  <c r="AK23" i="91" s="1"/>
  <c r="W13" i="94"/>
  <c r="X13" i="94" s="1"/>
  <c r="AV13" i="94"/>
  <c r="AJ10" i="91"/>
  <c r="AK10" i="91" s="1"/>
  <c r="AH10" i="91"/>
  <c r="AL10" i="91"/>
  <c r="AB119" i="92"/>
  <c r="AC119" i="92" s="1"/>
  <c r="AL6" i="84"/>
  <c r="AJ6" i="94"/>
  <c r="AB110" i="85"/>
  <c r="AC110" i="85" s="1"/>
  <c r="AH6" i="84"/>
  <c r="AJ6" i="84"/>
  <c r="AK6" i="84" s="1"/>
  <c r="AO6" i="84"/>
  <c r="AP6" i="84" s="1"/>
  <c r="V19" i="84"/>
  <c r="X19" i="84" s="1"/>
  <c r="AE19" i="84" s="1"/>
  <c r="AF19" i="84" s="1"/>
  <c r="V18" i="84"/>
  <c r="X18" i="84" s="1"/>
  <c r="AE18" i="84" s="1"/>
  <c r="AF18" i="84" s="1"/>
  <c r="AQ12" i="84"/>
  <c r="V12" i="94"/>
  <c r="AJ115" i="78"/>
  <c r="S9" i="91"/>
  <c r="T9" i="91" s="1"/>
  <c r="U9" i="91" s="1"/>
  <c r="T9" i="84"/>
  <c r="U9" i="84" s="1"/>
  <c r="V7" i="84"/>
  <c r="X7" i="84" s="1"/>
  <c r="AE7" i="84" s="1"/>
  <c r="AF7" i="84" s="1"/>
  <c r="V18" i="91"/>
  <c r="X18" i="91" s="1"/>
  <c r="AE18" i="91" s="1"/>
  <c r="AF18" i="91" s="1"/>
  <c r="S22" i="91"/>
  <c r="T22" i="91" s="1"/>
  <c r="U22" i="91" s="1"/>
  <c r="T22" i="84"/>
  <c r="U22" i="84" s="1"/>
  <c r="AJ109" i="78"/>
  <c r="S5" i="91"/>
  <c r="T5" i="91" s="1"/>
  <c r="U5" i="91" s="1"/>
  <c r="T5" i="84"/>
  <c r="U5" i="84" s="1"/>
  <c r="V19" i="91"/>
  <c r="X19" i="91" s="1"/>
  <c r="AE19" i="91" s="1"/>
  <c r="AF19" i="91" s="1"/>
  <c r="R16" i="92"/>
  <c r="AD120" i="92" s="1"/>
  <c r="O38" i="92"/>
  <c r="AG120" i="92" s="1"/>
  <c r="O82" i="92"/>
  <c r="AH120" i="92" s="1"/>
  <c r="R60" i="92"/>
  <c r="AE120" i="92" s="1"/>
  <c r="AV20" i="94"/>
  <c r="W20" i="94"/>
  <c r="X20" i="94" s="1"/>
  <c r="V7" i="91"/>
  <c r="X7" i="91" s="1"/>
  <c r="AE7" i="91" s="1"/>
  <c r="AF7" i="91" s="1"/>
  <c r="AF113" i="85"/>
  <c r="AV17" i="94"/>
  <c r="W17" i="94"/>
  <c r="X17" i="94" s="1"/>
  <c r="AC15" i="74"/>
  <c r="B19" i="83"/>
  <c r="N42" i="85"/>
  <c r="AG122" i="85" s="1"/>
  <c r="N86" i="85"/>
  <c r="AH122" i="85" s="1"/>
  <c r="Q20" i="85"/>
  <c r="AD122" i="85" s="1"/>
  <c r="Q64" i="85"/>
  <c r="AE122" i="85" s="1"/>
  <c r="R20" i="92"/>
  <c r="AD124" i="92" s="1"/>
  <c r="O42" i="92"/>
  <c r="AG124" i="92" s="1"/>
  <c r="O86" i="92"/>
  <c r="AH124" i="92" s="1"/>
  <c r="R64" i="92"/>
  <c r="AE124" i="92" s="1"/>
  <c r="N38" i="85"/>
  <c r="AG118" i="85" s="1"/>
  <c r="Q60" i="85"/>
  <c r="AE118" i="85" s="1"/>
  <c r="N82" i="85"/>
  <c r="AH118" i="85" s="1"/>
  <c r="Q16" i="85"/>
  <c r="AD118" i="85" s="1"/>
  <c r="AR14" i="94" l="1"/>
  <c r="AS14" i="94" s="1"/>
  <c r="AE14" i="104"/>
  <c r="AI14" i="112"/>
  <c r="R10" i="92"/>
  <c r="AD114" i="92" s="1"/>
  <c r="AO14" i="94"/>
  <c r="AB128" i="95"/>
  <c r="AC128" i="95" s="1"/>
  <c r="AM14" i="94"/>
  <c r="AN14" i="94" s="1"/>
  <c r="AK14" i="94"/>
  <c r="AQ11" i="84"/>
  <c r="AJ121" i="85"/>
  <c r="Q54" i="85"/>
  <c r="AE112" i="85" s="1"/>
  <c r="Q10" i="85"/>
  <c r="AD112" i="85" s="1"/>
  <c r="AF112" i="85" s="1"/>
  <c r="AQ8" i="84"/>
  <c r="AL115" i="92"/>
  <c r="AH25" i="69"/>
  <c r="AH29" i="69" s="1"/>
  <c r="O32" i="92"/>
  <c r="AG114" i="92" s="1"/>
  <c r="AI114" i="92" s="1"/>
  <c r="R54" i="92"/>
  <c r="AE114" i="92" s="1"/>
  <c r="AL121" i="85"/>
  <c r="N76" i="85"/>
  <c r="AH112" i="85" s="1"/>
  <c r="AI112" i="85" s="1"/>
  <c r="AL123" i="92"/>
  <c r="AJ123" i="85"/>
  <c r="AJ123" i="92"/>
  <c r="AJ115" i="92"/>
  <c r="AF122" i="85"/>
  <c r="AL123" i="85"/>
  <c r="O43" i="92"/>
  <c r="AG125" i="92" s="1"/>
  <c r="O87" i="92"/>
  <c r="AH125" i="92" s="1"/>
  <c r="R65" i="92"/>
  <c r="AE125" i="92" s="1"/>
  <c r="R21" i="92"/>
  <c r="AD125" i="92" s="1"/>
  <c r="AF124" i="92"/>
  <c r="AL19" i="91"/>
  <c r="AH19" i="91"/>
  <c r="AB122" i="92"/>
  <c r="AC122" i="92" s="1"/>
  <c r="AJ19" i="91"/>
  <c r="AK19" i="91" s="1"/>
  <c r="AL7" i="91"/>
  <c r="AB113" i="92"/>
  <c r="AC113" i="92" s="1"/>
  <c r="AJ7" i="91"/>
  <c r="AK7" i="91" s="1"/>
  <c r="AH7" i="91"/>
  <c r="AL18" i="91"/>
  <c r="AB121" i="92"/>
  <c r="AC121" i="92" s="1"/>
  <c r="AJ18" i="91"/>
  <c r="AK18" i="91" s="1"/>
  <c r="AH18" i="91"/>
  <c r="AH18" i="84"/>
  <c r="AO18" i="84"/>
  <c r="AP18" i="84" s="1"/>
  <c r="AJ18" i="84"/>
  <c r="AK18" i="84" s="1"/>
  <c r="AB119" i="85"/>
  <c r="AC119" i="85" s="1"/>
  <c r="AJ18" i="94"/>
  <c r="AL18" i="84"/>
  <c r="AL7" i="84"/>
  <c r="AB111" i="85"/>
  <c r="AC111" i="85" s="1"/>
  <c r="AH7" i="84"/>
  <c r="AJ7" i="94"/>
  <c r="AO7" i="84"/>
  <c r="AP7" i="84" s="1"/>
  <c r="AJ7" i="84"/>
  <c r="AK7" i="84" s="1"/>
  <c r="AB120" i="85"/>
  <c r="AC120" i="85" s="1"/>
  <c r="AJ19" i="84"/>
  <c r="AK19" i="84" s="1"/>
  <c r="AJ19" i="94"/>
  <c r="AL19" i="84"/>
  <c r="AH19" i="84"/>
  <c r="AO19" i="84"/>
  <c r="AP19" i="84" s="1"/>
  <c r="V22" i="84"/>
  <c r="X22" i="84" s="1"/>
  <c r="AE22" i="84" s="1"/>
  <c r="AF22" i="84" s="1"/>
  <c r="AV11" i="94"/>
  <c r="W11" i="94"/>
  <c r="X11" i="94" s="1"/>
  <c r="AI124" i="92"/>
  <c r="Y17" i="94"/>
  <c r="AA17" i="94" s="1"/>
  <c r="Y13" i="94"/>
  <c r="AA13" i="94" s="1"/>
  <c r="O74" i="92"/>
  <c r="AH112" i="92" s="1"/>
  <c r="O30" i="92"/>
  <c r="AG112" i="92" s="1"/>
  <c r="R52" i="92"/>
  <c r="AE112" i="92" s="1"/>
  <c r="R8" i="92"/>
  <c r="AD112" i="92" s="1"/>
  <c r="AI118" i="85"/>
  <c r="AI122" i="85"/>
  <c r="AW17" i="94"/>
  <c r="Y20" i="94"/>
  <c r="AA20" i="94" s="1"/>
  <c r="AI120" i="92"/>
  <c r="V5" i="84"/>
  <c r="X5" i="84" s="1"/>
  <c r="AE5" i="84" s="1"/>
  <c r="AF5" i="84" s="1"/>
  <c r="V9" i="84"/>
  <c r="X9" i="84" s="1"/>
  <c r="AE9" i="84" s="1"/>
  <c r="AF9" i="84" s="1"/>
  <c r="W8" i="94"/>
  <c r="X8" i="94" s="1"/>
  <c r="AV8" i="94"/>
  <c r="O36" i="92"/>
  <c r="AG118" i="92" s="1"/>
  <c r="R14" i="92"/>
  <c r="AD118" i="92" s="1"/>
  <c r="O80" i="92"/>
  <c r="AH118" i="92" s="1"/>
  <c r="R58" i="92"/>
  <c r="AE118" i="92" s="1"/>
  <c r="N81" i="85"/>
  <c r="AH117" i="85" s="1"/>
  <c r="Q15" i="85"/>
  <c r="AD117" i="85" s="1"/>
  <c r="N37" i="85"/>
  <c r="AG117" i="85" s="1"/>
  <c r="Q59" i="85"/>
  <c r="AE117" i="85" s="1"/>
  <c r="Q58" i="85"/>
  <c r="AE116" i="85" s="1"/>
  <c r="N80" i="85"/>
  <c r="AH116" i="85" s="1"/>
  <c r="N36" i="85"/>
  <c r="AG116" i="85" s="1"/>
  <c r="Q14" i="85"/>
  <c r="AD116" i="85" s="1"/>
  <c r="AD15" i="74"/>
  <c r="B24" i="83"/>
  <c r="AQ6" i="84"/>
  <c r="V6" i="94"/>
  <c r="AX13" i="94"/>
  <c r="AW13" i="94"/>
  <c r="V22" i="91"/>
  <c r="X22" i="91" s="1"/>
  <c r="AE22" i="91" s="1"/>
  <c r="AF22" i="91" s="1"/>
  <c r="W12" i="94"/>
  <c r="X12" i="94" s="1"/>
  <c r="AV12" i="94"/>
  <c r="Q8" i="85"/>
  <c r="AD110" i="85" s="1"/>
  <c r="N74" i="85"/>
  <c r="AH110" i="85" s="1"/>
  <c r="Q52" i="85"/>
  <c r="AE110" i="85" s="1"/>
  <c r="N30" i="85"/>
  <c r="AG110" i="85" s="1"/>
  <c r="AQ10" i="84"/>
  <c r="V10" i="94"/>
  <c r="AF118" i="85"/>
  <c r="AJ113" i="85"/>
  <c r="AL113" i="85"/>
  <c r="AW20" i="94"/>
  <c r="AF120" i="92"/>
  <c r="V5" i="91"/>
  <c r="X5" i="91" s="1"/>
  <c r="AE5" i="91" s="1"/>
  <c r="AF5" i="91" s="1"/>
  <c r="V9" i="91"/>
  <c r="X9" i="91" s="1"/>
  <c r="AE9" i="91" s="1"/>
  <c r="AF9" i="91" s="1"/>
  <c r="O81" i="92"/>
  <c r="AH119" i="92" s="1"/>
  <c r="R59" i="92"/>
  <c r="AE119" i="92" s="1"/>
  <c r="R15" i="92"/>
  <c r="AD119" i="92" s="1"/>
  <c r="O37" i="92"/>
  <c r="AG119" i="92" s="1"/>
  <c r="AQ23" i="84"/>
  <c r="V23" i="94"/>
  <c r="W4" i="79"/>
  <c r="V4" i="79"/>
  <c r="AF114" i="92" l="1"/>
  <c r="AT14" i="94"/>
  <c r="T14" i="104"/>
  <c r="AT14" i="104" s="1"/>
  <c r="S66" i="95"/>
  <c r="AE128" i="95" s="1"/>
  <c r="P44" i="95"/>
  <c r="AG128" i="95" s="1"/>
  <c r="S22" i="95"/>
  <c r="AD128" i="95" s="1"/>
  <c r="P88" i="95"/>
  <c r="AH128" i="95" s="1"/>
  <c r="AH20" i="94"/>
  <c r="AI20" i="94" s="1"/>
  <c r="AC20" i="104"/>
  <c r="AD20" i="104" s="1"/>
  <c r="AH13" i="94"/>
  <c r="AI13" i="94" s="1"/>
  <c r="AR13" i="94" s="1"/>
  <c r="AC13" i="104"/>
  <c r="AD13" i="104" s="1"/>
  <c r="AH17" i="94"/>
  <c r="AC17" i="104"/>
  <c r="AD17" i="104" s="1"/>
  <c r="AH20" i="104"/>
  <c r="AH13" i="104"/>
  <c r="AH17" i="104"/>
  <c r="AX20" i="94"/>
  <c r="AX17" i="94"/>
  <c r="AL124" i="92"/>
  <c r="AL112" i="85"/>
  <c r="AL114" i="92"/>
  <c r="AF116" i="85"/>
  <c r="AL116" i="85" s="1"/>
  <c r="AI117" i="85"/>
  <c r="AJ122" i="85"/>
  <c r="AJ124" i="92"/>
  <c r="AF125" i="92"/>
  <c r="AF110" i="85"/>
  <c r="AJ112" i="85"/>
  <c r="AJ114" i="92"/>
  <c r="AI125" i="92"/>
  <c r="AI116" i="85"/>
  <c r="AI112" i="92"/>
  <c r="AL122" i="85"/>
  <c r="AL22" i="91"/>
  <c r="AJ22" i="91"/>
  <c r="AK22" i="91" s="1"/>
  <c r="AB116" i="92"/>
  <c r="AC116" i="92" s="1"/>
  <c r="AH22" i="91"/>
  <c r="AH5" i="84"/>
  <c r="AJ5" i="84"/>
  <c r="AK5" i="84" s="1"/>
  <c r="AO5" i="84"/>
  <c r="AP5" i="84" s="1"/>
  <c r="AB109" i="85"/>
  <c r="AC109" i="85" s="1"/>
  <c r="AJ5" i="94"/>
  <c r="AL5" i="84"/>
  <c r="AJ9" i="94"/>
  <c r="AB115" i="85"/>
  <c r="AC115" i="85" s="1"/>
  <c r="AJ9" i="84"/>
  <c r="AK9" i="84" s="1"/>
  <c r="AO9" i="84"/>
  <c r="AP9" i="84" s="1"/>
  <c r="AL9" i="84"/>
  <c r="AH9" i="84"/>
  <c r="AJ22" i="84"/>
  <c r="AK22" i="84" s="1"/>
  <c r="AJ22" i="94"/>
  <c r="AH22" i="84"/>
  <c r="AL22" i="84"/>
  <c r="AB114" i="85"/>
  <c r="AC114" i="85" s="1"/>
  <c r="AO22" i="84"/>
  <c r="AP22" i="84" s="1"/>
  <c r="AH5" i="91"/>
  <c r="AB111" i="92"/>
  <c r="AC111" i="92" s="1"/>
  <c r="AJ5" i="91"/>
  <c r="AK5" i="91" s="1"/>
  <c r="AL5" i="91"/>
  <c r="AV6" i="94"/>
  <c r="W6" i="94"/>
  <c r="X6" i="94" s="1"/>
  <c r="Q53" i="85"/>
  <c r="AE111" i="85" s="1"/>
  <c r="Q9" i="85"/>
  <c r="AD111" i="85" s="1"/>
  <c r="N31" i="85"/>
  <c r="AG111" i="85" s="1"/>
  <c r="N75" i="85"/>
  <c r="AH111" i="85" s="1"/>
  <c r="R62" i="92"/>
  <c r="AE122" i="92" s="1"/>
  <c r="R18" i="92"/>
  <c r="AD122" i="92" s="1"/>
  <c r="O40" i="92"/>
  <c r="AG122" i="92" s="1"/>
  <c r="O84" i="92"/>
  <c r="AH122" i="92" s="1"/>
  <c r="AJ120" i="92"/>
  <c r="AL120" i="92"/>
  <c r="AQ7" i="84"/>
  <c r="V7" i="94"/>
  <c r="Q17" i="85"/>
  <c r="AD119" i="85" s="1"/>
  <c r="N83" i="85"/>
  <c r="AH119" i="85" s="1"/>
  <c r="N39" i="85"/>
  <c r="AG119" i="85" s="1"/>
  <c r="Q61" i="85"/>
  <c r="AE119" i="85" s="1"/>
  <c r="O31" i="92"/>
  <c r="AG113" i="92" s="1"/>
  <c r="R9" i="92"/>
  <c r="AD113" i="92" s="1"/>
  <c r="O75" i="92"/>
  <c r="AH113" i="92" s="1"/>
  <c r="R53" i="92"/>
  <c r="AE113" i="92" s="1"/>
  <c r="AI119" i="92"/>
  <c r="AI110" i="85"/>
  <c r="AW12" i="94"/>
  <c r="AX12" i="94" s="1"/>
  <c r="AF117" i="85"/>
  <c r="AF118" i="92"/>
  <c r="Y11" i="94"/>
  <c r="AA11" i="94" s="1"/>
  <c r="AQ19" i="84"/>
  <c r="V19" i="94"/>
  <c r="N84" i="85"/>
  <c r="AH120" i="85" s="1"/>
  <c r="Q62" i="85"/>
  <c r="AE120" i="85" s="1"/>
  <c r="N40" i="85"/>
  <c r="AG120" i="85" s="1"/>
  <c r="Q18" i="85"/>
  <c r="AD120" i="85" s="1"/>
  <c r="AQ18" i="84"/>
  <c r="V18" i="94"/>
  <c r="AV23" i="94"/>
  <c r="W23" i="94"/>
  <c r="X23" i="94" s="1"/>
  <c r="AB117" i="92"/>
  <c r="AC117" i="92" s="1"/>
  <c r="AH9" i="91"/>
  <c r="AJ9" i="91"/>
  <c r="AK9" i="91" s="1"/>
  <c r="AL9" i="91"/>
  <c r="AV10" i="94"/>
  <c r="W10" i="94"/>
  <c r="X10" i="94" s="1"/>
  <c r="AX8" i="94"/>
  <c r="AW8" i="94"/>
  <c r="Y8" i="94"/>
  <c r="AA8" i="94" s="1"/>
  <c r="O83" i="92"/>
  <c r="AH121" i="92" s="1"/>
  <c r="R61" i="92"/>
  <c r="AE121" i="92" s="1"/>
  <c r="R17" i="92"/>
  <c r="AD121" i="92" s="1"/>
  <c r="O39" i="92"/>
  <c r="AG121" i="92" s="1"/>
  <c r="AJ118" i="85"/>
  <c r="AL118" i="85"/>
  <c r="W25" i="79"/>
  <c r="B17" i="61"/>
  <c r="X4" i="79"/>
  <c r="AF119" i="92"/>
  <c r="Y12" i="94"/>
  <c r="AA12" i="94" s="1"/>
  <c r="S15" i="84"/>
  <c r="B26" i="83"/>
  <c r="AI118" i="92"/>
  <c r="AF112" i="92"/>
  <c r="AW11" i="94"/>
  <c r="AL125" i="92" l="1"/>
  <c r="AR20" i="94"/>
  <c r="AS20" i="94" s="1"/>
  <c r="AE20" i="104"/>
  <c r="AI20" i="112"/>
  <c r="AE13" i="104"/>
  <c r="AI13" i="112"/>
  <c r="AE17" i="104"/>
  <c r="AI17" i="112"/>
  <c r="AU14" i="104"/>
  <c r="AV14" i="104" s="1"/>
  <c r="AM13" i="94"/>
  <c r="AN13" i="94" s="1"/>
  <c r="P43" i="95" s="1"/>
  <c r="AG127" i="95" s="1"/>
  <c r="AS13" i="94"/>
  <c r="AK20" i="94"/>
  <c r="AI17" i="94"/>
  <c r="AK13" i="94"/>
  <c r="AI128" i="95"/>
  <c r="U14" i="104"/>
  <c r="N116" i="118" s="1"/>
  <c r="AM20" i="94"/>
  <c r="AN20" i="94" s="1"/>
  <c r="AB125" i="95"/>
  <c r="AC125" i="95" s="1"/>
  <c r="AO13" i="94"/>
  <c r="AB127" i="95"/>
  <c r="AC127" i="95" s="1"/>
  <c r="AF128" i="95"/>
  <c r="AH8" i="94"/>
  <c r="AI8" i="94" s="1"/>
  <c r="AO8" i="94" s="1"/>
  <c r="AC8" i="104"/>
  <c r="AD8" i="104" s="1"/>
  <c r="AH12" i="94"/>
  <c r="AI12" i="94" s="1"/>
  <c r="AC12" i="104"/>
  <c r="AD12" i="104" s="1"/>
  <c r="AO20" i="94"/>
  <c r="AH11" i="94"/>
  <c r="AI11" i="94" s="1"/>
  <c r="AC11" i="104"/>
  <c r="AD11" i="104" s="1"/>
  <c r="AH8" i="104"/>
  <c r="AH12" i="104"/>
  <c r="AX11" i="94"/>
  <c r="AJ116" i="85"/>
  <c r="AJ110" i="85"/>
  <c r="AL110" i="85"/>
  <c r="AJ125" i="92"/>
  <c r="AI119" i="85"/>
  <c r="AF122" i="92"/>
  <c r="AF111" i="85"/>
  <c r="AL119" i="92"/>
  <c r="AJ119" i="92"/>
  <c r="W7" i="94"/>
  <c r="X7" i="94" s="1"/>
  <c r="AV7" i="94"/>
  <c r="AI111" i="85"/>
  <c r="AW6" i="94"/>
  <c r="AX6" i="94" s="1"/>
  <c r="AJ112" i="92"/>
  <c r="AL112" i="92"/>
  <c r="Y23" i="94"/>
  <c r="AA23" i="94" s="1"/>
  <c r="AF120" i="85"/>
  <c r="W19" i="94"/>
  <c r="X19" i="94" s="1"/>
  <c r="AV19" i="94"/>
  <c r="AJ118" i="92"/>
  <c r="AL118" i="92"/>
  <c r="AF113" i="92"/>
  <c r="AQ22" i="84"/>
  <c r="V22" i="94"/>
  <c r="V9" i="94"/>
  <c r="AQ9" i="84"/>
  <c r="Q51" i="85"/>
  <c r="AE109" i="85" s="1"/>
  <c r="N73" i="85"/>
  <c r="AH109" i="85" s="1"/>
  <c r="N29" i="85"/>
  <c r="AG109" i="85" s="1"/>
  <c r="Q7" i="85"/>
  <c r="AD109" i="85" s="1"/>
  <c r="O78" i="92"/>
  <c r="AH116" i="92" s="1"/>
  <c r="R12" i="92"/>
  <c r="AD116" i="92" s="1"/>
  <c r="R56" i="92"/>
  <c r="AE116" i="92" s="1"/>
  <c r="O34" i="92"/>
  <c r="AG116" i="92" s="1"/>
  <c r="Y10" i="94"/>
  <c r="AA10" i="94" s="1"/>
  <c r="AV18" i="94"/>
  <c r="W18" i="94"/>
  <c r="X18" i="94" s="1"/>
  <c r="Y6" i="94"/>
  <c r="AA6" i="94" s="1"/>
  <c r="S15" i="91"/>
  <c r="T15" i="91" s="1"/>
  <c r="U15" i="91" s="1"/>
  <c r="T15" i="84"/>
  <c r="U15" i="84" s="1"/>
  <c r="B18" i="61"/>
  <c r="Y4" i="79"/>
  <c r="X25" i="79"/>
  <c r="AX10" i="94"/>
  <c r="AW10" i="94"/>
  <c r="AI122" i="92"/>
  <c r="V5" i="94"/>
  <c r="AQ5" i="84"/>
  <c r="AI121" i="92"/>
  <c r="W31" i="79"/>
  <c r="W30" i="74"/>
  <c r="AF121" i="92"/>
  <c r="R13" i="92"/>
  <c r="AD117" i="92" s="1"/>
  <c r="O79" i="92"/>
  <c r="AH117" i="92" s="1"/>
  <c r="R57" i="92"/>
  <c r="AE117" i="92" s="1"/>
  <c r="O35" i="92"/>
  <c r="AG117" i="92" s="1"/>
  <c r="AW23" i="94"/>
  <c r="AI120" i="85"/>
  <c r="AJ117" i="85"/>
  <c r="AL117" i="85"/>
  <c r="AI113" i="92"/>
  <c r="AF119" i="85"/>
  <c r="O29" i="92"/>
  <c r="AG111" i="92" s="1"/>
  <c r="O73" i="92"/>
  <c r="AH111" i="92" s="1"/>
  <c r="R51" i="92"/>
  <c r="AE111" i="92" s="1"/>
  <c r="R7" i="92"/>
  <c r="AD111" i="92" s="1"/>
  <c r="Q56" i="85"/>
  <c r="AE114" i="85" s="1"/>
  <c r="N78" i="85"/>
  <c r="AH114" i="85" s="1"/>
  <c r="Q12" i="85"/>
  <c r="AD114" i="85" s="1"/>
  <c r="N34" i="85"/>
  <c r="AG114" i="85" s="1"/>
  <c r="Q13" i="85"/>
  <c r="AD115" i="85" s="1"/>
  <c r="Q57" i="85"/>
  <c r="AE115" i="85" s="1"/>
  <c r="N79" i="85"/>
  <c r="AH115" i="85" s="1"/>
  <c r="N35" i="85"/>
  <c r="AG115" i="85" s="1"/>
  <c r="P87" i="95" l="1"/>
  <c r="AH127" i="95" s="1"/>
  <c r="S65" i="95"/>
  <c r="AE127" i="95" s="1"/>
  <c r="S21" i="95"/>
  <c r="AD127" i="95" s="1"/>
  <c r="N117" i="118"/>
  <c r="N132" i="125"/>
  <c r="AT20" i="94"/>
  <c r="T20" i="104"/>
  <c r="U20" i="104" s="1"/>
  <c r="N95" i="118" s="1"/>
  <c r="AR12" i="94"/>
  <c r="AS12" i="94" s="1"/>
  <c r="AR17" i="94"/>
  <c r="AS17" i="94" s="1"/>
  <c r="AR8" i="94"/>
  <c r="AS8" i="94" s="1"/>
  <c r="AR11" i="94"/>
  <c r="AS11" i="94" s="1"/>
  <c r="T11" i="104" s="1"/>
  <c r="AE12" i="104"/>
  <c r="AI12" i="112"/>
  <c r="AE11" i="104"/>
  <c r="AI11" i="112"/>
  <c r="AE8" i="104"/>
  <c r="AI8" i="112"/>
  <c r="AK17" i="94"/>
  <c r="AM17" i="94"/>
  <c r="AN17" i="94" s="1"/>
  <c r="P33" i="95" s="1"/>
  <c r="AG117" i="95" s="1"/>
  <c r="AO17" i="94"/>
  <c r="AJ128" i="95"/>
  <c r="V14" i="104"/>
  <c r="T13" i="104"/>
  <c r="AT13" i="104" s="1"/>
  <c r="AT13" i="94"/>
  <c r="AB126" i="95"/>
  <c r="AC126" i="95" s="1"/>
  <c r="AB122" i="95"/>
  <c r="AC122" i="95" s="1"/>
  <c r="AB116" i="95"/>
  <c r="AC116" i="95" s="1"/>
  <c r="AB117" i="95"/>
  <c r="AC117" i="95" s="1"/>
  <c r="AK8" i="94"/>
  <c r="AK12" i="94"/>
  <c r="S19" i="95"/>
  <c r="AD125" i="95" s="1"/>
  <c r="P85" i="95"/>
  <c r="AH125" i="95" s="1"/>
  <c r="P41" i="95"/>
  <c r="AG125" i="95" s="1"/>
  <c r="S63" i="95"/>
  <c r="AE125" i="95" s="1"/>
  <c r="AM12" i="94"/>
  <c r="AN12" i="94" s="1"/>
  <c r="AO12" i="94"/>
  <c r="AM8" i="94"/>
  <c r="AN8" i="94" s="1"/>
  <c r="AL128" i="95"/>
  <c r="AH23" i="94"/>
  <c r="AI23" i="94" s="1"/>
  <c r="AC23" i="104"/>
  <c r="AD23" i="104" s="1"/>
  <c r="AH10" i="94"/>
  <c r="AI10" i="94" s="1"/>
  <c r="AR10" i="94" s="1"/>
  <c r="AC10" i="104"/>
  <c r="AD10" i="104" s="1"/>
  <c r="AH6" i="94"/>
  <c r="AC6" i="104"/>
  <c r="AD6" i="104" s="1"/>
  <c r="AH10" i="104"/>
  <c r="AH23" i="104"/>
  <c r="AH6" i="104"/>
  <c r="AM11" i="94"/>
  <c r="AN11" i="94" s="1"/>
  <c r="AX23" i="94"/>
  <c r="AH11" i="104"/>
  <c r="AK11" i="94"/>
  <c r="AO11" i="94"/>
  <c r="AI115" i="85"/>
  <c r="AI114" i="85"/>
  <c r="AL111" i="85"/>
  <c r="AF111" i="92"/>
  <c r="AJ111" i="85"/>
  <c r="AI109" i="85"/>
  <c r="AF114" i="85"/>
  <c r="AL122" i="92"/>
  <c r="AJ119" i="85"/>
  <c r="AL119" i="85"/>
  <c r="W5" i="94"/>
  <c r="X5" i="94" s="1"/>
  <c r="AV5" i="94"/>
  <c r="V15" i="91"/>
  <c r="X15" i="91" s="1"/>
  <c r="AE15" i="91" s="1"/>
  <c r="AF15" i="91" s="1"/>
  <c r="AW18" i="94"/>
  <c r="W9" i="94"/>
  <c r="X9" i="94" s="1"/>
  <c r="AV9" i="94"/>
  <c r="AJ120" i="85"/>
  <c r="AL120" i="85"/>
  <c r="AW7" i="94"/>
  <c r="AX7" i="94" s="1"/>
  <c r="Z4" i="79"/>
  <c r="B20" i="61"/>
  <c r="W22" i="94"/>
  <c r="X22" i="94" s="1"/>
  <c r="AV22" i="94"/>
  <c r="AF117" i="92"/>
  <c r="AJ122" i="92"/>
  <c r="AW19" i="94"/>
  <c r="X30" i="74"/>
  <c r="B4" i="77"/>
  <c r="AI127" i="95"/>
  <c r="AF116" i="92"/>
  <c r="Y7" i="94"/>
  <c r="AA7" i="94" s="1"/>
  <c r="AF115" i="85"/>
  <c r="AI111" i="92"/>
  <c r="AI117" i="92"/>
  <c r="AF127" i="95"/>
  <c r="AJ121" i="92"/>
  <c r="AL121" i="92"/>
  <c r="V15" i="84"/>
  <c r="X15" i="84" s="1"/>
  <c r="AE15" i="84" s="1"/>
  <c r="Y18" i="94"/>
  <c r="AA18" i="94" s="1"/>
  <c r="AI116" i="92"/>
  <c r="AF109" i="85"/>
  <c r="AJ113" i="92"/>
  <c r="AL113" i="92"/>
  <c r="Y19" i="94"/>
  <c r="AA19" i="94" s="1"/>
  <c r="N96" i="118" l="1"/>
  <c r="N108" i="125"/>
  <c r="AT20" i="104"/>
  <c r="AU20" i="104" s="1"/>
  <c r="AV20" i="104" s="1"/>
  <c r="V20" i="104"/>
  <c r="W20" i="104" s="1"/>
  <c r="Y20" i="104" s="1"/>
  <c r="W14" i="104"/>
  <c r="Y14" i="104" s="1"/>
  <c r="AF14" i="104" s="1"/>
  <c r="BA128" i="108" s="1"/>
  <c r="BB128" i="108" s="1"/>
  <c r="O116" i="118"/>
  <c r="S55" i="95"/>
  <c r="AE117" i="95" s="1"/>
  <c r="AR23" i="94"/>
  <c r="AS23" i="94" s="1"/>
  <c r="AK10" i="94"/>
  <c r="AE6" i="104"/>
  <c r="AI6" i="112"/>
  <c r="AE23" i="104"/>
  <c r="AI23" i="112"/>
  <c r="AE10" i="104"/>
  <c r="AI10" i="112"/>
  <c r="AU13" i="104"/>
  <c r="AV13" i="104" s="1"/>
  <c r="S11" i="95"/>
  <c r="AD117" i="95" s="1"/>
  <c r="P77" i="95"/>
  <c r="AH117" i="95" s="1"/>
  <c r="AI117" i="95" s="1"/>
  <c r="AM10" i="94"/>
  <c r="AN10" i="94" s="1"/>
  <c r="P37" i="95" s="1"/>
  <c r="AG121" i="95" s="1"/>
  <c r="AS10" i="94"/>
  <c r="AT10" i="94" s="1"/>
  <c r="AI125" i="95"/>
  <c r="U13" i="104"/>
  <c r="AO10" i="94"/>
  <c r="AI6" i="94"/>
  <c r="AR6" i="94" s="1"/>
  <c r="AB121" i="95"/>
  <c r="AC121" i="95" s="1"/>
  <c r="AB120" i="95"/>
  <c r="AC120" i="95" s="1"/>
  <c r="AM23" i="94"/>
  <c r="AN23" i="94" s="1"/>
  <c r="S58" i="95" s="1"/>
  <c r="AE120" i="95" s="1"/>
  <c r="AF125" i="95"/>
  <c r="AO23" i="94"/>
  <c r="AK23" i="94"/>
  <c r="S54" i="95"/>
  <c r="AE116" i="95" s="1"/>
  <c r="P32" i="95"/>
  <c r="AG116" i="95" s="1"/>
  <c r="S10" i="95"/>
  <c r="AD116" i="95" s="1"/>
  <c r="P76" i="95"/>
  <c r="AH116" i="95" s="1"/>
  <c r="P81" i="95"/>
  <c r="AH121" i="95" s="1"/>
  <c r="S15" i="95"/>
  <c r="AD121" i="95" s="1"/>
  <c r="S20" i="95"/>
  <c r="AD126" i="95" s="1"/>
  <c r="P86" i="95"/>
  <c r="AH126" i="95" s="1"/>
  <c r="S64" i="95"/>
  <c r="AE126" i="95" s="1"/>
  <c r="P42" i="95"/>
  <c r="AG126" i="95" s="1"/>
  <c r="S16" i="95"/>
  <c r="AD122" i="95" s="1"/>
  <c r="P82" i="95"/>
  <c r="AH122" i="95" s="1"/>
  <c r="S60" i="95"/>
  <c r="AE122" i="95" s="1"/>
  <c r="P38" i="95"/>
  <c r="AG122" i="95" s="1"/>
  <c r="AT8" i="94"/>
  <c r="T8" i="104"/>
  <c r="U8" i="104" s="1"/>
  <c r="N32" i="118" s="1"/>
  <c r="AT12" i="94"/>
  <c r="T12" i="104"/>
  <c r="AT12" i="104" s="1"/>
  <c r="AH18" i="94"/>
  <c r="AC18" i="104"/>
  <c r="AD18" i="104" s="1"/>
  <c r="AH7" i="94"/>
  <c r="AI7" i="94" s="1"/>
  <c r="AM7" i="94" s="1"/>
  <c r="AN7" i="94" s="1"/>
  <c r="AC7" i="104"/>
  <c r="AD7" i="104" s="1"/>
  <c r="AH19" i="94"/>
  <c r="AC19" i="104"/>
  <c r="AD19" i="104" s="1"/>
  <c r="AH18" i="104"/>
  <c r="AH7" i="104"/>
  <c r="AT11" i="94"/>
  <c r="AH19" i="104"/>
  <c r="AX18" i="94"/>
  <c r="AX19" i="94"/>
  <c r="AL114" i="85"/>
  <c r="AL111" i="92"/>
  <c r="AJ114" i="85"/>
  <c r="AJ111" i="92"/>
  <c r="AX5" i="94"/>
  <c r="AW5" i="94"/>
  <c r="B12" i="77"/>
  <c r="F4" i="77"/>
  <c r="F12" i="77" s="1"/>
  <c r="AJ117" i="92"/>
  <c r="AL117" i="92"/>
  <c r="AA4" i="79"/>
  <c r="B25" i="61"/>
  <c r="Y5" i="94"/>
  <c r="AA5" i="94" s="1"/>
  <c r="AJ115" i="85"/>
  <c r="AL115" i="85"/>
  <c r="AX22" i="94"/>
  <c r="AW22" i="94"/>
  <c r="AW9" i="94"/>
  <c r="B28" i="83"/>
  <c r="H16" i="83"/>
  <c r="AF15" i="84"/>
  <c r="AJ109" i="85"/>
  <c r="AL109" i="85"/>
  <c r="AJ127" i="95"/>
  <c r="AL127" i="95"/>
  <c r="AJ116" i="92"/>
  <c r="AL116" i="92"/>
  <c r="Y22" i="94"/>
  <c r="AA22" i="94" s="1"/>
  <c r="Y9" i="94"/>
  <c r="AA9" i="94" s="1"/>
  <c r="AJ15" i="91"/>
  <c r="AK15" i="91" s="1"/>
  <c r="AH15" i="91"/>
  <c r="AB127" i="92"/>
  <c r="AC127" i="92" s="1"/>
  <c r="AL15" i="91"/>
  <c r="S59" i="95" l="1"/>
  <c r="AE121" i="95" s="1"/>
  <c r="O95" i="118"/>
  <c r="N33" i="118"/>
  <c r="N36" i="125"/>
  <c r="AI19" i="94"/>
  <c r="AR19" i="94" s="1"/>
  <c r="AS19" i="94" s="1"/>
  <c r="AT19" i="94" s="1"/>
  <c r="AU19" i="94"/>
  <c r="T19" i="104" s="1"/>
  <c r="AI18" i="94"/>
  <c r="AR18" i="94" s="1"/>
  <c r="AS18" i="94" s="1"/>
  <c r="AT18" i="94" s="1"/>
  <c r="AU18" i="94"/>
  <c r="T18" i="104" s="1"/>
  <c r="AF20" i="104"/>
  <c r="AG20" i="104" s="1"/>
  <c r="AP20" i="104" s="1"/>
  <c r="AQ20" i="104" s="1"/>
  <c r="AD20" i="112"/>
  <c r="AE20" i="112" s="1"/>
  <c r="AD14" i="112"/>
  <c r="AE14" i="112" s="1"/>
  <c r="AF117" i="95"/>
  <c r="AL117" i="95" s="1"/>
  <c r="V13" i="104"/>
  <c r="N109" i="118"/>
  <c r="AK7" i="94"/>
  <c r="AG14" i="104"/>
  <c r="AP14" i="104" s="1"/>
  <c r="AQ14" i="104" s="1"/>
  <c r="AO6" i="94"/>
  <c r="AR7" i="94"/>
  <c r="AS7" i="94" s="1"/>
  <c r="AE7" i="104"/>
  <c r="AI7" i="112"/>
  <c r="AE18" i="104"/>
  <c r="AI18" i="112"/>
  <c r="AE19" i="104"/>
  <c r="AI19" i="112"/>
  <c r="AU12" i="104"/>
  <c r="AV12" i="104" s="1"/>
  <c r="AS6" i="94"/>
  <c r="T10" i="104"/>
  <c r="AT10" i="104" s="1"/>
  <c r="AB114" i="95"/>
  <c r="AC114" i="95" s="1"/>
  <c r="AL125" i="95"/>
  <c r="S14" i="95"/>
  <c r="AD120" i="95" s="1"/>
  <c r="AF120" i="95" s="1"/>
  <c r="P80" i="95"/>
  <c r="AH120" i="95" s="1"/>
  <c r="AM6" i="94"/>
  <c r="AN6" i="94" s="1"/>
  <c r="P30" i="95" s="1"/>
  <c r="AG114" i="95" s="1"/>
  <c r="AK6" i="94"/>
  <c r="V8" i="104"/>
  <c r="T17" i="104"/>
  <c r="AT17" i="94"/>
  <c r="AI126" i="95"/>
  <c r="P36" i="95"/>
  <c r="AG120" i="95" s="1"/>
  <c r="AJ125" i="95"/>
  <c r="AT8" i="104"/>
  <c r="AT23" i="94"/>
  <c r="T23" i="104"/>
  <c r="AT23" i="104" s="1"/>
  <c r="U12" i="104"/>
  <c r="N102" i="118" s="1"/>
  <c r="AF126" i="95"/>
  <c r="AI116" i="95"/>
  <c r="AO19" i="94"/>
  <c r="AF116" i="95"/>
  <c r="P31" i="95"/>
  <c r="AG115" i="95" s="1"/>
  <c r="S9" i="95"/>
  <c r="AD115" i="95" s="1"/>
  <c r="P75" i="95"/>
  <c r="AH115" i="95" s="1"/>
  <c r="S53" i="95"/>
  <c r="AE115" i="95" s="1"/>
  <c r="AO7" i="94"/>
  <c r="AB115" i="95"/>
  <c r="AC115" i="95" s="1"/>
  <c r="AH9" i="94"/>
  <c r="AI9" i="94" s="1"/>
  <c r="AC9" i="104"/>
  <c r="AD9" i="104" s="1"/>
  <c r="AH22" i="94"/>
  <c r="AI22" i="94" s="1"/>
  <c r="AC22" i="104"/>
  <c r="AD22" i="104" s="1"/>
  <c r="AH5" i="94"/>
  <c r="AI5" i="94" s="1"/>
  <c r="AR5" i="94" s="1"/>
  <c r="AC5" i="104"/>
  <c r="AD5" i="104" s="1"/>
  <c r="U11" i="104"/>
  <c r="AT11" i="104"/>
  <c r="AH9" i="104"/>
  <c r="AH5" i="104"/>
  <c r="AH22" i="104"/>
  <c r="AX9" i="94"/>
  <c r="AI122" i="95"/>
  <c r="AF122" i="95"/>
  <c r="R23" i="92"/>
  <c r="AD127" i="92" s="1"/>
  <c r="O89" i="92"/>
  <c r="AH127" i="92" s="1"/>
  <c r="R67" i="92"/>
  <c r="AE127" i="92" s="1"/>
  <c r="O45" i="92"/>
  <c r="AG127" i="92" s="1"/>
  <c r="AJ15" i="94"/>
  <c r="AB125" i="85"/>
  <c r="AC125" i="85" s="1"/>
  <c r="H17" i="83"/>
  <c r="H31" i="83" s="1"/>
  <c r="AL15" i="84"/>
  <c r="AJ15" i="84"/>
  <c r="AK15" i="84" s="1"/>
  <c r="AH15" i="84"/>
  <c r="AO15" i="84"/>
  <c r="AP15" i="84" s="1"/>
  <c r="T4" i="74"/>
  <c r="U4" i="74" s="1"/>
  <c r="B29" i="61"/>
  <c r="H19" i="77"/>
  <c r="H21" i="77" s="1"/>
  <c r="H24" i="77"/>
  <c r="B17" i="77"/>
  <c r="B22" i="77" s="1"/>
  <c r="B26" i="77" s="1"/>
  <c r="AF121" i="95"/>
  <c r="AI121" i="95"/>
  <c r="AB123" i="95" l="1"/>
  <c r="AC123" i="95" s="1"/>
  <c r="AB124" i="95"/>
  <c r="AC124" i="95" s="1"/>
  <c r="AK19" i="94"/>
  <c r="AJ117" i="95"/>
  <c r="AM19" i="94"/>
  <c r="AN19" i="94" s="1"/>
  <c r="P84" i="95" s="1"/>
  <c r="AH124" i="95" s="1"/>
  <c r="AM18" i="94"/>
  <c r="AN18" i="94" s="1"/>
  <c r="P83" i="95" s="1"/>
  <c r="AH123" i="95" s="1"/>
  <c r="AO18" i="94"/>
  <c r="AK18" i="94"/>
  <c r="N103" i="118"/>
  <c r="N116" i="125"/>
  <c r="N110" i="118"/>
  <c r="N124" i="125"/>
  <c r="BA125" i="108"/>
  <c r="BB125" i="108" s="1"/>
  <c r="AF20" i="112"/>
  <c r="AF14" i="112"/>
  <c r="T20" i="112"/>
  <c r="T14" i="112"/>
  <c r="P74" i="95"/>
  <c r="AH114" i="95" s="1"/>
  <c r="AI114" i="95" s="1"/>
  <c r="AK20" i="104"/>
  <c r="AL20" i="104" s="1"/>
  <c r="P19" i="108" s="1"/>
  <c r="AA125" i="108" s="1"/>
  <c r="AR20" i="104"/>
  <c r="Y125" i="108"/>
  <c r="Z125" i="108" s="1"/>
  <c r="AI20" i="104"/>
  <c r="AM20" i="104"/>
  <c r="Y128" i="108"/>
  <c r="Z128" i="108" s="1"/>
  <c r="AK14" i="104"/>
  <c r="AL14" i="104" s="1"/>
  <c r="P44" i="108" s="1"/>
  <c r="AD128" i="108" s="1"/>
  <c r="W8" i="104"/>
  <c r="Y8" i="104" s="1"/>
  <c r="AF8" i="104" s="1"/>
  <c r="O32" i="118"/>
  <c r="AI14" i="104"/>
  <c r="N74" i="118"/>
  <c r="R5" i="117"/>
  <c r="S5" i="117" s="1"/>
  <c r="W13" i="104"/>
  <c r="Y13" i="104" s="1"/>
  <c r="AD13" i="112" s="1"/>
  <c r="AE13" i="112" s="1"/>
  <c r="O109" i="118"/>
  <c r="AM14" i="104"/>
  <c r="AR14" i="104"/>
  <c r="S52" i="95"/>
  <c r="AE114" i="95" s="1"/>
  <c r="T7" i="104"/>
  <c r="U7" i="104" s="1"/>
  <c r="N25" i="118" s="1"/>
  <c r="AT7" i="94"/>
  <c r="AR9" i="94"/>
  <c r="AS9" i="94" s="1"/>
  <c r="AR22" i="94"/>
  <c r="AS22" i="94" s="1"/>
  <c r="AT22" i="94" s="1"/>
  <c r="U10" i="104"/>
  <c r="AE22" i="104"/>
  <c r="AI22" i="112"/>
  <c r="AE9" i="104"/>
  <c r="AI9" i="112"/>
  <c r="AE5" i="104"/>
  <c r="AI5" i="112"/>
  <c r="AU8" i="104"/>
  <c r="AV8" i="104" s="1"/>
  <c r="AU10" i="104"/>
  <c r="AV10" i="104" s="1"/>
  <c r="AU11" i="104"/>
  <c r="AV11" i="104" s="1"/>
  <c r="AU23" i="104"/>
  <c r="AV23" i="104" s="1"/>
  <c r="AO5" i="94"/>
  <c r="AS5" i="94"/>
  <c r="AK22" i="94"/>
  <c r="S18" i="95"/>
  <c r="AD124" i="95" s="1"/>
  <c r="AT18" i="104"/>
  <c r="P39" i="95"/>
  <c r="AG123" i="95" s="1"/>
  <c r="AI123" i="95" s="1"/>
  <c r="U19" i="104"/>
  <c r="N88" i="118" s="1"/>
  <c r="N100" i="125" s="1"/>
  <c r="AI120" i="95"/>
  <c r="AJ120" i="95" s="1"/>
  <c r="S8" i="95"/>
  <c r="AD114" i="95" s="1"/>
  <c r="V11" i="104"/>
  <c r="AJ126" i="95"/>
  <c r="AJ116" i="95"/>
  <c r="V12" i="104"/>
  <c r="AO22" i="94"/>
  <c r="S62" i="95"/>
  <c r="AE124" i="95" s="1"/>
  <c r="U17" i="104"/>
  <c r="N39" i="118" s="1"/>
  <c r="AT17" i="104"/>
  <c r="AB113" i="95"/>
  <c r="AC113" i="95" s="1"/>
  <c r="U23" i="104"/>
  <c r="N60" i="118" s="1"/>
  <c r="AL116" i="95"/>
  <c r="AL126" i="95"/>
  <c r="AM22" i="94"/>
  <c r="AN22" i="94" s="1"/>
  <c r="AB118" i="95"/>
  <c r="AC118" i="95" s="1"/>
  <c r="AM9" i="94"/>
  <c r="AN9" i="94" s="1"/>
  <c r="AB119" i="95"/>
  <c r="AC119" i="95" s="1"/>
  <c r="AK5" i="94"/>
  <c r="AO9" i="94"/>
  <c r="AM5" i="94"/>
  <c r="AN5" i="94" s="1"/>
  <c r="AK9" i="94"/>
  <c r="AL122" i="95"/>
  <c r="AJ122" i="95"/>
  <c r="AI127" i="92"/>
  <c r="AF115" i="95"/>
  <c r="AJ121" i="95"/>
  <c r="AL121" i="95"/>
  <c r="Q67" i="85"/>
  <c r="AE125" i="85" s="1"/>
  <c r="N45" i="85"/>
  <c r="AG125" i="85" s="1"/>
  <c r="Q23" i="85"/>
  <c r="AD125" i="85" s="1"/>
  <c r="N89" i="85"/>
  <c r="AH125" i="85" s="1"/>
  <c r="V15" i="94"/>
  <c r="AQ15" i="84"/>
  <c r="AI115" i="95"/>
  <c r="N72" i="78"/>
  <c r="AH108" i="78" s="1"/>
  <c r="AH127" i="78" s="1"/>
  <c r="V4" i="74"/>
  <c r="Q50" i="78"/>
  <c r="AE108" i="78" s="1"/>
  <c r="AE127" i="78" s="1"/>
  <c r="Q6" i="78"/>
  <c r="AD108" i="78" s="1"/>
  <c r="W4" i="74"/>
  <c r="D31" i="61"/>
  <c r="N28" i="78"/>
  <c r="AG108" i="78" s="1"/>
  <c r="AF127" i="92"/>
  <c r="S61" i="95" l="1"/>
  <c r="AE123" i="95" s="1"/>
  <c r="P40" i="95"/>
  <c r="AG124" i="95" s="1"/>
  <c r="AI124" i="95" s="1"/>
  <c r="S17" i="95"/>
  <c r="AD123" i="95" s="1"/>
  <c r="AF123" i="95" s="1"/>
  <c r="AL123" i="95" s="1"/>
  <c r="AT7" i="104"/>
  <c r="N26" i="118"/>
  <c r="N28" i="125"/>
  <c r="N40" i="118"/>
  <c r="N44" i="125"/>
  <c r="N61" i="118"/>
  <c r="N68" i="125"/>
  <c r="P63" i="108"/>
  <c r="AB125" i="108" s="1"/>
  <c r="AC125" i="108" s="1"/>
  <c r="P85" i="108"/>
  <c r="AE125" i="108" s="1"/>
  <c r="P41" i="108"/>
  <c r="AD125" i="108" s="1"/>
  <c r="U14" i="112"/>
  <c r="N133" i="125" s="1"/>
  <c r="P88" i="108"/>
  <c r="AE128" i="108" s="1"/>
  <c r="AF128" i="108" s="1"/>
  <c r="AF13" i="112"/>
  <c r="AU20" i="112"/>
  <c r="U20" i="112"/>
  <c r="N109" i="125" s="1"/>
  <c r="AV20" i="112"/>
  <c r="AV14" i="112"/>
  <c r="AU14" i="112"/>
  <c r="P22" i="108"/>
  <c r="AA128" i="108" s="1"/>
  <c r="P66" i="108"/>
  <c r="AB128" i="108" s="1"/>
  <c r="N75" i="118"/>
  <c r="AF114" i="95"/>
  <c r="AL114" i="95" s="1"/>
  <c r="BA116" i="108"/>
  <c r="BB116" i="108" s="1"/>
  <c r="AG8" i="104"/>
  <c r="AP8" i="104" s="1"/>
  <c r="AQ8" i="104" s="1"/>
  <c r="W12" i="104"/>
  <c r="Y12" i="104" s="1"/>
  <c r="AD12" i="112" s="1"/>
  <c r="AE12" i="112" s="1"/>
  <c r="O102" i="118"/>
  <c r="V19" i="104"/>
  <c r="N89" i="118"/>
  <c r="AD8" i="112"/>
  <c r="AE8" i="112" s="1"/>
  <c r="N9" i="117"/>
  <c r="O9" i="117"/>
  <c r="J9" i="117"/>
  <c r="P9" i="117"/>
  <c r="L9" i="117"/>
  <c r="M9" i="117"/>
  <c r="K9" i="117"/>
  <c r="K11" i="117"/>
  <c r="N11" i="117"/>
  <c r="L11" i="117"/>
  <c r="M11" i="117"/>
  <c r="O11" i="117"/>
  <c r="J11" i="117"/>
  <c r="V10" i="104"/>
  <c r="N67" i="118"/>
  <c r="W11" i="104"/>
  <c r="Y11" i="104" s="1"/>
  <c r="AF11" i="104" s="1"/>
  <c r="BA122" i="108" s="1"/>
  <c r="BB122" i="108" s="1"/>
  <c r="O74" i="118"/>
  <c r="AF13" i="104"/>
  <c r="AT9" i="94"/>
  <c r="T9" i="104"/>
  <c r="AT9" i="104" s="1"/>
  <c r="AU7" i="104"/>
  <c r="AV7" i="104" s="1"/>
  <c r="AU18" i="104"/>
  <c r="AV18" i="104" s="1"/>
  <c r="AF124" i="95"/>
  <c r="AL124" i="95" s="1"/>
  <c r="U18" i="104"/>
  <c r="AL120" i="95"/>
  <c r="T22" i="104"/>
  <c r="AT22" i="104" s="1"/>
  <c r="AT19" i="104"/>
  <c r="AT6" i="94"/>
  <c r="T6" i="104"/>
  <c r="AT6" i="104" s="1"/>
  <c r="V7" i="104"/>
  <c r="V23" i="104"/>
  <c r="V17" i="104"/>
  <c r="AU17" i="104"/>
  <c r="AV17" i="104" s="1"/>
  <c r="S56" i="95"/>
  <c r="AE118" i="95" s="1"/>
  <c r="S12" i="95"/>
  <c r="AD118" i="95" s="1"/>
  <c r="P34" i="95"/>
  <c r="AG118" i="95" s="1"/>
  <c r="P78" i="95"/>
  <c r="AH118" i="95" s="1"/>
  <c r="AT5" i="94"/>
  <c r="T5" i="104"/>
  <c r="U5" i="104" s="1"/>
  <c r="N11" i="118" s="1"/>
  <c r="N12" i="125" s="1"/>
  <c r="P73" i="95"/>
  <c r="AH113" i="95" s="1"/>
  <c r="S51" i="95"/>
  <c r="AE113" i="95" s="1"/>
  <c r="P29" i="95"/>
  <c r="AG113" i="95" s="1"/>
  <c r="S7" i="95"/>
  <c r="AD113" i="95" s="1"/>
  <c r="P35" i="95"/>
  <c r="AG119" i="95" s="1"/>
  <c r="S13" i="95"/>
  <c r="AD119" i="95" s="1"/>
  <c r="P79" i="95"/>
  <c r="AH119" i="95" s="1"/>
  <c r="S57" i="95"/>
  <c r="AE119" i="95" s="1"/>
  <c r="AI125" i="85"/>
  <c r="AJ115" i="95"/>
  <c r="AL115" i="95"/>
  <c r="AJ127" i="92"/>
  <c r="AL127" i="92"/>
  <c r="W25" i="74"/>
  <c r="W32" i="74" s="1"/>
  <c r="D33" i="61"/>
  <c r="H17" i="61"/>
  <c r="X4" i="74"/>
  <c r="AD127" i="78"/>
  <c r="AF108" i="78"/>
  <c r="AF125" i="85"/>
  <c r="AG127" i="78"/>
  <c r="AI108" i="78"/>
  <c r="AI127" i="78" s="1"/>
  <c r="AV15" i="94"/>
  <c r="W15" i="94"/>
  <c r="X15" i="94" s="1"/>
  <c r="AF125" i="108" l="1"/>
  <c r="AI125" i="108" s="1"/>
  <c r="N68" i="118"/>
  <c r="N76" i="125"/>
  <c r="AJ114" i="95"/>
  <c r="AF8" i="112"/>
  <c r="AF12" i="112"/>
  <c r="AW20" i="112"/>
  <c r="T8" i="112"/>
  <c r="U8" i="112" s="1"/>
  <c r="N37" i="125" s="1"/>
  <c r="AJ123" i="95"/>
  <c r="Y116" i="108"/>
  <c r="Z116" i="108" s="1"/>
  <c r="AC128" i="108"/>
  <c r="AI128" i="108" s="1"/>
  <c r="AF12" i="104"/>
  <c r="AG12" i="104" s="1"/>
  <c r="AP12" i="104" s="1"/>
  <c r="AQ12" i="104" s="1"/>
  <c r="AR8" i="104"/>
  <c r="AK8" i="104"/>
  <c r="AL8" i="104" s="1"/>
  <c r="P10" i="108" s="1"/>
  <c r="AA116" i="108" s="1"/>
  <c r="AD11" i="112"/>
  <c r="AE11" i="112" s="1"/>
  <c r="AM8" i="104"/>
  <c r="AI8" i="104"/>
  <c r="AW14" i="112"/>
  <c r="R11" i="117"/>
  <c r="W17" i="104"/>
  <c r="Y17" i="104" s="1"/>
  <c r="AF17" i="104" s="1"/>
  <c r="BA117" i="108" s="1"/>
  <c r="BB117" i="108" s="1"/>
  <c r="O39" i="118"/>
  <c r="W7" i="104"/>
  <c r="Y7" i="104" s="1"/>
  <c r="AF7" i="104" s="1"/>
  <c r="BA115" i="108" s="1"/>
  <c r="O25" i="118"/>
  <c r="W19" i="104"/>
  <c r="Y19" i="104" s="1"/>
  <c r="O88" i="118"/>
  <c r="W23" i="104"/>
  <c r="Y23" i="104" s="1"/>
  <c r="AD23" i="112" s="1"/>
  <c r="AE23" i="112" s="1"/>
  <c r="O60" i="118"/>
  <c r="BA127" i="108"/>
  <c r="BB127" i="108" s="1"/>
  <c r="AG13" i="104"/>
  <c r="V18" i="104"/>
  <c r="N81" i="118"/>
  <c r="N92" i="125" s="1"/>
  <c r="W10" i="104"/>
  <c r="Y10" i="104" s="1"/>
  <c r="O67" i="118"/>
  <c r="R9" i="117"/>
  <c r="U9" i="104"/>
  <c r="N53" i="118" s="1"/>
  <c r="N12" i="118"/>
  <c r="AJ124" i="95"/>
  <c r="AG11" i="104"/>
  <c r="AP11" i="104" s="1"/>
  <c r="AQ11" i="104" s="1"/>
  <c r="AU19" i="104"/>
  <c r="AV19" i="104" s="1"/>
  <c r="AU22" i="104"/>
  <c r="AV22" i="104" s="1"/>
  <c r="AU9" i="104"/>
  <c r="AV9" i="104" s="1"/>
  <c r="AG125" i="108"/>
  <c r="U22" i="104"/>
  <c r="U6" i="104"/>
  <c r="AF118" i="95"/>
  <c r="AI118" i="95"/>
  <c r="V5" i="104"/>
  <c r="AF119" i="95"/>
  <c r="AF113" i="95"/>
  <c r="AI119" i="95"/>
  <c r="AI113" i="95"/>
  <c r="AT5" i="104"/>
  <c r="AB4" i="74"/>
  <c r="AC4" i="74" s="1"/>
  <c r="AD4" i="74" s="1"/>
  <c r="S4" i="84" s="1"/>
  <c r="H18" i="61"/>
  <c r="H32" i="61" s="1"/>
  <c r="AB108" i="78"/>
  <c r="X25" i="74"/>
  <c r="Y4" i="74"/>
  <c r="Z4" i="74" s="1"/>
  <c r="AA4" i="74" s="1"/>
  <c r="AB4" i="84" s="1"/>
  <c r="AC4" i="84" s="1"/>
  <c r="AD4" i="84" s="1"/>
  <c r="AW15" i="94"/>
  <c r="AX15" i="94" s="1"/>
  <c r="Y15" i="94"/>
  <c r="AA15" i="94" s="1"/>
  <c r="AJ125" i="85"/>
  <c r="AL125" i="85"/>
  <c r="AJ108" i="78"/>
  <c r="AJ127" i="78" s="1"/>
  <c r="AF127" i="78"/>
  <c r="AL108" i="78"/>
  <c r="AL127" i="78" s="1"/>
  <c r="AK12" i="104" l="1"/>
  <c r="AL12" i="104" s="1"/>
  <c r="N54" i="118"/>
  <c r="N60" i="125"/>
  <c r="AM12" i="104"/>
  <c r="Y126" i="108"/>
  <c r="Z126" i="108" s="1"/>
  <c r="BA126" i="108"/>
  <c r="BB126" i="108" s="1"/>
  <c r="AI12" i="104"/>
  <c r="P76" i="108"/>
  <c r="AE116" i="108" s="1"/>
  <c r="P32" i="108"/>
  <c r="AD116" i="108" s="1"/>
  <c r="AF23" i="112"/>
  <c r="AF11" i="112"/>
  <c r="AR12" i="104"/>
  <c r="T12" i="112"/>
  <c r="AU8" i="112"/>
  <c r="AR11" i="104"/>
  <c r="AV8" i="112"/>
  <c r="N82" i="118"/>
  <c r="P54" i="108"/>
  <c r="AB116" i="108" s="1"/>
  <c r="AC116" i="108" s="1"/>
  <c r="AG128" i="108"/>
  <c r="AD7" i="112"/>
  <c r="AE7" i="112" s="1"/>
  <c r="AD17" i="112"/>
  <c r="AE17" i="112" s="1"/>
  <c r="AF23" i="104"/>
  <c r="AG23" i="104" s="1"/>
  <c r="AP23" i="104" s="1"/>
  <c r="AQ23" i="104" s="1"/>
  <c r="V9" i="104"/>
  <c r="O53" i="118" s="1"/>
  <c r="AF19" i="104"/>
  <c r="AD19" i="112"/>
  <c r="AE19" i="112" s="1"/>
  <c r="AP13" i="104"/>
  <c r="AQ13" i="104" s="1"/>
  <c r="AI13" i="104"/>
  <c r="Y127" i="108"/>
  <c r="Z127" i="108" s="1"/>
  <c r="AM13" i="104"/>
  <c r="AK13" i="104"/>
  <c r="AL13" i="104" s="1"/>
  <c r="W5" i="104"/>
  <c r="Y5" i="104" s="1"/>
  <c r="AF5" i="104" s="1"/>
  <c r="O11" i="118"/>
  <c r="V6" i="104"/>
  <c r="N18" i="118"/>
  <c r="N20" i="125" s="1"/>
  <c r="AF10" i="104"/>
  <c r="AD10" i="112"/>
  <c r="AE10" i="112" s="1"/>
  <c r="AG7" i="104"/>
  <c r="AP7" i="104" s="1"/>
  <c r="AQ7" i="104" s="1"/>
  <c r="V22" i="104"/>
  <c r="N46" i="118"/>
  <c r="N52" i="125" s="1"/>
  <c r="AI11" i="104"/>
  <c r="W18" i="104"/>
  <c r="Y18" i="104" s="1"/>
  <c r="O81" i="118"/>
  <c r="AK11" i="104"/>
  <c r="AL11" i="104" s="1"/>
  <c r="P82" i="108" s="1"/>
  <c r="AE122" i="108" s="1"/>
  <c r="Y122" i="108"/>
  <c r="Z122" i="108" s="1"/>
  <c r="AG17" i="104"/>
  <c r="AP17" i="104" s="1"/>
  <c r="AQ17" i="104" s="1"/>
  <c r="AM11" i="104"/>
  <c r="AZ115" i="108"/>
  <c r="BB115" i="108" s="1"/>
  <c r="T11" i="112"/>
  <c r="AU5" i="104"/>
  <c r="AV5" i="104" s="1"/>
  <c r="AL118" i="95"/>
  <c r="AJ118" i="95"/>
  <c r="AU6" i="104"/>
  <c r="P86" i="108"/>
  <c r="AE126" i="108" s="1"/>
  <c r="P64" i="108"/>
  <c r="AB126" i="108" s="1"/>
  <c r="P42" i="108"/>
  <c r="AD126" i="108" s="1"/>
  <c r="P20" i="108"/>
  <c r="AA126" i="108" s="1"/>
  <c r="AL113" i="95"/>
  <c r="AJ119" i="95"/>
  <c r="AJ113" i="95"/>
  <c r="AL119" i="95"/>
  <c r="AH15" i="94"/>
  <c r="AI15" i="94" s="1"/>
  <c r="AC15" i="104"/>
  <c r="AD15" i="104" s="1"/>
  <c r="AH15" i="104"/>
  <c r="X32" i="74"/>
  <c r="B4" i="82"/>
  <c r="AC108" i="78"/>
  <c r="AC127" i="78" s="1"/>
  <c r="AB127" i="78"/>
  <c r="S4" i="91"/>
  <c r="T4" i="91" s="1"/>
  <c r="U4" i="91" s="1"/>
  <c r="T4" i="84"/>
  <c r="U4" i="84" s="1"/>
  <c r="AF116" i="108" l="1"/>
  <c r="AG116" i="108" s="1"/>
  <c r="U12" i="112"/>
  <c r="N117" i="125" s="1"/>
  <c r="AF17" i="112"/>
  <c r="AF7" i="112"/>
  <c r="AW8" i="112"/>
  <c r="AF19" i="112"/>
  <c r="AF10" i="112"/>
  <c r="AV11" i="112"/>
  <c r="AR23" i="104"/>
  <c r="T17" i="112"/>
  <c r="AR7" i="104"/>
  <c r="AV12" i="112"/>
  <c r="AU12" i="112"/>
  <c r="AM23" i="104"/>
  <c r="Y120" i="108"/>
  <c r="Z120" i="108" s="1"/>
  <c r="AI23" i="104"/>
  <c r="AK23" i="104"/>
  <c r="AL23" i="104" s="1"/>
  <c r="P36" i="108" s="1"/>
  <c r="AD120" i="108" s="1"/>
  <c r="T23" i="112"/>
  <c r="W9" i="104"/>
  <c r="Y9" i="104" s="1"/>
  <c r="AF9" i="104" s="1"/>
  <c r="AG9" i="104" s="1"/>
  <c r="AP9" i="104" s="1"/>
  <c r="AQ9" i="104" s="1"/>
  <c r="P60" i="108"/>
  <c r="AB122" i="108" s="1"/>
  <c r="P38" i="108"/>
  <c r="AD122" i="108" s="1"/>
  <c r="AF122" i="108" s="1"/>
  <c r="N19" i="118"/>
  <c r="N47" i="118"/>
  <c r="BA120" i="108"/>
  <c r="BB120" i="108" s="1"/>
  <c r="P16" i="108"/>
  <c r="AA122" i="108" s="1"/>
  <c r="AD5" i="112"/>
  <c r="AE5" i="112" s="1"/>
  <c r="AU11" i="112"/>
  <c r="AM17" i="104"/>
  <c r="AI17" i="104"/>
  <c r="AK7" i="104"/>
  <c r="AL7" i="104" s="1"/>
  <c r="P9" i="108" s="1"/>
  <c r="AA115" i="108" s="1"/>
  <c r="Y117" i="108"/>
  <c r="Z117" i="108" s="1"/>
  <c r="AR17" i="104"/>
  <c r="AK17" i="104"/>
  <c r="AL17" i="104" s="1"/>
  <c r="P33" i="108" s="1"/>
  <c r="AD117" i="108" s="1"/>
  <c r="T7" i="112"/>
  <c r="AM7" i="104"/>
  <c r="W6" i="104"/>
  <c r="Y6" i="104" s="1"/>
  <c r="O18" i="118"/>
  <c r="W22" i="104"/>
  <c r="Y22" i="104" s="1"/>
  <c r="AD22" i="112" s="1"/>
  <c r="AE22" i="112" s="1"/>
  <c r="O46" i="118"/>
  <c r="AD18" i="112"/>
  <c r="AE18" i="112" s="1"/>
  <c r="AF18" i="104"/>
  <c r="T13" i="112"/>
  <c r="AR13" i="104"/>
  <c r="Y115" i="108"/>
  <c r="Z115" i="108" s="1"/>
  <c r="BA124" i="108"/>
  <c r="BB124" i="108" s="1"/>
  <c r="AG19" i="104"/>
  <c r="AI7" i="104"/>
  <c r="BA121" i="108"/>
  <c r="AG10" i="104"/>
  <c r="AZ121" i="108"/>
  <c r="P43" i="108"/>
  <c r="AD127" i="108" s="1"/>
  <c r="P65" i="108"/>
  <c r="AB127" i="108" s="1"/>
  <c r="P21" i="108"/>
  <c r="AA127" i="108" s="1"/>
  <c r="P87" i="108"/>
  <c r="AE127" i="108" s="1"/>
  <c r="AG5" i="104"/>
  <c r="AP5" i="104" s="1"/>
  <c r="AQ5" i="104" s="1"/>
  <c r="BA113" i="108"/>
  <c r="BB113" i="108" s="1"/>
  <c r="U11" i="112"/>
  <c r="AR15" i="94"/>
  <c r="AS15" i="94" s="1"/>
  <c r="AE15" i="104"/>
  <c r="AI15" i="112"/>
  <c r="P14" i="108"/>
  <c r="AA120" i="108" s="1"/>
  <c r="AV6" i="104"/>
  <c r="AO15" i="94"/>
  <c r="AC126" i="108"/>
  <c r="AF126" i="108"/>
  <c r="AB129" i="95"/>
  <c r="AC129" i="95" s="1"/>
  <c r="AM15" i="94"/>
  <c r="AN15" i="94" s="1"/>
  <c r="AK15" i="94"/>
  <c r="U25" i="84"/>
  <c r="V4" i="84"/>
  <c r="B12" i="82"/>
  <c r="B17" i="82" s="1"/>
  <c r="B22" i="82" s="1"/>
  <c r="B26" i="82" s="1"/>
  <c r="D4" i="89"/>
  <c r="D13" i="89" s="1"/>
  <c r="D17" i="89" s="1"/>
  <c r="F4" i="82"/>
  <c r="F12" i="82" s="1"/>
  <c r="U25" i="91"/>
  <c r="V4" i="91"/>
  <c r="AI116" i="108" l="1"/>
  <c r="P58" i="108"/>
  <c r="AB120" i="108" s="1"/>
  <c r="AC120" i="108" s="1"/>
  <c r="AW11" i="112"/>
  <c r="P77" i="108"/>
  <c r="AE117" i="108" s="1"/>
  <c r="AF117" i="108" s="1"/>
  <c r="AF22" i="112"/>
  <c r="AW12" i="112"/>
  <c r="AF5" i="112"/>
  <c r="AF18" i="112"/>
  <c r="AV17" i="112"/>
  <c r="AU17" i="112"/>
  <c r="U17" i="112"/>
  <c r="N45" i="125" s="1"/>
  <c r="AR9" i="104"/>
  <c r="AU7" i="112"/>
  <c r="AV23" i="112"/>
  <c r="P80" i="108"/>
  <c r="AE120" i="108" s="1"/>
  <c r="AF120" i="108" s="1"/>
  <c r="AC122" i="108"/>
  <c r="AG122" i="108" s="1"/>
  <c r="AI9" i="104"/>
  <c r="AM9" i="104"/>
  <c r="AD9" i="112"/>
  <c r="AE9" i="112" s="1"/>
  <c r="U23" i="112"/>
  <c r="N69" i="125" s="1"/>
  <c r="BA119" i="108"/>
  <c r="Y119" i="108"/>
  <c r="Z119" i="108" s="1"/>
  <c r="AZ119" i="108"/>
  <c r="P55" i="108"/>
  <c r="AB117" i="108" s="1"/>
  <c r="T9" i="112"/>
  <c r="AU9" i="112" s="1"/>
  <c r="AK9" i="104"/>
  <c r="AL9" i="104" s="1"/>
  <c r="P35" i="108" s="1"/>
  <c r="AD119" i="108" s="1"/>
  <c r="AU23" i="112"/>
  <c r="P11" i="108"/>
  <c r="AA117" i="108" s="1"/>
  <c r="AU13" i="112"/>
  <c r="AV13" i="112"/>
  <c r="AV7" i="112"/>
  <c r="P75" i="108"/>
  <c r="AE115" i="108" s="1"/>
  <c r="P31" i="108"/>
  <c r="AD115" i="108" s="1"/>
  <c r="P53" i="108"/>
  <c r="AB115" i="108" s="1"/>
  <c r="AC115" i="108" s="1"/>
  <c r="U7" i="112"/>
  <c r="N29" i="125" s="1"/>
  <c r="AC127" i="108"/>
  <c r="AF127" i="108"/>
  <c r="BA123" i="108"/>
  <c r="AZ123" i="108"/>
  <c r="AG18" i="104"/>
  <c r="BB121" i="108"/>
  <c r="AP10" i="104"/>
  <c r="AQ10" i="104" s="1"/>
  <c r="Y121" i="108"/>
  <c r="Z121" i="108" s="1"/>
  <c r="AM10" i="104"/>
  <c r="AI10" i="104"/>
  <c r="AK10" i="104"/>
  <c r="AL10" i="104" s="1"/>
  <c r="U13" i="112"/>
  <c r="N125" i="125" s="1"/>
  <c r="AF6" i="104"/>
  <c r="AD6" i="112"/>
  <c r="AE6" i="112" s="1"/>
  <c r="AP19" i="104"/>
  <c r="AQ19" i="104" s="1"/>
  <c r="AK19" i="104"/>
  <c r="AL19" i="104" s="1"/>
  <c r="AM19" i="104"/>
  <c r="Y124" i="108"/>
  <c r="Z124" i="108" s="1"/>
  <c r="AI19" i="104"/>
  <c r="AF22" i="104"/>
  <c r="AK5" i="104"/>
  <c r="AL5" i="104" s="1"/>
  <c r="P29" i="108" s="1"/>
  <c r="AD113" i="108" s="1"/>
  <c r="AR5" i="104"/>
  <c r="AI5" i="104"/>
  <c r="AM5" i="104"/>
  <c r="Y113" i="108"/>
  <c r="Z113" i="108" s="1"/>
  <c r="T5" i="112"/>
  <c r="AI126" i="108"/>
  <c r="AG126" i="108"/>
  <c r="AT15" i="94"/>
  <c r="T15" i="104"/>
  <c r="AT15" i="104" s="1"/>
  <c r="P89" i="95"/>
  <c r="AH129" i="95" s="1"/>
  <c r="S67" i="95"/>
  <c r="AE129" i="95" s="1"/>
  <c r="P45" i="95"/>
  <c r="AG129" i="95" s="1"/>
  <c r="S23" i="95"/>
  <c r="AD129" i="95" s="1"/>
  <c r="V25" i="84"/>
  <c r="X4" i="84"/>
  <c r="AE4" i="84" s="1"/>
  <c r="V25" i="91"/>
  <c r="X4" i="91"/>
  <c r="AE4" i="91" s="1"/>
  <c r="AI122" i="108" l="1"/>
  <c r="AW7" i="112"/>
  <c r="G129" i="125"/>
  <c r="G130" i="125" s="1"/>
  <c r="K129" i="125"/>
  <c r="K130" i="125" s="1"/>
  <c r="F129" i="125"/>
  <c r="I129" i="125"/>
  <c r="I130" i="125" s="1"/>
  <c r="H129" i="125"/>
  <c r="H130" i="125" s="1"/>
  <c r="J129" i="125"/>
  <c r="J130" i="125" s="1"/>
  <c r="AW17" i="112"/>
  <c r="AF6" i="112"/>
  <c r="AF9" i="112"/>
  <c r="AW23" i="112"/>
  <c r="AV9" i="112"/>
  <c r="AG127" i="108"/>
  <c r="AG120" i="108"/>
  <c r="BB119" i="108"/>
  <c r="AC117" i="108"/>
  <c r="AG117" i="108" s="1"/>
  <c r="AI120" i="108"/>
  <c r="P57" i="108"/>
  <c r="AB119" i="108" s="1"/>
  <c r="P13" i="108"/>
  <c r="AA119" i="108" s="1"/>
  <c r="P79" i="108"/>
  <c r="AE119" i="108" s="1"/>
  <c r="AF119" i="108" s="1"/>
  <c r="U9" i="112"/>
  <c r="AI127" i="108"/>
  <c r="AF115" i="108"/>
  <c r="AG115" i="108" s="1"/>
  <c r="AW13" i="112"/>
  <c r="AU5" i="112"/>
  <c r="BB123" i="108"/>
  <c r="P15" i="108"/>
  <c r="AA121" i="108" s="1"/>
  <c r="P59" i="108"/>
  <c r="AB121" i="108" s="1"/>
  <c r="P81" i="108"/>
  <c r="AE121" i="108" s="1"/>
  <c r="P37" i="108"/>
  <c r="AD121" i="108" s="1"/>
  <c r="T19" i="112"/>
  <c r="AR19" i="104"/>
  <c r="AP18" i="104"/>
  <c r="AQ18" i="104" s="1"/>
  <c r="AK18" i="104"/>
  <c r="AL18" i="104" s="1"/>
  <c r="AI18" i="104"/>
  <c r="Y123" i="108"/>
  <c r="Z123" i="108" s="1"/>
  <c r="AM18" i="104"/>
  <c r="P73" i="108"/>
  <c r="AE113" i="108" s="1"/>
  <c r="AF113" i="108" s="1"/>
  <c r="BA118" i="108"/>
  <c r="AG22" i="104"/>
  <c r="AZ118" i="108"/>
  <c r="AR10" i="104"/>
  <c r="T10" i="112"/>
  <c r="P62" i="108"/>
  <c r="AB124" i="108" s="1"/>
  <c r="P40" i="108"/>
  <c r="AD124" i="108" s="1"/>
  <c r="P84" i="108"/>
  <c r="AE124" i="108" s="1"/>
  <c r="P18" i="108"/>
  <c r="AA124" i="108" s="1"/>
  <c r="BA114" i="108"/>
  <c r="BB114" i="108" s="1"/>
  <c r="AG6" i="104"/>
  <c r="P51" i="108"/>
  <c r="AB113" i="108" s="1"/>
  <c r="P7" i="108"/>
  <c r="AA113" i="108" s="1"/>
  <c r="U5" i="112"/>
  <c r="AW9" i="112"/>
  <c r="AU15" i="104"/>
  <c r="AV15" i="104" s="1"/>
  <c r="U15" i="104"/>
  <c r="N123" i="118" s="1"/>
  <c r="N140" i="125" s="1"/>
  <c r="AI129" i="95"/>
  <c r="AF129" i="95"/>
  <c r="AE25" i="91"/>
  <c r="AF4" i="91"/>
  <c r="AE25" i="84"/>
  <c r="AF4" i="84"/>
  <c r="AI117" i="108" l="1"/>
  <c r="F130" i="125"/>
  <c r="L129" i="125"/>
  <c r="Q19" i="120" s="1"/>
  <c r="AC119" i="108"/>
  <c r="AI119" i="108" s="1"/>
  <c r="W9" i="112"/>
  <c r="N61" i="125"/>
  <c r="N13" i="125"/>
  <c r="AV19" i="112"/>
  <c r="AI115" i="108"/>
  <c r="AF121" i="108"/>
  <c r="BB118" i="108"/>
  <c r="AU10" i="112"/>
  <c r="AV10" i="112"/>
  <c r="N124" i="118"/>
  <c r="AC113" i="108"/>
  <c r="AG113" i="108" s="1"/>
  <c r="U10" i="112"/>
  <c r="N77" i="125" s="1"/>
  <c r="AK6" i="104"/>
  <c r="AL6" i="104" s="1"/>
  <c r="AP6" i="104"/>
  <c r="AQ6" i="104" s="1"/>
  <c r="AI6" i="104"/>
  <c r="Y114" i="108"/>
  <c r="Z114" i="108" s="1"/>
  <c r="AM6" i="104"/>
  <c r="AU19" i="112"/>
  <c r="U19" i="112"/>
  <c r="N101" i="125" s="1"/>
  <c r="P39" i="108"/>
  <c r="AD123" i="108" s="1"/>
  <c r="P83" i="108"/>
  <c r="AE123" i="108" s="1"/>
  <c r="P61" i="108"/>
  <c r="AB123" i="108" s="1"/>
  <c r="P17" i="108"/>
  <c r="AA123" i="108" s="1"/>
  <c r="AC124" i="108"/>
  <c r="T18" i="112"/>
  <c r="AR18" i="104"/>
  <c r="AP22" i="104"/>
  <c r="AQ22" i="104" s="1"/>
  <c r="Y118" i="108"/>
  <c r="Z118" i="108" s="1"/>
  <c r="AI22" i="104"/>
  <c r="AK22" i="104"/>
  <c r="AL22" i="104" s="1"/>
  <c r="AM22" i="104"/>
  <c r="AF124" i="108"/>
  <c r="AC121" i="108"/>
  <c r="V15" i="104"/>
  <c r="AJ129" i="95"/>
  <c r="AL129" i="95"/>
  <c r="AH4" i="91"/>
  <c r="AB110" i="92"/>
  <c r="AF25" i="91"/>
  <c r="AL4" i="91"/>
  <c r="AJ4" i="91"/>
  <c r="AK4" i="91" s="1"/>
  <c r="AJ4" i="84"/>
  <c r="AK4" i="84" s="1"/>
  <c r="AJ4" i="94"/>
  <c r="AH4" i="84"/>
  <c r="AF25" i="84"/>
  <c r="B4" i="89" s="1"/>
  <c r="AO4" i="84"/>
  <c r="AP4" i="84" s="1"/>
  <c r="AB108" i="85"/>
  <c r="AL4" i="84"/>
  <c r="AG119" i="108" l="1"/>
  <c r="X9" i="112"/>
  <c r="Z9" i="112" s="1"/>
  <c r="O60" i="125"/>
  <c r="AW19" i="112"/>
  <c r="AV18" i="112"/>
  <c r="AI113" i="108"/>
  <c r="AW10" i="112"/>
  <c r="AC123" i="108"/>
  <c r="AF123" i="108"/>
  <c r="T6" i="112"/>
  <c r="AR6" i="104"/>
  <c r="P8" i="108"/>
  <c r="AA114" i="108" s="1"/>
  <c r="P74" i="108"/>
  <c r="AE114" i="108" s="1"/>
  <c r="P52" i="108"/>
  <c r="AB114" i="108" s="1"/>
  <c r="P30" i="108"/>
  <c r="AD114" i="108" s="1"/>
  <c r="AG121" i="108"/>
  <c r="AI121" i="108"/>
  <c r="U18" i="112"/>
  <c r="N93" i="125" s="1"/>
  <c r="AU18" i="112"/>
  <c r="T22" i="112"/>
  <c r="AR22" i="104"/>
  <c r="W15" i="104"/>
  <c r="Y15" i="104" s="1"/>
  <c r="AF15" i="104" s="1"/>
  <c r="AG15" i="104" s="1"/>
  <c r="AP15" i="104" s="1"/>
  <c r="AQ15" i="104" s="1"/>
  <c r="O123" i="118"/>
  <c r="AG124" i="108"/>
  <c r="AI124" i="108"/>
  <c r="P78" i="108"/>
  <c r="AE118" i="108" s="1"/>
  <c r="P56" i="108"/>
  <c r="AB118" i="108" s="1"/>
  <c r="P12" i="108"/>
  <c r="AA118" i="108" s="1"/>
  <c r="P34" i="108"/>
  <c r="AD118" i="108" s="1"/>
  <c r="F4" i="89"/>
  <c r="F13" i="89" s="1"/>
  <c r="B13" i="89"/>
  <c r="B19" i="89" s="1"/>
  <c r="R6" i="92"/>
  <c r="AD110" i="92" s="1"/>
  <c r="O28" i="92"/>
  <c r="AG110" i="92" s="1"/>
  <c r="O72" i="92"/>
  <c r="AH110" i="92" s="1"/>
  <c r="AH129" i="92" s="1"/>
  <c r="R50" i="92"/>
  <c r="AE110" i="92" s="1"/>
  <c r="AE129" i="92" s="1"/>
  <c r="AC108" i="85"/>
  <c r="AC127" i="85" s="1"/>
  <c r="AB127" i="85"/>
  <c r="AQ4" i="84"/>
  <c r="V4" i="94"/>
  <c r="AV4" i="94" s="1"/>
  <c r="N72" i="85"/>
  <c r="AH108" i="85" s="1"/>
  <c r="AH127" i="85" s="1"/>
  <c r="Q50" i="85"/>
  <c r="AE108" i="85" s="1"/>
  <c r="AE127" i="85" s="1"/>
  <c r="N28" i="85"/>
  <c r="AG108" i="85" s="1"/>
  <c r="Q6" i="85"/>
  <c r="AD108" i="85" s="1"/>
  <c r="AC110" i="92"/>
  <c r="AC129" i="92" s="1"/>
  <c r="AB129" i="92"/>
  <c r="AG123" i="108" l="1"/>
  <c r="AI123" i="108"/>
  <c r="AW18" i="112"/>
  <c r="AG9" i="112"/>
  <c r="AH9" i="112" s="1"/>
  <c r="AV22" i="112"/>
  <c r="AC118" i="108"/>
  <c r="AF114" i="108"/>
  <c r="AU6" i="112"/>
  <c r="AV6" i="112"/>
  <c r="AD15" i="112"/>
  <c r="AE15" i="112" s="1"/>
  <c r="U6" i="112"/>
  <c r="N21" i="125" s="1"/>
  <c r="AF118" i="108"/>
  <c r="U22" i="112"/>
  <c r="N53" i="125" s="1"/>
  <c r="AU22" i="112"/>
  <c r="AC114" i="108"/>
  <c r="BA129" i="108"/>
  <c r="AZ129" i="108"/>
  <c r="T15" i="112"/>
  <c r="AR15" i="104"/>
  <c r="AK15" i="104"/>
  <c r="AL15" i="104" s="1"/>
  <c r="P67" i="108" s="1"/>
  <c r="AB129" i="108" s="1"/>
  <c r="AI15" i="104"/>
  <c r="AM15" i="104"/>
  <c r="Y129" i="108"/>
  <c r="Z129" i="108" s="1"/>
  <c r="AI108" i="85"/>
  <c r="AI127" i="85" s="1"/>
  <c r="AG127" i="85"/>
  <c r="AG129" i="92"/>
  <c r="AI110" i="92"/>
  <c r="AI129" i="92" s="1"/>
  <c r="AD129" i="92"/>
  <c r="AF110" i="92"/>
  <c r="AD127" i="85"/>
  <c r="AF108" i="85"/>
  <c r="W4" i="94"/>
  <c r="X4" i="94" s="1"/>
  <c r="AW22" i="112" l="1"/>
  <c r="Y119" i="113"/>
  <c r="Z119" i="113" s="1"/>
  <c r="AL9" i="112"/>
  <c r="AM9" i="112" s="1"/>
  <c r="P57" i="113" s="1"/>
  <c r="AB119" i="113" s="1"/>
  <c r="AJ9" i="112"/>
  <c r="AN9" i="112"/>
  <c r="AG118" i="108"/>
  <c r="AF15" i="112"/>
  <c r="AW6" i="112"/>
  <c r="AU15" i="112"/>
  <c r="AV15" i="112"/>
  <c r="BB129" i="108"/>
  <c r="AI118" i="108"/>
  <c r="AG114" i="108"/>
  <c r="AI114" i="108"/>
  <c r="P89" i="108"/>
  <c r="AE129" i="108" s="1"/>
  <c r="P45" i="108"/>
  <c r="AD129" i="108" s="1"/>
  <c r="U15" i="112"/>
  <c r="N141" i="125" s="1"/>
  <c r="P23" i="108"/>
  <c r="AA129" i="108" s="1"/>
  <c r="AC129" i="108" s="1"/>
  <c r="X25" i="94"/>
  <c r="Y4" i="94"/>
  <c r="AJ108" i="85"/>
  <c r="AJ127" i="85" s="1"/>
  <c r="AL108" i="85"/>
  <c r="AL127" i="85" s="1"/>
  <c r="AF127" i="85"/>
  <c r="AW4" i="94"/>
  <c r="AX4" i="94" s="1"/>
  <c r="AJ110" i="92"/>
  <c r="AJ129" i="92" s="1"/>
  <c r="AL110" i="92"/>
  <c r="AL129" i="92" s="1"/>
  <c r="AF129" i="92"/>
  <c r="P79" i="113" l="1"/>
  <c r="AE119" i="113" s="1"/>
  <c r="P35" i="113"/>
  <c r="AD119" i="113" s="1"/>
  <c r="P13" i="113"/>
  <c r="AA119" i="113" s="1"/>
  <c r="AC119" i="113" s="1"/>
  <c r="AF129" i="108"/>
  <c r="AG129" i="108" s="1"/>
  <c r="AW15" i="112"/>
  <c r="Y25" i="94"/>
  <c r="AA4" i="94"/>
  <c r="AF119" i="113" l="1"/>
  <c r="AI119" i="113" s="1"/>
  <c r="AI129" i="108"/>
  <c r="AH4" i="94"/>
  <c r="AH25" i="94" s="1"/>
  <c r="AC4" i="104"/>
  <c r="AD4" i="104" s="1"/>
  <c r="AG119" i="113" l="1"/>
  <c r="AE4" i="104"/>
  <c r="AI4" i="112"/>
  <c r="AI4" i="94"/>
  <c r="AH4" i="104"/>
  <c r="AR4" i="94" l="1"/>
  <c r="AS4" i="94" s="1"/>
  <c r="T4" i="104" s="1"/>
  <c r="AB112" i="95"/>
  <c r="AB131" i="95" s="1"/>
  <c r="AO4" i="94"/>
  <c r="AM4" i="94"/>
  <c r="AN4" i="94" s="1"/>
  <c r="AK4" i="94"/>
  <c r="AI25" i="94"/>
  <c r="D4" i="105" s="1"/>
  <c r="D13" i="105" s="1"/>
  <c r="AT4" i="94" l="1"/>
  <c r="AC112" i="95"/>
  <c r="AC131" i="95" s="1"/>
  <c r="B4" i="103"/>
  <c r="B13" i="103" s="1"/>
  <c r="S50" i="95"/>
  <c r="AE112" i="95" s="1"/>
  <c r="AE131" i="95" s="1"/>
  <c r="S6" i="95"/>
  <c r="AD112" i="95" s="1"/>
  <c r="AD131" i="95" s="1"/>
  <c r="P72" i="95"/>
  <c r="AH112" i="95" s="1"/>
  <c r="AH131" i="95" s="1"/>
  <c r="P28" i="95"/>
  <c r="AG112" i="95" s="1"/>
  <c r="AG131" i="95" s="1"/>
  <c r="AI31" i="94"/>
  <c r="AK31" i="94" s="1"/>
  <c r="U4" i="104"/>
  <c r="AT4" i="104"/>
  <c r="V4" i="104" l="1"/>
  <c r="O4" i="118" s="1"/>
  <c r="N4" i="118"/>
  <c r="N4" i="125" s="1"/>
  <c r="N5" i="125" s="1"/>
  <c r="AU4" i="104"/>
  <c r="AV4" i="104" s="1"/>
  <c r="F4" i="103"/>
  <c r="F13" i="103" s="1"/>
  <c r="AF112" i="95"/>
  <c r="AI112" i="95"/>
  <c r="AI131" i="95" s="1"/>
  <c r="V25" i="104" l="1"/>
  <c r="W4" i="104"/>
  <c r="Y4" i="104" s="1"/>
  <c r="N5" i="118"/>
  <c r="I8" i="118" s="1"/>
  <c r="AV5" i="112"/>
  <c r="AJ112" i="95"/>
  <c r="AJ131" i="95" s="1"/>
  <c r="AF131" i="95"/>
  <c r="AL112" i="95"/>
  <c r="AL131" i="95" s="1"/>
  <c r="W25" i="104" l="1"/>
  <c r="I9" i="118"/>
  <c r="I4" i="125" s="1"/>
  <c r="I7" i="125" s="1"/>
  <c r="F8" i="118"/>
  <c r="F7" i="118"/>
  <c r="H7" i="118"/>
  <c r="I7" i="118"/>
  <c r="G8" i="118"/>
  <c r="K8" i="118"/>
  <c r="J8" i="118"/>
  <c r="H8" i="118"/>
  <c r="K7" i="118"/>
  <c r="G7" i="118"/>
  <c r="J7" i="118"/>
  <c r="G13" i="118"/>
  <c r="G15" i="118" s="1"/>
  <c r="G14" i="118"/>
  <c r="I13" i="118"/>
  <c r="I15" i="118" s="1"/>
  <c r="I14" i="118"/>
  <c r="F13" i="118"/>
  <c r="F15" i="118" s="1"/>
  <c r="F14" i="118"/>
  <c r="K13" i="118"/>
  <c r="K15" i="118" s="1"/>
  <c r="K14" i="118"/>
  <c r="J13" i="118"/>
  <c r="J15" i="118" s="1"/>
  <c r="J14" i="118"/>
  <c r="H13" i="118"/>
  <c r="H15" i="118" s="1"/>
  <c r="H14" i="118"/>
  <c r="AW5" i="112"/>
  <c r="AF4" i="104"/>
  <c r="AG4" i="104" s="1"/>
  <c r="AP4" i="104" s="1"/>
  <c r="AQ4" i="104" s="1"/>
  <c r="AD4" i="112"/>
  <c r="AE4" i="112" s="1"/>
  <c r="AZ131" i="108"/>
  <c r="I6" i="125" l="1"/>
  <c r="H9" i="118"/>
  <c r="H4" i="125" s="1"/>
  <c r="H7" i="125" s="1"/>
  <c r="J9" i="118"/>
  <c r="J4" i="125" s="1"/>
  <c r="J7" i="125" s="1"/>
  <c r="F9" i="118"/>
  <c r="F4" i="125" s="1"/>
  <c r="F7" i="125" s="1"/>
  <c r="K9" i="118"/>
  <c r="K4" i="125" s="1"/>
  <c r="K7" i="125" s="1"/>
  <c r="G9" i="118"/>
  <c r="G4" i="125" s="1"/>
  <c r="G7" i="125" s="1"/>
  <c r="H16" i="118"/>
  <c r="H12" i="125" s="1"/>
  <c r="H15" i="125" s="1"/>
  <c r="H17" i="125" s="1"/>
  <c r="H18" i="125" s="1"/>
  <c r="I16" i="118"/>
  <c r="I12" i="125" s="1"/>
  <c r="I15" i="125" s="1"/>
  <c r="I17" i="125" s="1"/>
  <c r="I18" i="125" s="1"/>
  <c r="J16" i="118"/>
  <c r="J12" i="125" s="1"/>
  <c r="J15" i="125" s="1"/>
  <c r="J17" i="125" s="1"/>
  <c r="J18" i="125" s="1"/>
  <c r="F16" i="118"/>
  <c r="F12" i="125" s="1"/>
  <c r="F15" i="125" s="1"/>
  <c r="F17" i="125" s="1"/>
  <c r="G16" i="118"/>
  <c r="G12" i="125" s="1"/>
  <c r="G15" i="125" s="1"/>
  <c r="G17" i="125" s="1"/>
  <c r="G18" i="125" s="1"/>
  <c r="K16" i="118"/>
  <c r="K12" i="125" s="1"/>
  <c r="K15" i="125" s="1"/>
  <c r="K17" i="125" s="1"/>
  <c r="K18" i="125" s="1"/>
  <c r="L8" i="118"/>
  <c r="AF4" i="112"/>
  <c r="L7" i="118"/>
  <c r="O7" i="118"/>
  <c r="P7" i="118" s="1"/>
  <c r="K20" i="118"/>
  <c r="K22" i="118" s="1"/>
  <c r="K21" i="118"/>
  <c r="J20" i="118"/>
  <c r="J22" i="118" s="1"/>
  <c r="J21" i="118"/>
  <c r="L14" i="118"/>
  <c r="O14" i="118"/>
  <c r="P14" i="118" s="1"/>
  <c r="G20" i="118"/>
  <c r="G22" i="118" s="1"/>
  <c r="G21" i="118"/>
  <c r="F20" i="118"/>
  <c r="F22" i="118" s="1"/>
  <c r="L15" i="118"/>
  <c r="F21" i="118"/>
  <c r="I20" i="118"/>
  <c r="I22" i="118" s="1"/>
  <c r="I21" i="118"/>
  <c r="H20" i="118"/>
  <c r="H22" i="118" s="1"/>
  <c r="H21" i="118"/>
  <c r="AF25" i="104"/>
  <c r="BA112" i="108"/>
  <c r="BB112" i="108" s="1"/>
  <c r="BB131" i="108" s="1"/>
  <c r="Y112" i="108"/>
  <c r="AI4" i="104"/>
  <c r="AM4" i="104"/>
  <c r="AK4" i="104"/>
  <c r="AG25" i="104"/>
  <c r="F14" i="125" l="1"/>
  <c r="H14" i="125"/>
  <c r="F18" i="125"/>
  <c r="L17" i="125"/>
  <c r="Q5" i="120" s="1"/>
  <c r="I14" i="125"/>
  <c r="G6" i="125"/>
  <c r="F6" i="125"/>
  <c r="H6" i="125"/>
  <c r="K6" i="125"/>
  <c r="J6" i="125"/>
  <c r="K14" i="125"/>
  <c r="G14" i="125"/>
  <c r="J14" i="125"/>
  <c r="E9" i="118"/>
  <c r="E16" i="118"/>
  <c r="G23" i="118"/>
  <c r="G20" i="125" s="1"/>
  <c r="G23" i="125" s="1"/>
  <c r="G25" i="125" s="1"/>
  <c r="G26" i="125" s="1"/>
  <c r="H23" i="118"/>
  <c r="H20" i="125" s="1"/>
  <c r="H23" i="125" s="1"/>
  <c r="H25" i="125" s="1"/>
  <c r="H26" i="125" s="1"/>
  <c r="J23" i="118"/>
  <c r="J20" i="125" s="1"/>
  <c r="J23" i="125" s="1"/>
  <c r="J25" i="125" s="1"/>
  <c r="J26" i="125" s="1"/>
  <c r="F23" i="118"/>
  <c r="F20" i="125" s="1"/>
  <c r="F23" i="125" s="1"/>
  <c r="F25" i="125" s="1"/>
  <c r="K23" i="118"/>
  <c r="K20" i="125" s="1"/>
  <c r="K23" i="125" s="1"/>
  <c r="K25" i="125" s="1"/>
  <c r="K26" i="125" s="1"/>
  <c r="I23" i="118"/>
  <c r="I20" i="125" s="1"/>
  <c r="I23" i="125" s="1"/>
  <c r="I25" i="125" s="1"/>
  <c r="I26" i="125" s="1"/>
  <c r="M8" i="118"/>
  <c r="W4" i="112"/>
  <c r="O4" i="125" s="1"/>
  <c r="BA131" i="108"/>
  <c r="W5" i="112"/>
  <c r="M15" i="118"/>
  <c r="K27" i="118"/>
  <c r="K29" i="118" s="1"/>
  <c r="K30" i="118" s="1"/>
  <c r="K28" i="125" s="1"/>
  <c r="K28" i="118"/>
  <c r="G27" i="118"/>
  <c r="G29" i="118" s="1"/>
  <c r="G30" i="118" s="1"/>
  <c r="G28" i="125" s="1"/>
  <c r="G28" i="118"/>
  <c r="H27" i="118"/>
  <c r="H29" i="118" s="1"/>
  <c r="H30" i="118" s="1"/>
  <c r="H28" i="125" s="1"/>
  <c r="H28" i="118"/>
  <c r="I27" i="118"/>
  <c r="I29" i="118" s="1"/>
  <c r="I30" i="118" s="1"/>
  <c r="I28" i="125" s="1"/>
  <c r="I28" i="118"/>
  <c r="F27" i="118"/>
  <c r="F29" i="118" s="1"/>
  <c r="F30" i="118" s="1"/>
  <c r="F28" i="125" s="1"/>
  <c r="F28" i="118"/>
  <c r="L22" i="118"/>
  <c r="J27" i="118"/>
  <c r="J29" i="118" s="1"/>
  <c r="J30" i="118" s="1"/>
  <c r="J28" i="125" s="1"/>
  <c r="J28" i="118"/>
  <c r="O21" i="118"/>
  <c r="P21" i="118" s="1"/>
  <c r="L21" i="118"/>
  <c r="B4" i="111"/>
  <c r="B16" i="111" s="1"/>
  <c r="AH27" i="112"/>
  <c r="AL4" i="104"/>
  <c r="P28" i="108" s="1"/>
  <c r="AD112" i="108" s="1"/>
  <c r="AK25" i="104"/>
  <c r="Z112" i="108"/>
  <c r="Z131" i="108" s="1"/>
  <c r="Y131" i="108"/>
  <c r="B4" i="105"/>
  <c r="AG29" i="104"/>
  <c r="F22" i="125" l="1"/>
  <c r="I22" i="125"/>
  <c r="H22" i="125"/>
  <c r="F31" i="125"/>
  <c r="F33" i="125" s="1"/>
  <c r="F30" i="125"/>
  <c r="K31" i="125"/>
  <c r="K33" i="125" s="1"/>
  <c r="K34" i="125" s="1"/>
  <c r="K30" i="125"/>
  <c r="H31" i="125"/>
  <c r="H33" i="125" s="1"/>
  <c r="H34" i="125" s="1"/>
  <c r="H30" i="125"/>
  <c r="J31" i="125"/>
  <c r="J33" i="125" s="1"/>
  <c r="J34" i="125" s="1"/>
  <c r="J30" i="125"/>
  <c r="K22" i="125"/>
  <c r="J22" i="125"/>
  <c r="M16" i="118"/>
  <c r="E12" i="125"/>
  <c r="I31" i="125"/>
  <c r="I33" i="125" s="1"/>
  <c r="I34" i="125" s="1"/>
  <c r="I30" i="125"/>
  <c r="G31" i="125"/>
  <c r="G33" i="125" s="1"/>
  <c r="G34" i="125" s="1"/>
  <c r="G30" i="125"/>
  <c r="F26" i="125"/>
  <c r="L25" i="125"/>
  <c r="Q6" i="120" s="1"/>
  <c r="M9" i="118"/>
  <c r="E4" i="125"/>
  <c r="G22" i="125"/>
  <c r="E23" i="118"/>
  <c r="E30" i="118"/>
  <c r="E28" i="125" s="1"/>
  <c r="X5" i="112"/>
  <c r="Z5" i="112" s="1"/>
  <c r="O12" i="125"/>
  <c r="M17" i="125" s="1"/>
  <c r="T4" i="112"/>
  <c r="AU4" i="112" s="1"/>
  <c r="W6" i="112"/>
  <c r="B19" i="111"/>
  <c r="I34" i="118"/>
  <c r="I36" i="118" s="1"/>
  <c r="I35" i="118"/>
  <c r="H34" i="118"/>
  <c r="H36" i="118" s="1"/>
  <c r="H35" i="118"/>
  <c r="G34" i="118"/>
  <c r="G36" i="118" s="1"/>
  <c r="G35" i="118"/>
  <c r="J34" i="118"/>
  <c r="J36" i="118" s="1"/>
  <c r="J35" i="118"/>
  <c r="L28" i="118"/>
  <c r="O28" i="118"/>
  <c r="P28" i="118" s="1"/>
  <c r="M22" i="118"/>
  <c r="F34" i="118"/>
  <c r="F36" i="118" s="1"/>
  <c r="F35" i="118"/>
  <c r="L29" i="118"/>
  <c r="K34" i="118"/>
  <c r="K36" i="118" s="1"/>
  <c r="K35" i="118"/>
  <c r="AR4" i="104"/>
  <c r="X4" i="112"/>
  <c r="P50" i="108"/>
  <c r="AB112" i="108" s="1"/>
  <c r="AB131" i="108" s="1"/>
  <c r="P6" i="108"/>
  <c r="AA112" i="108" s="1"/>
  <c r="P72" i="108"/>
  <c r="AE112" i="108" s="1"/>
  <c r="AE131" i="108" s="1"/>
  <c r="B13" i="105"/>
  <c r="B16" i="105" s="1"/>
  <c r="F4" i="105"/>
  <c r="F13" i="105" s="1"/>
  <c r="AD131" i="108"/>
  <c r="M23" i="118" l="1"/>
  <c r="E20" i="125"/>
  <c r="F34" i="125"/>
  <c r="L33" i="125"/>
  <c r="Q7" i="120" s="1"/>
  <c r="M30" i="118"/>
  <c r="K37" i="118"/>
  <c r="K36" i="125" s="1"/>
  <c r="K39" i="125" s="1"/>
  <c r="K41" i="125" s="1"/>
  <c r="K42" i="125" s="1"/>
  <c r="J37" i="118"/>
  <c r="J36" i="125" s="1"/>
  <c r="J39" i="125" s="1"/>
  <c r="J41" i="125" s="1"/>
  <c r="J42" i="125" s="1"/>
  <c r="H37" i="118"/>
  <c r="H36" i="125" s="1"/>
  <c r="H39" i="125" s="1"/>
  <c r="H41" i="125" s="1"/>
  <c r="H42" i="125" s="1"/>
  <c r="G37" i="118"/>
  <c r="G36" i="125" s="1"/>
  <c r="G39" i="125" s="1"/>
  <c r="G41" i="125" s="1"/>
  <c r="G42" i="125" s="1"/>
  <c r="I37" i="118"/>
  <c r="I36" i="125" s="1"/>
  <c r="I39" i="125" s="1"/>
  <c r="I41" i="125" s="1"/>
  <c r="I42" i="125" s="1"/>
  <c r="F37" i="118"/>
  <c r="F36" i="125" s="1"/>
  <c r="F39" i="125" s="1"/>
  <c r="F41" i="125" s="1"/>
  <c r="X6" i="112"/>
  <c r="Z6" i="112" s="1"/>
  <c r="O20" i="125"/>
  <c r="M25" i="125" s="1"/>
  <c r="AG5" i="112"/>
  <c r="AH5" i="112" s="1"/>
  <c r="U4" i="112"/>
  <c r="AV4" i="112"/>
  <c r="AW4" i="112" s="1"/>
  <c r="M29" i="118"/>
  <c r="W7" i="112"/>
  <c r="O28" i="125" s="1"/>
  <c r="I41" i="118"/>
  <c r="I43" i="118" s="1"/>
  <c r="I42" i="118"/>
  <c r="K41" i="118"/>
  <c r="K43" i="118" s="1"/>
  <c r="K42" i="118"/>
  <c r="J41" i="118"/>
  <c r="J43" i="118" s="1"/>
  <c r="J42" i="118"/>
  <c r="O35" i="118"/>
  <c r="P35" i="118" s="1"/>
  <c r="L35" i="118"/>
  <c r="F41" i="118"/>
  <c r="F43" i="118" s="1"/>
  <c r="L36" i="118"/>
  <c r="F42" i="118"/>
  <c r="G41" i="118"/>
  <c r="G43" i="118" s="1"/>
  <c r="G42" i="118"/>
  <c r="H41" i="118"/>
  <c r="H43" i="118" s="1"/>
  <c r="H42" i="118"/>
  <c r="Z4" i="112"/>
  <c r="AC112" i="108"/>
  <c r="AC131" i="108" s="1"/>
  <c r="AF112" i="108"/>
  <c r="AF131" i="108" s="1"/>
  <c r="AA131" i="108"/>
  <c r="F42" i="125" l="1"/>
  <c r="L41" i="125"/>
  <c r="Q8" i="120" s="1"/>
  <c r="H38" i="125"/>
  <c r="K38" i="125"/>
  <c r="M33" i="125"/>
  <c r="J38" i="125"/>
  <c r="I38" i="125"/>
  <c r="F38" i="125"/>
  <c r="G38" i="125"/>
  <c r="E37" i="118"/>
  <c r="K44" i="118"/>
  <c r="K44" i="125" s="1"/>
  <c r="K47" i="125" s="1"/>
  <c r="K49" i="125" s="1"/>
  <c r="K50" i="125" s="1"/>
  <c r="H44" i="118"/>
  <c r="H44" i="125" s="1"/>
  <c r="H47" i="125" s="1"/>
  <c r="H49" i="125" s="1"/>
  <c r="H50" i="125" s="1"/>
  <c r="F44" i="118"/>
  <c r="F44" i="125" s="1"/>
  <c r="F47" i="125" s="1"/>
  <c r="F49" i="125" s="1"/>
  <c r="J44" i="118"/>
  <c r="J44" i="125" s="1"/>
  <c r="J47" i="125" s="1"/>
  <c r="J49" i="125" s="1"/>
  <c r="J50" i="125" s="1"/>
  <c r="I44" i="118"/>
  <c r="I44" i="125" s="1"/>
  <c r="I47" i="125" s="1"/>
  <c r="I49" i="125" s="1"/>
  <c r="I50" i="125" s="1"/>
  <c r="G44" i="118"/>
  <c r="G44" i="125" s="1"/>
  <c r="G47" i="125" s="1"/>
  <c r="G49" i="125" s="1"/>
  <c r="G50" i="125" s="1"/>
  <c r="AL5" i="112"/>
  <c r="AM5" i="112" s="1"/>
  <c r="Y113" i="113"/>
  <c r="Z113" i="113" s="1"/>
  <c r="AN5" i="112"/>
  <c r="AJ5" i="112"/>
  <c r="AG4" i="112"/>
  <c r="AG6" i="112"/>
  <c r="AH6" i="112" s="1"/>
  <c r="W8" i="112"/>
  <c r="X7" i="112"/>
  <c r="Z7" i="112" s="1"/>
  <c r="J48" i="118"/>
  <c r="J50" i="118" s="1"/>
  <c r="J51" i="118" s="1"/>
  <c r="J52" i="125" s="1"/>
  <c r="J49" i="118"/>
  <c r="G48" i="118"/>
  <c r="G50" i="118" s="1"/>
  <c r="G51" i="118" s="1"/>
  <c r="G52" i="125" s="1"/>
  <c r="G49" i="118"/>
  <c r="O42" i="118"/>
  <c r="P42" i="118" s="1"/>
  <c r="L42" i="118"/>
  <c r="K48" i="118"/>
  <c r="K50" i="118" s="1"/>
  <c r="K51" i="118" s="1"/>
  <c r="K52" i="125" s="1"/>
  <c r="K49" i="118"/>
  <c r="M36" i="118"/>
  <c r="L43" i="118"/>
  <c r="H48" i="118"/>
  <c r="H50" i="118" s="1"/>
  <c r="H51" i="118" s="1"/>
  <c r="H52" i="125" s="1"/>
  <c r="H49" i="118"/>
  <c r="F48" i="118"/>
  <c r="F50" i="118" s="1"/>
  <c r="F51" i="118" s="1"/>
  <c r="F52" i="125" s="1"/>
  <c r="F49" i="118"/>
  <c r="I48" i="118"/>
  <c r="I50" i="118" s="1"/>
  <c r="I51" i="118" s="1"/>
  <c r="I52" i="125" s="1"/>
  <c r="I49" i="118"/>
  <c r="AI112" i="108"/>
  <c r="AI131" i="108" s="1"/>
  <c r="AG112" i="108"/>
  <c r="AG131" i="108" s="1"/>
  <c r="H46" i="125" l="1"/>
  <c r="J46" i="125"/>
  <c r="G46" i="125"/>
  <c r="F46" i="125"/>
  <c r="K46" i="125"/>
  <c r="I46" i="125"/>
  <c r="I55" i="125"/>
  <c r="I57" i="125" s="1"/>
  <c r="I58" i="125" s="1"/>
  <c r="I54" i="125"/>
  <c r="H55" i="125"/>
  <c r="H57" i="125" s="1"/>
  <c r="H58" i="125" s="1"/>
  <c r="H54" i="125"/>
  <c r="K55" i="125"/>
  <c r="K57" i="125" s="1"/>
  <c r="K58" i="125" s="1"/>
  <c r="K54" i="125"/>
  <c r="G55" i="125"/>
  <c r="G57" i="125" s="1"/>
  <c r="G58" i="125" s="1"/>
  <c r="G54" i="125"/>
  <c r="L49" i="125"/>
  <c r="Q9" i="120" s="1"/>
  <c r="F50" i="125"/>
  <c r="F55" i="125"/>
  <c r="F57" i="125" s="1"/>
  <c r="F54" i="125"/>
  <c r="J55" i="125"/>
  <c r="J57" i="125" s="1"/>
  <c r="J58" i="125" s="1"/>
  <c r="J54" i="125"/>
  <c r="M37" i="118"/>
  <c r="E36" i="125"/>
  <c r="I9" i="125"/>
  <c r="I10" i="125" s="1"/>
  <c r="K9" i="125"/>
  <c r="K10" i="125" s="1"/>
  <c r="F9" i="125"/>
  <c r="H9" i="125"/>
  <c r="H10" i="125" s="1"/>
  <c r="J9" i="125"/>
  <c r="J10" i="125" s="1"/>
  <c r="G9" i="125"/>
  <c r="G10" i="125" s="1"/>
  <c r="E51" i="118"/>
  <c r="E52" i="125" s="1"/>
  <c r="E44" i="118"/>
  <c r="AH4" i="112"/>
  <c r="AL6" i="112"/>
  <c r="AM6" i="112" s="1"/>
  <c r="Y114" i="113"/>
  <c r="Z114" i="113" s="1"/>
  <c r="AN6" i="112"/>
  <c r="P7" i="113"/>
  <c r="AA113" i="113" s="1"/>
  <c r="P29" i="113"/>
  <c r="AD113" i="113" s="1"/>
  <c r="P73" i="113"/>
  <c r="AE113" i="113" s="1"/>
  <c r="P51" i="113"/>
  <c r="AB113" i="113" s="1"/>
  <c r="AG7" i="112"/>
  <c r="AH7" i="112" s="1"/>
  <c r="X8" i="112"/>
  <c r="Z8" i="112" s="1"/>
  <c r="O36" i="125"/>
  <c r="M41" i="125" s="1"/>
  <c r="AJ6" i="112"/>
  <c r="W17" i="112"/>
  <c r="M43" i="118"/>
  <c r="K55" i="118"/>
  <c r="K57" i="118" s="1"/>
  <c r="K58" i="118" s="1"/>
  <c r="K56" i="118"/>
  <c r="I55" i="118"/>
  <c r="I57" i="118" s="1"/>
  <c r="I58" i="118" s="1"/>
  <c r="I56" i="118"/>
  <c r="F55" i="118"/>
  <c r="F57" i="118" s="1"/>
  <c r="F58" i="118" s="1"/>
  <c r="F56" i="118"/>
  <c r="L50" i="118"/>
  <c r="H55" i="118"/>
  <c r="H57" i="118" s="1"/>
  <c r="H58" i="118" s="1"/>
  <c r="H56" i="118"/>
  <c r="G55" i="118"/>
  <c r="G57" i="118" s="1"/>
  <c r="G58" i="118" s="1"/>
  <c r="G56" i="118"/>
  <c r="L49" i="118"/>
  <c r="O49" i="118"/>
  <c r="P49" i="118" s="1"/>
  <c r="J55" i="118"/>
  <c r="J57" i="118" s="1"/>
  <c r="J58" i="118" s="1"/>
  <c r="J56" i="118"/>
  <c r="O44" i="125" l="1"/>
  <c r="M49" i="125" s="1"/>
  <c r="L57" i="125"/>
  <c r="Q10" i="120" s="1"/>
  <c r="F58" i="125"/>
  <c r="M44" i="118"/>
  <c r="E44" i="125"/>
  <c r="AL4" i="112"/>
  <c r="AM4" i="112" s="1"/>
  <c r="F10" i="125"/>
  <c r="L9" i="125"/>
  <c r="Q4" i="120" s="1"/>
  <c r="M51" i="118"/>
  <c r="E58" i="118"/>
  <c r="Y112" i="113"/>
  <c r="Z112" i="113" s="1"/>
  <c r="AJ4" i="112"/>
  <c r="AN4" i="112"/>
  <c r="X17" i="112"/>
  <c r="Z17" i="112" s="1"/>
  <c r="AL7" i="112"/>
  <c r="AM7" i="112" s="1"/>
  <c r="P9" i="113" s="1"/>
  <c r="AA115" i="113" s="1"/>
  <c r="Y115" i="113"/>
  <c r="Z115" i="113" s="1"/>
  <c r="P30" i="113"/>
  <c r="AD114" i="113" s="1"/>
  <c r="P8" i="113"/>
  <c r="AA114" i="113" s="1"/>
  <c r="P74" i="113"/>
  <c r="AE114" i="113" s="1"/>
  <c r="P52" i="113"/>
  <c r="AB114" i="113" s="1"/>
  <c r="AG8" i="112"/>
  <c r="AH8" i="112" s="1"/>
  <c r="AF113" i="113"/>
  <c r="AC113" i="113"/>
  <c r="AJ7" i="112"/>
  <c r="AN7" i="112"/>
  <c r="M50" i="118"/>
  <c r="W22" i="112"/>
  <c r="O56" i="118"/>
  <c r="P56" i="118" s="1"/>
  <c r="L56" i="118"/>
  <c r="F62" i="118"/>
  <c r="F64" i="118" s="1"/>
  <c r="F65" i="118" s="1"/>
  <c r="F68" i="125" s="1"/>
  <c r="F63" i="118"/>
  <c r="L57" i="118"/>
  <c r="H62" i="118"/>
  <c r="H64" i="118" s="1"/>
  <c r="H63" i="118"/>
  <c r="J62" i="118"/>
  <c r="J64" i="118" s="1"/>
  <c r="J63" i="118"/>
  <c r="I62" i="118"/>
  <c r="I64" i="118" s="1"/>
  <c r="I63" i="118"/>
  <c r="G62" i="118"/>
  <c r="G64" i="118" s="1"/>
  <c r="G63" i="118"/>
  <c r="K62" i="118"/>
  <c r="K64" i="118" s="1"/>
  <c r="K63" i="118"/>
  <c r="AL8" i="112" l="1"/>
  <c r="AM8" i="112" s="1"/>
  <c r="AG17" i="112"/>
  <c r="AH17" i="112" s="1"/>
  <c r="M58" i="118"/>
  <c r="M9" i="125"/>
  <c r="I65" i="118"/>
  <c r="I68" i="125" s="1"/>
  <c r="J65" i="118"/>
  <c r="J68" i="125" s="1"/>
  <c r="J71" i="125" s="1"/>
  <c r="J73" i="125" s="1"/>
  <c r="K65" i="118"/>
  <c r="K68" i="125" s="1"/>
  <c r="H65" i="118"/>
  <c r="H68" i="125" s="1"/>
  <c r="H71" i="125" s="1"/>
  <c r="H73" i="125" s="1"/>
  <c r="G65" i="118"/>
  <c r="G68" i="125" s="1"/>
  <c r="P53" i="113"/>
  <c r="AB115" i="113" s="1"/>
  <c r="AC115" i="113" s="1"/>
  <c r="P75" i="113"/>
  <c r="AE115" i="113" s="1"/>
  <c r="AN8" i="112"/>
  <c r="AJ8" i="112"/>
  <c r="AF114" i="113"/>
  <c r="P31" i="113"/>
  <c r="AD115" i="113" s="1"/>
  <c r="X22" i="112"/>
  <c r="Z22" i="112" s="1"/>
  <c r="O52" i="125"/>
  <c r="AI113" i="113"/>
  <c r="AG113" i="113"/>
  <c r="Y116" i="113"/>
  <c r="Z116" i="113" s="1"/>
  <c r="AC114" i="113"/>
  <c r="P54" i="113"/>
  <c r="AB116" i="113" s="1"/>
  <c r="P76" i="113"/>
  <c r="AE116" i="113" s="1"/>
  <c r="P32" i="113"/>
  <c r="AD116" i="113" s="1"/>
  <c r="P10" i="113"/>
  <c r="AA116" i="113" s="1"/>
  <c r="M57" i="118"/>
  <c r="K69" i="118"/>
  <c r="K71" i="118" s="1"/>
  <c r="K72" i="118" s="1"/>
  <c r="K70" i="118"/>
  <c r="J69" i="118"/>
  <c r="J71" i="118" s="1"/>
  <c r="J72" i="118" s="1"/>
  <c r="J70" i="118"/>
  <c r="G69" i="118"/>
  <c r="G71" i="118" s="1"/>
  <c r="G72" i="118" s="1"/>
  <c r="G70" i="118"/>
  <c r="I69" i="118"/>
  <c r="I71" i="118" s="1"/>
  <c r="I72" i="118" s="1"/>
  <c r="I70" i="118"/>
  <c r="O63" i="118"/>
  <c r="P63" i="118" s="1"/>
  <c r="L63" i="118"/>
  <c r="F69" i="118"/>
  <c r="F71" i="118" s="1"/>
  <c r="F72" i="118" s="1"/>
  <c r="F70" i="118"/>
  <c r="L64" i="118"/>
  <c r="H69" i="118"/>
  <c r="H71" i="118" s="1"/>
  <c r="H72" i="118" s="1"/>
  <c r="H70" i="118"/>
  <c r="P72" i="113"/>
  <c r="P50" i="113"/>
  <c r="P28" i="113"/>
  <c r="P6" i="113"/>
  <c r="AL17" i="112" l="1"/>
  <c r="AM17" i="112" s="1"/>
  <c r="P55" i="113" s="1"/>
  <c r="AB117" i="113" s="1"/>
  <c r="AN17" i="112"/>
  <c r="Y117" i="113"/>
  <c r="Z117" i="113" s="1"/>
  <c r="AJ17" i="112"/>
  <c r="K60" i="125"/>
  <c r="K76" i="125"/>
  <c r="G60" i="125"/>
  <c r="G76" i="125"/>
  <c r="F60" i="125"/>
  <c r="F76" i="125"/>
  <c r="I60" i="125"/>
  <c r="I76" i="125"/>
  <c r="J60" i="125"/>
  <c r="J76" i="125"/>
  <c r="H76" i="125"/>
  <c r="H60" i="125"/>
  <c r="M57" i="125"/>
  <c r="G70" i="125"/>
  <c r="G71" i="125"/>
  <c r="G73" i="125" s="1"/>
  <c r="K70" i="125"/>
  <c r="K71" i="125"/>
  <c r="K73" i="125" s="1"/>
  <c r="F70" i="125"/>
  <c r="F71" i="125"/>
  <c r="F73" i="125" s="1"/>
  <c r="I70" i="125"/>
  <c r="I71" i="125"/>
  <c r="I73" i="125" s="1"/>
  <c r="H70" i="125"/>
  <c r="J70" i="125"/>
  <c r="AF115" i="113"/>
  <c r="AI115" i="113" s="1"/>
  <c r="E65" i="118"/>
  <c r="M65" i="118" s="1"/>
  <c r="O70" i="118"/>
  <c r="P70" i="118" s="1"/>
  <c r="E72" i="118"/>
  <c r="P11" i="113"/>
  <c r="AA117" i="113" s="1"/>
  <c r="P33" i="113"/>
  <c r="AD117" i="113" s="1"/>
  <c r="AI114" i="113"/>
  <c r="AG114" i="113"/>
  <c r="AG22" i="112"/>
  <c r="AH22" i="112" s="1"/>
  <c r="AF116" i="113"/>
  <c r="W23" i="112"/>
  <c r="AC116" i="113"/>
  <c r="I76" i="118"/>
  <c r="I78" i="118" s="1"/>
  <c r="I79" i="118" s="1"/>
  <c r="I84" i="125" s="1"/>
  <c r="J6" i="119" s="1"/>
  <c r="I77" i="118"/>
  <c r="H76" i="118"/>
  <c r="H78" i="118" s="1"/>
  <c r="H79" i="118" s="1"/>
  <c r="H84" i="125" s="1"/>
  <c r="I6" i="119" s="1"/>
  <c r="H77" i="118"/>
  <c r="G76" i="118"/>
  <c r="G78" i="118" s="1"/>
  <c r="G79" i="118" s="1"/>
  <c r="G84" i="125" s="1"/>
  <c r="G77" i="118"/>
  <c r="M64" i="118"/>
  <c r="L70" i="118"/>
  <c r="J76" i="118"/>
  <c r="J78" i="118" s="1"/>
  <c r="J79" i="118" s="1"/>
  <c r="J84" i="125" s="1"/>
  <c r="K6" i="119" s="1"/>
  <c r="J77" i="118"/>
  <c r="F76" i="118"/>
  <c r="F78" i="118" s="1"/>
  <c r="F79" i="118" s="1"/>
  <c r="F84" i="125" s="1"/>
  <c r="F77" i="118"/>
  <c r="L71" i="118"/>
  <c r="M72" i="118" s="1"/>
  <c r="K76" i="118"/>
  <c r="K78" i="118" s="1"/>
  <c r="K79" i="118" s="1"/>
  <c r="K84" i="125" s="1"/>
  <c r="L6" i="119" s="1"/>
  <c r="K77" i="118"/>
  <c r="AA112" i="113"/>
  <c r="AE112" i="113"/>
  <c r="AD112" i="113"/>
  <c r="AB112" i="113"/>
  <c r="AC117" i="113" l="1"/>
  <c r="P77" i="113"/>
  <c r="AE117" i="113" s="1"/>
  <c r="AJ22" i="112"/>
  <c r="H6" i="119"/>
  <c r="G87" i="125"/>
  <c r="H8" i="119" s="1"/>
  <c r="H79" i="125"/>
  <c r="H81" i="125" s="1"/>
  <c r="H78" i="125"/>
  <c r="I63" i="125"/>
  <c r="I65" i="125" s="1"/>
  <c r="I66" i="125" s="1"/>
  <c r="I62" i="125"/>
  <c r="G63" i="125"/>
  <c r="G65" i="125" s="1"/>
  <c r="G66" i="125" s="1"/>
  <c r="G62" i="125"/>
  <c r="H63" i="125"/>
  <c r="H65" i="125" s="1"/>
  <c r="H66" i="125" s="1"/>
  <c r="H62" i="125"/>
  <c r="I79" i="125"/>
  <c r="I81" i="125" s="1"/>
  <c r="I78" i="125"/>
  <c r="G79" i="125"/>
  <c r="G81" i="125" s="1"/>
  <c r="G78" i="125"/>
  <c r="J79" i="125"/>
  <c r="J81" i="125" s="1"/>
  <c r="J78" i="125"/>
  <c r="F79" i="125"/>
  <c r="F81" i="125" s="1"/>
  <c r="F78" i="125"/>
  <c r="K79" i="125"/>
  <c r="K81" i="125" s="1"/>
  <c r="K78" i="125"/>
  <c r="G6" i="119"/>
  <c r="F87" i="125"/>
  <c r="G8" i="119" s="1"/>
  <c r="F86" i="125"/>
  <c r="E60" i="125"/>
  <c r="E76" i="125"/>
  <c r="J63" i="125"/>
  <c r="J65" i="125" s="1"/>
  <c r="J66" i="125" s="1"/>
  <c r="J62" i="125"/>
  <c r="F63" i="125"/>
  <c r="F65" i="125" s="1"/>
  <c r="F62" i="125"/>
  <c r="K63" i="125"/>
  <c r="K65" i="125" s="1"/>
  <c r="K66" i="125" s="1"/>
  <c r="K62" i="125"/>
  <c r="AG115" i="113"/>
  <c r="AF117" i="113"/>
  <c r="AI117" i="113" s="1"/>
  <c r="AL22" i="112"/>
  <c r="AM22" i="112" s="1"/>
  <c r="P78" i="113" s="1"/>
  <c r="AE118" i="113" s="1"/>
  <c r="X23" i="112"/>
  <c r="Z23" i="112" s="1"/>
  <c r="O68" i="125"/>
  <c r="Y118" i="113"/>
  <c r="Z118" i="113" s="1"/>
  <c r="AN22" i="112"/>
  <c r="AG116" i="113"/>
  <c r="AI116" i="113"/>
  <c r="W10" i="112"/>
  <c r="F83" i="118"/>
  <c r="F85" i="118" s="1"/>
  <c r="L78" i="118"/>
  <c r="F84" i="118"/>
  <c r="G83" i="118"/>
  <c r="G85" i="118" s="1"/>
  <c r="G84" i="118"/>
  <c r="K83" i="118"/>
  <c r="K85" i="118" s="1"/>
  <c r="K84" i="118"/>
  <c r="J83" i="118"/>
  <c r="J85" i="118" s="1"/>
  <c r="J84" i="118"/>
  <c r="H83" i="118"/>
  <c r="H85" i="118" s="1"/>
  <c r="H84" i="118"/>
  <c r="M71" i="118"/>
  <c r="O77" i="118"/>
  <c r="P77" i="118" s="1"/>
  <c r="L77" i="118"/>
  <c r="I83" i="118"/>
  <c r="I85" i="118" s="1"/>
  <c r="I84" i="118"/>
  <c r="AF112" i="113"/>
  <c r="AC112" i="113"/>
  <c r="L65" i="125" l="1"/>
  <c r="F66" i="125"/>
  <c r="F86" i="118"/>
  <c r="F92" i="125" s="1"/>
  <c r="F95" i="125" s="1"/>
  <c r="F97" i="125" s="1"/>
  <c r="J86" i="118"/>
  <c r="J92" i="125" s="1"/>
  <c r="J95" i="125" s="1"/>
  <c r="J97" i="125" s="1"/>
  <c r="J98" i="125" s="1"/>
  <c r="G86" i="118"/>
  <c r="G92" i="125" s="1"/>
  <c r="G95" i="125" s="1"/>
  <c r="G97" i="125" s="1"/>
  <c r="G98" i="125" s="1"/>
  <c r="I86" i="118"/>
  <c r="I92" i="125" s="1"/>
  <c r="I95" i="125" s="1"/>
  <c r="I97" i="125" s="1"/>
  <c r="I98" i="125" s="1"/>
  <c r="H86" i="118"/>
  <c r="H92" i="125" s="1"/>
  <c r="H95" i="125" s="1"/>
  <c r="H97" i="125" s="1"/>
  <c r="H98" i="125" s="1"/>
  <c r="K86" i="118"/>
  <c r="K92" i="125" s="1"/>
  <c r="K95" i="125" s="1"/>
  <c r="K97" i="125" s="1"/>
  <c r="K98" i="125" s="1"/>
  <c r="P34" i="113"/>
  <c r="AD118" i="113" s="1"/>
  <c r="AF118" i="113" s="1"/>
  <c r="P12" i="113"/>
  <c r="AA118" i="113" s="1"/>
  <c r="P56" i="113"/>
  <c r="AB118" i="113" s="1"/>
  <c r="AG117" i="113"/>
  <c r="G86" i="125"/>
  <c r="H86" i="125"/>
  <c r="H87" i="125"/>
  <c r="I8" i="119" s="1"/>
  <c r="K87" i="125"/>
  <c r="L8" i="119" s="1"/>
  <c r="K86" i="125"/>
  <c r="J87" i="125"/>
  <c r="K8" i="119" s="1"/>
  <c r="J86" i="125"/>
  <c r="I86" i="125"/>
  <c r="I87" i="125"/>
  <c r="J8" i="119" s="1"/>
  <c r="E79" i="118"/>
  <c r="E84" i="125" s="1"/>
  <c r="F6" i="119" s="1"/>
  <c r="AG23" i="112"/>
  <c r="AH23" i="112" s="1"/>
  <c r="X10" i="112"/>
  <c r="Z10" i="112" s="1"/>
  <c r="O76" i="125"/>
  <c r="W11" i="112"/>
  <c r="O84" i="125" s="1"/>
  <c r="P6" i="119" s="1"/>
  <c r="G90" i="118"/>
  <c r="G92" i="118" s="1"/>
  <c r="G91" i="118"/>
  <c r="L85" i="118"/>
  <c r="H90" i="118"/>
  <c r="H92" i="118" s="1"/>
  <c r="H91" i="118"/>
  <c r="O84" i="118"/>
  <c r="P84" i="118" s="1"/>
  <c r="L84" i="118"/>
  <c r="M78" i="118"/>
  <c r="J90" i="118"/>
  <c r="J92" i="118" s="1"/>
  <c r="J91" i="118"/>
  <c r="F90" i="118"/>
  <c r="F92" i="118" s="1"/>
  <c r="F91" i="118"/>
  <c r="I90" i="118"/>
  <c r="I92" i="118" s="1"/>
  <c r="I91" i="118"/>
  <c r="K90" i="118"/>
  <c r="K92" i="118" s="1"/>
  <c r="K91" i="118"/>
  <c r="AI112" i="113"/>
  <c r="AG112" i="113"/>
  <c r="AJ23" i="112" l="1"/>
  <c r="I94" i="125"/>
  <c r="G94" i="125"/>
  <c r="F98" i="125"/>
  <c r="L97" i="125"/>
  <c r="Q15" i="120" s="1"/>
  <c r="F94" i="125"/>
  <c r="M65" i="125"/>
  <c r="Q11" i="120"/>
  <c r="H94" i="125"/>
  <c r="K94" i="125"/>
  <c r="J94" i="125"/>
  <c r="E86" i="118"/>
  <c r="H93" i="118"/>
  <c r="H100" i="125" s="1"/>
  <c r="H103" i="125" s="1"/>
  <c r="H105" i="125" s="1"/>
  <c r="H106" i="125" s="1"/>
  <c r="F93" i="118"/>
  <c r="F100" i="125" s="1"/>
  <c r="F103" i="125" s="1"/>
  <c r="F105" i="125" s="1"/>
  <c r="K93" i="118"/>
  <c r="K100" i="125" s="1"/>
  <c r="K103" i="125" s="1"/>
  <c r="K105" i="125" s="1"/>
  <c r="K106" i="125" s="1"/>
  <c r="I93" i="118"/>
  <c r="I100" i="125" s="1"/>
  <c r="I103" i="125" s="1"/>
  <c r="I105" i="125" s="1"/>
  <c r="I106" i="125" s="1"/>
  <c r="J93" i="118"/>
  <c r="J100" i="125" s="1"/>
  <c r="J103" i="125" s="1"/>
  <c r="J105" i="125" s="1"/>
  <c r="J106" i="125" s="1"/>
  <c r="G93" i="118"/>
  <c r="G100" i="125" s="1"/>
  <c r="G103" i="125" s="1"/>
  <c r="G105" i="125" s="1"/>
  <c r="G106" i="125" s="1"/>
  <c r="AC118" i="113"/>
  <c r="AI118" i="113" s="1"/>
  <c r="M79" i="118"/>
  <c r="N84" i="125" s="1"/>
  <c r="AL23" i="112"/>
  <c r="AM23" i="112" s="1"/>
  <c r="P80" i="113" s="1"/>
  <c r="AE120" i="113" s="1"/>
  <c r="AG10" i="112"/>
  <c r="AH10" i="112" s="1"/>
  <c r="X11" i="112"/>
  <c r="Z11" i="112" s="1"/>
  <c r="AN23" i="112"/>
  <c r="Y120" i="113"/>
  <c r="Z120" i="113" s="1"/>
  <c r="W18" i="112"/>
  <c r="I97" i="118"/>
  <c r="I99" i="118" s="1"/>
  <c r="I98" i="118"/>
  <c r="L92" i="118"/>
  <c r="H97" i="118"/>
  <c r="H99" i="118" s="1"/>
  <c r="H98" i="118"/>
  <c r="F97" i="118"/>
  <c r="F99" i="118" s="1"/>
  <c r="F98" i="118"/>
  <c r="K97" i="118"/>
  <c r="K99" i="118" s="1"/>
  <c r="K98" i="118"/>
  <c r="J97" i="118"/>
  <c r="J99" i="118" s="1"/>
  <c r="J98" i="118"/>
  <c r="G97" i="118"/>
  <c r="G99" i="118" s="1"/>
  <c r="G98" i="118"/>
  <c r="O91" i="118"/>
  <c r="P91" i="118" s="1"/>
  <c r="L91" i="118"/>
  <c r="M85" i="118"/>
  <c r="P14" i="113" l="1"/>
  <c r="AA120" i="113" s="1"/>
  <c r="F102" i="125"/>
  <c r="AG118" i="113"/>
  <c r="H102" i="125"/>
  <c r="K102" i="125"/>
  <c r="M86" i="118"/>
  <c r="E92" i="125"/>
  <c r="N85" i="125"/>
  <c r="F89" i="125" s="1"/>
  <c r="O6" i="119"/>
  <c r="F106" i="125"/>
  <c r="L105" i="125"/>
  <c r="Q16" i="120" s="1"/>
  <c r="I102" i="125"/>
  <c r="J74" i="125"/>
  <c r="I74" i="125"/>
  <c r="H74" i="125"/>
  <c r="K74" i="125"/>
  <c r="G74" i="125"/>
  <c r="I82" i="125"/>
  <c r="G82" i="125"/>
  <c r="H82" i="125"/>
  <c r="J82" i="125"/>
  <c r="K82" i="125"/>
  <c r="J102" i="125"/>
  <c r="G102" i="125"/>
  <c r="J100" i="118"/>
  <c r="J108" i="125" s="1"/>
  <c r="J111" i="125" s="1"/>
  <c r="J113" i="125" s="1"/>
  <c r="J114" i="125" s="1"/>
  <c r="F100" i="118"/>
  <c r="F108" i="125" s="1"/>
  <c r="F111" i="125" s="1"/>
  <c r="F113" i="125" s="1"/>
  <c r="I100" i="118"/>
  <c r="I108" i="125" s="1"/>
  <c r="I111" i="125" s="1"/>
  <c r="I113" i="125" s="1"/>
  <c r="I114" i="125" s="1"/>
  <c r="G100" i="118"/>
  <c r="G108" i="125" s="1"/>
  <c r="G111" i="125" s="1"/>
  <c r="G113" i="125" s="1"/>
  <c r="G114" i="125" s="1"/>
  <c r="K100" i="118"/>
  <c r="K108" i="125" s="1"/>
  <c r="K111" i="125" s="1"/>
  <c r="K113" i="125" s="1"/>
  <c r="K114" i="125" s="1"/>
  <c r="H100" i="118"/>
  <c r="H108" i="125" s="1"/>
  <c r="H111" i="125" s="1"/>
  <c r="H113" i="125" s="1"/>
  <c r="H114" i="125" s="1"/>
  <c r="E93" i="118"/>
  <c r="P36" i="113"/>
  <c r="AD120" i="113" s="1"/>
  <c r="AF120" i="113" s="1"/>
  <c r="P58" i="113"/>
  <c r="AB120" i="113" s="1"/>
  <c r="AC120" i="113" s="1"/>
  <c r="AG11" i="112"/>
  <c r="AH11" i="112" s="1"/>
  <c r="Y121" i="113"/>
  <c r="Z121" i="113" s="1"/>
  <c r="X18" i="112"/>
  <c r="Z18" i="112" s="1"/>
  <c r="O92" i="125"/>
  <c r="M97" i="125" s="1"/>
  <c r="W19" i="112"/>
  <c r="M92" i="118"/>
  <c r="AN10" i="112"/>
  <c r="AJ10" i="112"/>
  <c r="AL10" i="112"/>
  <c r="F104" i="118"/>
  <c r="F106" i="118" s="1"/>
  <c r="F107" i="118" s="1"/>
  <c r="F116" i="125" s="1"/>
  <c r="F105" i="118"/>
  <c r="L99" i="118"/>
  <c r="H104" i="118"/>
  <c r="H106" i="118" s="1"/>
  <c r="H107" i="118" s="1"/>
  <c r="H116" i="125" s="1"/>
  <c r="H105" i="118"/>
  <c r="K104" i="118"/>
  <c r="K106" i="118" s="1"/>
  <c r="K107" i="118" s="1"/>
  <c r="K116" i="125" s="1"/>
  <c r="K105" i="118"/>
  <c r="G104" i="118"/>
  <c r="G106" i="118" s="1"/>
  <c r="G107" i="118" s="1"/>
  <c r="G116" i="125" s="1"/>
  <c r="G105" i="118"/>
  <c r="J104" i="118"/>
  <c r="J106" i="118" s="1"/>
  <c r="J107" i="118" s="1"/>
  <c r="J116" i="125" s="1"/>
  <c r="J105" i="118"/>
  <c r="O98" i="118"/>
  <c r="P98" i="118" s="1"/>
  <c r="L98" i="118"/>
  <c r="I104" i="118"/>
  <c r="I106" i="118" s="1"/>
  <c r="I107" i="118" s="1"/>
  <c r="I116" i="125" s="1"/>
  <c r="I105" i="118"/>
  <c r="K89" i="125" l="1"/>
  <c r="H110" i="125"/>
  <c r="J119" i="125"/>
  <c r="J121" i="125" s="1"/>
  <c r="J122" i="125" s="1"/>
  <c r="J118" i="125"/>
  <c r="G89" i="125"/>
  <c r="G90" i="125" s="1"/>
  <c r="H11" i="119" s="1"/>
  <c r="F90" i="125"/>
  <c r="L113" i="125"/>
  <c r="Q17" i="120" s="1"/>
  <c r="F114" i="125"/>
  <c r="I119" i="125"/>
  <c r="I121" i="125" s="1"/>
  <c r="I122" i="125" s="1"/>
  <c r="I118" i="125"/>
  <c r="F119" i="125"/>
  <c r="F121" i="125" s="1"/>
  <c r="F118" i="125"/>
  <c r="H89" i="125"/>
  <c r="H90" i="125" s="1"/>
  <c r="I11" i="119" s="1"/>
  <c r="M93" i="118"/>
  <c r="E100" i="125"/>
  <c r="J110" i="125"/>
  <c r="I89" i="125"/>
  <c r="I90" i="125" s="1"/>
  <c r="J11" i="119" s="1"/>
  <c r="K119" i="125"/>
  <c r="K121" i="125" s="1"/>
  <c r="K122" i="125" s="1"/>
  <c r="K118" i="125"/>
  <c r="G119" i="125"/>
  <c r="G121" i="125" s="1"/>
  <c r="G122" i="125" s="1"/>
  <c r="G118" i="125"/>
  <c r="H119" i="125"/>
  <c r="H121" i="125" s="1"/>
  <c r="H122" i="125" s="1"/>
  <c r="H118" i="125"/>
  <c r="K110" i="125"/>
  <c r="J89" i="125"/>
  <c r="J90" i="125" s="1"/>
  <c r="K11" i="119" s="1"/>
  <c r="K90" i="125"/>
  <c r="L11" i="119" s="1"/>
  <c r="L10" i="119"/>
  <c r="F74" i="125"/>
  <c r="L73" i="125"/>
  <c r="Q12" i="120" s="1"/>
  <c r="G110" i="125"/>
  <c r="F110" i="125"/>
  <c r="F82" i="125"/>
  <c r="L81" i="125"/>
  <c r="I110" i="125"/>
  <c r="E107" i="118"/>
  <c r="E116" i="125" s="1"/>
  <c r="E100" i="118"/>
  <c r="AI120" i="113"/>
  <c r="AG120" i="113"/>
  <c r="AG18" i="112"/>
  <c r="AH18" i="112" s="1"/>
  <c r="AL11" i="112"/>
  <c r="AM11" i="112" s="1"/>
  <c r="Y122" i="113"/>
  <c r="Z122" i="113" s="1"/>
  <c r="AN11" i="112"/>
  <c r="AJ11" i="112"/>
  <c r="X19" i="112"/>
  <c r="Z19" i="112" s="1"/>
  <c r="O100" i="125"/>
  <c r="M105" i="125" s="1"/>
  <c r="W20" i="112"/>
  <c r="AM10" i="112"/>
  <c r="G111" i="118"/>
  <c r="G113" i="118" s="1"/>
  <c r="G112" i="118"/>
  <c r="H111" i="118"/>
  <c r="H113" i="118" s="1"/>
  <c r="H112" i="118"/>
  <c r="I111" i="118"/>
  <c r="I113" i="118" s="1"/>
  <c r="I112" i="118"/>
  <c r="M99" i="118"/>
  <c r="K111" i="118"/>
  <c r="K113" i="118" s="1"/>
  <c r="K112" i="118"/>
  <c r="J111" i="118"/>
  <c r="J113" i="118" s="1"/>
  <c r="J112" i="118"/>
  <c r="L105" i="118"/>
  <c r="O105" i="118"/>
  <c r="P105" i="118" s="1"/>
  <c r="F111" i="118"/>
  <c r="F113" i="118" s="1"/>
  <c r="F112" i="118"/>
  <c r="L106" i="118"/>
  <c r="AL18" i="112" l="1"/>
  <c r="AM18" i="112" s="1"/>
  <c r="P17" i="113" s="1"/>
  <c r="AA123" i="113" s="1"/>
  <c r="M107" i="118"/>
  <c r="L89" i="125"/>
  <c r="Q14" i="120" s="1"/>
  <c r="K10" i="119"/>
  <c r="I10" i="119"/>
  <c r="J10" i="119"/>
  <c r="H10" i="119"/>
  <c r="M100" i="118"/>
  <c r="E108" i="125"/>
  <c r="L121" i="125"/>
  <c r="Q18" i="120" s="1"/>
  <c r="F122" i="125"/>
  <c r="M81" i="125"/>
  <c r="Q13" i="120"/>
  <c r="M73" i="125"/>
  <c r="K114" i="118"/>
  <c r="H126" i="125"/>
  <c r="H114" i="118"/>
  <c r="F126" i="125"/>
  <c r="F114" i="118"/>
  <c r="J126" i="125"/>
  <c r="J114" i="118"/>
  <c r="I126" i="125"/>
  <c r="I114" i="118"/>
  <c r="G126" i="125"/>
  <c r="G114" i="118"/>
  <c r="AJ18" i="112"/>
  <c r="Y123" i="113"/>
  <c r="Z123" i="113" s="1"/>
  <c r="X20" i="112"/>
  <c r="Z20" i="112" s="1"/>
  <c r="O108" i="125"/>
  <c r="M113" i="125" s="1"/>
  <c r="AN18" i="112"/>
  <c r="AG19" i="112"/>
  <c r="AH19" i="112" s="1"/>
  <c r="P16" i="113"/>
  <c r="AA122" i="113" s="1"/>
  <c r="P60" i="113"/>
  <c r="AB122" i="113" s="1"/>
  <c r="P38" i="113"/>
  <c r="AD122" i="113" s="1"/>
  <c r="P82" i="113"/>
  <c r="AE122" i="113" s="1"/>
  <c r="P83" i="113"/>
  <c r="AE123" i="113" s="1"/>
  <c r="P39" i="113"/>
  <c r="AD123" i="113" s="1"/>
  <c r="P61" i="113"/>
  <c r="AB123" i="113" s="1"/>
  <c r="AC123" i="113" s="1"/>
  <c r="W12" i="112"/>
  <c r="P37" i="113"/>
  <c r="AD121" i="113" s="1"/>
  <c r="P15" i="113"/>
  <c r="AA121" i="113" s="1"/>
  <c r="P81" i="113"/>
  <c r="AE121" i="113" s="1"/>
  <c r="P59" i="113"/>
  <c r="AB121" i="113" s="1"/>
  <c r="H118" i="118"/>
  <c r="H120" i="118" s="1"/>
  <c r="H121" i="118" s="1"/>
  <c r="H132" i="125" s="1"/>
  <c r="H119" i="118"/>
  <c r="O112" i="118"/>
  <c r="P112" i="118" s="1"/>
  <c r="L112" i="118"/>
  <c r="F118" i="118"/>
  <c r="F120" i="118" s="1"/>
  <c r="F121" i="118" s="1"/>
  <c r="F132" i="125" s="1"/>
  <c r="F119" i="118"/>
  <c r="L113" i="118"/>
  <c r="G118" i="118"/>
  <c r="G120" i="118" s="1"/>
  <c r="G121" i="118" s="1"/>
  <c r="G132" i="125" s="1"/>
  <c r="G119" i="118"/>
  <c r="K118" i="118"/>
  <c r="K120" i="118" s="1"/>
  <c r="K121" i="118" s="1"/>
  <c r="K132" i="125" s="1"/>
  <c r="K119" i="118"/>
  <c r="M106" i="118"/>
  <c r="J118" i="118"/>
  <c r="J120" i="118" s="1"/>
  <c r="J121" i="118" s="1"/>
  <c r="J132" i="125" s="1"/>
  <c r="J119" i="118"/>
  <c r="I118" i="118"/>
  <c r="I120" i="118" s="1"/>
  <c r="I121" i="118" s="1"/>
  <c r="I132" i="125" s="1"/>
  <c r="I119" i="118"/>
  <c r="AJ19" i="112" l="1"/>
  <c r="M89" i="125"/>
  <c r="O10" i="119"/>
  <c r="J135" i="125"/>
  <c r="J137" i="125" s="1"/>
  <c r="J138" i="125" s="1"/>
  <c r="J134" i="125"/>
  <c r="F135" i="125"/>
  <c r="F137" i="125" s="1"/>
  <c r="F134" i="125"/>
  <c r="H135" i="125"/>
  <c r="H137" i="125" s="1"/>
  <c r="H138" i="125" s="1"/>
  <c r="H134" i="125"/>
  <c r="G135" i="125"/>
  <c r="G137" i="125" s="1"/>
  <c r="G138" i="125" s="1"/>
  <c r="G134" i="125"/>
  <c r="I135" i="125"/>
  <c r="I137" i="125" s="1"/>
  <c r="I138" i="125" s="1"/>
  <c r="I134" i="125"/>
  <c r="K135" i="125"/>
  <c r="K137" i="125" s="1"/>
  <c r="K138" i="125" s="1"/>
  <c r="K134" i="125"/>
  <c r="K126" i="125"/>
  <c r="E121" i="118"/>
  <c r="E132" i="125" s="1"/>
  <c r="E114" i="118"/>
  <c r="M114" i="118" s="1"/>
  <c r="AN19" i="112"/>
  <c r="AL19" i="112"/>
  <c r="AM19" i="112" s="1"/>
  <c r="P84" i="113" s="1"/>
  <c r="AE124" i="113" s="1"/>
  <c r="AF123" i="113"/>
  <c r="AI123" i="113" s="1"/>
  <c r="AC122" i="113"/>
  <c r="AG20" i="112"/>
  <c r="AF122" i="113"/>
  <c r="X12" i="112"/>
  <c r="Z12" i="112" s="1"/>
  <c r="O116" i="125"/>
  <c r="M121" i="125" s="1"/>
  <c r="Y124" i="113"/>
  <c r="Z124" i="113" s="1"/>
  <c r="AQ19" i="112"/>
  <c r="AR19" i="112" s="1"/>
  <c r="W13" i="112"/>
  <c r="M113" i="118"/>
  <c r="AC121" i="113"/>
  <c r="AF121" i="113"/>
  <c r="G125" i="118"/>
  <c r="G127" i="118" s="1"/>
  <c r="G128" i="118" s="1"/>
  <c r="G140" i="125" s="1"/>
  <c r="G126" i="118"/>
  <c r="O119" i="118"/>
  <c r="P119" i="118" s="1"/>
  <c r="L119" i="118"/>
  <c r="L120" i="118"/>
  <c r="F125" i="118"/>
  <c r="F127" i="118" s="1"/>
  <c r="F128" i="118" s="1"/>
  <c r="F126" i="118"/>
  <c r="I125" i="118"/>
  <c r="I127" i="118" s="1"/>
  <c r="I128" i="118" s="1"/>
  <c r="I140" i="125" s="1"/>
  <c r="I126" i="118"/>
  <c r="J125" i="118"/>
  <c r="J127" i="118" s="1"/>
  <c r="J128" i="118" s="1"/>
  <c r="J140" i="125" s="1"/>
  <c r="J126" i="118"/>
  <c r="K125" i="118"/>
  <c r="K127" i="118" s="1"/>
  <c r="K128" i="118" s="1"/>
  <c r="K140" i="125" s="1"/>
  <c r="K126" i="118"/>
  <c r="H125" i="118"/>
  <c r="H127" i="118" s="1"/>
  <c r="H128" i="118" s="1"/>
  <c r="H140" i="125" s="1"/>
  <c r="H126" i="118"/>
  <c r="M121" i="118" l="1"/>
  <c r="AI122" i="113"/>
  <c r="AG123" i="113"/>
  <c r="K143" i="125"/>
  <c r="K145" i="125" s="1"/>
  <c r="K146" i="125" s="1"/>
  <c r="K142" i="125"/>
  <c r="I143" i="125"/>
  <c r="I145" i="125" s="1"/>
  <c r="I146" i="125" s="1"/>
  <c r="I142" i="125"/>
  <c r="F138" i="125"/>
  <c r="L137" i="125"/>
  <c r="H143" i="125"/>
  <c r="H145" i="125" s="1"/>
  <c r="H146" i="125" s="1"/>
  <c r="H142" i="125"/>
  <c r="J143" i="125"/>
  <c r="J145" i="125" s="1"/>
  <c r="J146" i="125" s="1"/>
  <c r="J142" i="125"/>
  <c r="F140" i="125"/>
  <c r="E128" i="118"/>
  <c r="E140" i="125" s="1"/>
  <c r="G143" i="125"/>
  <c r="G145" i="125" s="1"/>
  <c r="G146" i="125" s="1"/>
  <c r="G142" i="125"/>
  <c r="P62" i="113"/>
  <c r="AB124" i="113" s="1"/>
  <c r="P40" i="113"/>
  <c r="AD124" i="113" s="1"/>
  <c r="AF124" i="113" s="1"/>
  <c r="P18" i="113"/>
  <c r="AA124" i="113" s="1"/>
  <c r="AS19" i="112"/>
  <c r="AG122" i="113"/>
  <c r="AG12" i="112"/>
  <c r="AH12" i="112" s="1"/>
  <c r="AH20" i="112"/>
  <c r="X13" i="112"/>
  <c r="Z13" i="112" s="1"/>
  <c r="O124" i="125"/>
  <c r="M129" i="125" s="1"/>
  <c r="W14" i="112"/>
  <c r="M120" i="118"/>
  <c r="L127" i="118"/>
  <c r="M128" i="118" s="1"/>
  <c r="AI121" i="113"/>
  <c r="AG121" i="113"/>
  <c r="O126" i="118"/>
  <c r="P126" i="118" s="1"/>
  <c r="L126" i="118"/>
  <c r="F143" i="125" l="1"/>
  <c r="F145" i="125" s="1"/>
  <c r="F142" i="125"/>
  <c r="Q20" i="120"/>
  <c r="AC124" i="113"/>
  <c r="AG124" i="113" s="1"/>
  <c r="X14" i="112"/>
  <c r="Z14" i="112" s="1"/>
  <c r="O132" i="125"/>
  <c r="M137" i="125" s="1"/>
  <c r="Y126" i="113"/>
  <c r="Z126" i="113" s="1"/>
  <c r="AG13" i="112"/>
  <c r="AH13" i="112" s="1"/>
  <c r="Y125" i="113"/>
  <c r="Z125" i="113" s="1"/>
  <c r="AJ20" i="112"/>
  <c r="AN20" i="112"/>
  <c r="AL20" i="112"/>
  <c r="AM20" i="112" s="1"/>
  <c r="L131" i="118"/>
  <c r="L151" i="125" s="1"/>
  <c r="M127" i="118"/>
  <c r="W15" i="112"/>
  <c r="AJ12" i="112"/>
  <c r="AN12" i="112"/>
  <c r="AL12" i="112"/>
  <c r="AI124" i="113" l="1"/>
  <c r="F146" i="125"/>
  <c r="L145" i="125"/>
  <c r="P41" i="113"/>
  <c r="AD125" i="113" s="1"/>
  <c r="P85" i="113"/>
  <c r="AE125" i="113" s="1"/>
  <c r="P63" i="113"/>
  <c r="AB125" i="113" s="1"/>
  <c r="P19" i="113"/>
  <c r="AA125" i="113" s="1"/>
  <c r="AL13" i="112"/>
  <c r="AM13" i="112" s="1"/>
  <c r="Y127" i="113"/>
  <c r="Z127" i="113" s="1"/>
  <c r="AN13" i="112"/>
  <c r="AJ13" i="112"/>
  <c r="X15" i="112"/>
  <c r="Z15" i="112" s="1"/>
  <c r="O140" i="125"/>
  <c r="AG14" i="112"/>
  <c r="W25" i="112"/>
  <c r="AM12" i="112"/>
  <c r="AH14" i="112" l="1"/>
  <c r="B17" i="90" s="1"/>
  <c r="B16" i="90"/>
  <c r="Q21" i="120"/>
  <c r="M145" i="125"/>
  <c r="L149" i="125"/>
  <c r="L153" i="125" s="1"/>
  <c r="AC125" i="113"/>
  <c r="X25" i="112"/>
  <c r="R25" i="120" s="1"/>
  <c r="AG15" i="112"/>
  <c r="AG25" i="112" s="1"/>
  <c r="AJ14" i="112"/>
  <c r="P43" i="113"/>
  <c r="AD127" i="113" s="1"/>
  <c r="P21" i="113"/>
  <c r="AA127" i="113" s="1"/>
  <c r="P65" i="113"/>
  <c r="AB127" i="113" s="1"/>
  <c r="P87" i="113"/>
  <c r="AE127" i="113" s="1"/>
  <c r="AF125" i="113"/>
  <c r="P42" i="113"/>
  <c r="AD126" i="113" s="1"/>
  <c r="P86" i="113"/>
  <c r="AE126" i="113" s="1"/>
  <c r="P64" i="113"/>
  <c r="AB126" i="113" s="1"/>
  <c r="P20" i="113"/>
  <c r="AA126" i="113" s="1"/>
  <c r="AL14" i="112" l="1"/>
  <c r="AM14" i="112" s="1"/>
  <c r="Y128" i="113"/>
  <c r="Z128" i="113" s="1"/>
  <c r="AN14" i="112"/>
  <c r="B23" i="90"/>
  <c r="G16" i="90"/>
  <c r="AH15" i="112"/>
  <c r="Y129" i="113" s="1"/>
  <c r="Z129" i="113" s="1"/>
  <c r="Z131" i="113" s="1"/>
  <c r="AI125" i="113"/>
  <c r="AG125" i="113"/>
  <c r="AC127" i="113"/>
  <c r="P88" i="113"/>
  <c r="AE128" i="113" s="1"/>
  <c r="P44" i="113"/>
  <c r="AD128" i="113" s="1"/>
  <c r="P22" i="113"/>
  <c r="AA128" i="113" s="1"/>
  <c r="P66" i="113"/>
  <c r="AB128" i="113" s="1"/>
  <c r="AF127" i="113"/>
  <c r="AC126" i="113"/>
  <c r="AF126" i="113"/>
  <c r="AJ15" i="112" l="1"/>
  <c r="AH25" i="112"/>
  <c r="AF128" i="113"/>
  <c r="AL15" i="112"/>
  <c r="AL25" i="112" s="1"/>
  <c r="AN15" i="112"/>
  <c r="AC128" i="113"/>
  <c r="Y131" i="113"/>
  <c r="AG127" i="113"/>
  <c r="AI127" i="113"/>
  <c r="AI126" i="113"/>
  <c r="AG126" i="113"/>
  <c r="C4" i="124" l="1"/>
  <c r="AH29" i="112"/>
  <c r="D4" i="111"/>
  <c r="D16" i="111" s="1"/>
  <c r="D19" i="111" s="1"/>
  <c r="F19" i="111" s="1"/>
  <c r="AM15" i="112"/>
  <c r="P67" i="113" s="1"/>
  <c r="AB129" i="113" s="1"/>
  <c r="AB131" i="113" s="1"/>
  <c r="AI128" i="113"/>
  <c r="AG128" i="113"/>
  <c r="C8" i="124" l="1"/>
  <c r="P23" i="113"/>
  <c r="AA129" i="113" s="1"/>
  <c r="AC129" i="113" s="1"/>
  <c r="P89" i="113"/>
  <c r="AE129" i="113" s="1"/>
  <c r="AE131" i="113" s="1"/>
  <c r="P45" i="113"/>
  <c r="AD129" i="113" s="1"/>
  <c r="AD131" i="113" s="1"/>
  <c r="F4" i="111"/>
  <c r="F16" i="111" s="1"/>
  <c r="Q23" i="120"/>
  <c r="C17" i="124" l="1"/>
  <c r="C25" i="124" s="1"/>
  <c r="AA131" i="113"/>
  <c r="AF129" i="113"/>
  <c r="AF131" i="113" s="1"/>
  <c r="AC131" i="113"/>
  <c r="AG129" i="113" l="1"/>
  <c r="AG131" i="113" s="1"/>
  <c r="AI129" i="113"/>
  <c r="AI131" i="113" s="1"/>
  <c r="K16" i="120"/>
  <c r="L16" i="120" s="1"/>
  <c r="R16" i="120" l="1"/>
  <c r="Y124" i="121" s="1"/>
  <c r="X16" i="120" l="1"/>
  <c r="Y16" i="120" s="1"/>
  <c r="Z16" i="120" s="1"/>
  <c r="U16" i="120"/>
  <c r="W16" i="120" s="1"/>
  <c r="D17" i="134" s="1"/>
  <c r="F17" i="134" s="1"/>
  <c r="T16" i="120"/>
  <c r="P62" i="121" l="1"/>
  <c r="P18" i="121"/>
  <c r="P84" i="121"/>
  <c r="P40" i="121"/>
  <c r="Z124" i="121"/>
  <c r="AE124" i="121" l="1"/>
  <c r="AD124" i="121"/>
  <c r="AA124" i="121"/>
  <c r="AB124" i="121"/>
  <c r="AC124" i="121" l="1"/>
  <c r="AF124" i="121"/>
  <c r="AG124" i="121" l="1"/>
  <c r="AI124" i="121"/>
  <c r="I69" i="128"/>
  <c r="M69" i="128"/>
  <c r="G69" i="128" s="1"/>
  <c r="K69" i="128" s="1"/>
  <c r="P69" i="128" l="1"/>
  <c r="R69" i="128"/>
  <c r="L81" i="133" l="1"/>
  <c r="N81" i="133" s="1"/>
  <c r="L51" i="133"/>
  <c r="E113" i="133" s="1"/>
  <c r="L66" i="133"/>
  <c r="N66" i="133" s="1"/>
  <c r="L31" i="133"/>
  <c r="N31" i="133" s="1"/>
  <c r="L12" i="133"/>
  <c r="N12" i="133" s="1"/>
  <c r="L11" i="133"/>
  <c r="N11" i="133" s="1"/>
  <c r="L50" i="133"/>
  <c r="N50" i="133" s="1"/>
  <c r="L32" i="133"/>
  <c r="G116" i="133" s="1"/>
  <c r="L6" i="133"/>
  <c r="N6" i="133" s="1"/>
  <c r="L78" i="133"/>
  <c r="N78" i="133" s="1"/>
  <c r="L73" i="133"/>
  <c r="N73" i="133" s="1"/>
  <c r="L55" i="133"/>
  <c r="E117" i="133" s="1"/>
  <c r="L74" i="133"/>
  <c r="H114" i="133" s="1"/>
  <c r="L79" i="133"/>
  <c r="H119" i="133" s="1"/>
  <c r="L76" i="133"/>
  <c r="N76" i="133" s="1"/>
  <c r="L53" i="133"/>
  <c r="E115" i="133" s="1"/>
  <c r="L83" i="133"/>
  <c r="H123" i="133" s="1"/>
  <c r="L84" i="133"/>
  <c r="N84" i="133" s="1"/>
  <c r="L88" i="133"/>
  <c r="N88" i="133" s="1"/>
  <c r="L28" i="133"/>
  <c r="N28" i="133" s="1"/>
  <c r="L87" i="133"/>
  <c r="H127" i="133" s="1"/>
  <c r="L89" i="133"/>
  <c r="N89" i="133" s="1"/>
  <c r="L82" i="133"/>
  <c r="H122" i="133" s="1"/>
  <c r="L85" i="133"/>
  <c r="H125" i="133" s="1"/>
  <c r="L65" i="133"/>
  <c r="E127" i="133" s="1"/>
  <c r="L57" i="133"/>
  <c r="N57" i="133" s="1"/>
  <c r="L8" i="133"/>
  <c r="N8" i="133" s="1"/>
  <c r="L44" i="133"/>
  <c r="N44" i="133" s="1"/>
  <c r="L35" i="133"/>
  <c r="N35" i="133" s="1"/>
  <c r="L63" i="133"/>
  <c r="E125" i="133" s="1"/>
  <c r="L61" i="133"/>
  <c r="N61" i="133" s="1"/>
  <c r="L16" i="133"/>
  <c r="N16" i="133" s="1"/>
  <c r="L20" i="133"/>
  <c r="N20" i="133" s="1"/>
  <c r="L7" i="133"/>
  <c r="N7" i="133" s="1"/>
  <c r="L13" i="133"/>
  <c r="N13" i="133" s="1"/>
  <c r="L22" i="133"/>
  <c r="D128" i="133" s="1"/>
  <c r="L17" i="133"/>
  <c r="N17" i="133" s="1"/>
  <c r="L14" i="133"/>
  <c r="N14" i="133" s="1"/>
  <c r="L40" i="133"/>
  <c r="N40" i="133" s="1"/>
  <c r="L67" i="133"/>
  <c r="N67" i="133" s="1"/>
  <c r="L58" i="133"/>
  <c r="N58" i="133" s="1"/>
  <c r="L29" i="133"/>
  <c r="G113" i="133" s="1"/>
  <c r="L33" i="133"/>
  <c r="N33" i="133" s="1"/>
  <c r="L34" i="133"/>
  <c r="N34" i="133" s="1"/>
  <c r="L42" i="133"/>
  <c r="N42" i="133" s="1"/>
  <c r="L15" i="133"/>
  <c r="N15" i="133" s="1"/>
  <c r="L10" i="133"/>
  <c r="N10" i="133" s="1"/>
  <c r="L75" i="133"/>
  <c r="N75" i="133" s="1"/>
  <c r="L39" i="133"/>
  <c r="N39" i="133" s="1"/>
  <c r="L64" i="133"/>
  <c r="E126" i="133" s="1"/>
  <c r="L18" i="133"/>
  <c r="N18" i="133" s="1"/>
  <c r="L80" i="133"/>
  <c r="N80" i="133" s="1"/>
  <c r="L86" i="133"/>
  <c r="H126" i="133" s="1"/>
  <c r="L54" i="133"/>
  <c r="E116" i="133" s="1"/>
  <c r="L59" i="133"/>
  <c r="N59" i="133" s="1"/>
  <c r="L52" i="133"/>
  <c r="N52" i="133" s="1"/>
  <c r="L60" i="133"/>
  <c r="N60" i="133" s="1"/>
  <c r="L38" i="133"/>
  <c r="N38" i="133" s="1"/>
  <c r="L56" i="133"/>
  <c r="E118" i="133" s="1"/>
  <c r="L21" i="133"/>
  <c r="N21" i="133" s="1"/>
  <c r="L9" i="133"/>
  <c r="N9" i="133" s="1"/>
  <c r="L19" i="133"/>
  <c r="D125" i="133" s="1"/>
  <c r="L36" i="133"/>
  <c r="N36" i="133" s="1"/>
  <c r="L37" i="133"/>
  <c r="N37" i="133" s="1"/>
  <c r="L45" i="133"/>
  <c r="N45" i="133" s="1"/>
  <c r="L30" i="133"/>
  <c r="G114" i="133" s="1"/>
  <c r="L43" i="133"/>
  <c r="N43" i="133" s="1"/>
  <c r="L77" i="133"/>
  <c r="N77" i="133" s="1"/>
  <c r="L62" i="133"/>
  <c r="E124" i="133" s="1"/>
  <c r="L23" i="133"/>
  <c r="D129" i="133" s="1"/>
  <c r="L72" i="133"/>
  <c r="N72" i="133" s="1"/>
  <c r="L41" i="133"/>
  <c r="N41" i="133" s="1"/>
  <c r="N85" i="133" l="1"/>
  <c r="E120" i="133"/>
  <c r="N55" i="133"/>
  <c r="D126" i="133"/>
  <c r="F126" i="133" s="1"/>
  <c r="N53" i="133"/>
  <c r="N62" i="133"/>
  <c r="G127" i="133"/>
  <c r="E114" i="133"/>
  <c r="D124" i="133"/>
  <c r="F124" i="133" s="1"/>
  <c r="H115" i="133"/>
  <c r="H117" i="133"/>
  <c r="E121" i="133"/>
  <c r="H120" i="133"/>
  <c r="D116" i="133"/>
  <c r="F116" i="133" s="1"/>
  <c r="G112" i="133"/>
  <c r="G129" i="133"/>
  <c r="G120" i="133"/>
  <c r="D115" i="133"/>
  <c r="F115" i="133" s="1"/>
  <c r="E122" i="133"/>
  <c r="N86" i="133"/>
  <c r="G123" i="133"/>
  <c r="G118" i="133"/>
  <c r="E129" i="133"/>
  <c r="F129" i="133" s="1"/>
  <c r="D120" i="133"/>
  <c r="D119" i="133"/>
  <c r="D114" i="133"/>
  <c r="N65" i="133"/>
  <c r="N83" i="133"/>
  <c r="H116" i="133"/>
  <c r="I116" i="133" s="1"/>
  <c r="E112" i="133"/>
  <c r="N51" i="133"/>
  <c r="H112" i="133"/>
  <c r="G121" i="133"/>
  <c r="D127" i="133"/>
  <c r="F127" i="133" s="1"/>
  <c r="G126" i="133"/>
  <c r="G117" i="133"/>
  <c r="G124" i="133"/>
  <c r="E123" i="133"/>
  <c r="G128" i="133"/>
  <c r="N87" i="133"/>
  <c r="N79" i="133"/>
  <c r="D112" i="133"/>
  <c r="D117" i="133"/>
  <c r="F117" i="133" s="1"/>
  <c r="N32" i="133"/>
  <c r="I114" i="133"/>
  <c r="F125" i="133"/>
  <c r="N56" i="133"/>
  <c r="G122" i="133"/>
  <c r="N82" i="133"/>
  <c r="H128" i="133"/>
  <c r="N74" i="133"/>
  <c r="H113" i="133"/>
  <c r="I113" i="133" s="1"/>
  <c r="N23" i="133"/>
  <c r="N54" i="133"/>
  <c r="N64" i="133"/>
  <c r="N29" i="133"/>
  <c r="N63" i="133"/>
  <c r="E119" i="133"/>
  <c r="H129" i="133"/>
  <c r="H124" i="133"/>
  <c r="H118" i="133"/>
  <c r="N19" i="133"/>
  <c r="G125" i="133"/>
  <c r="D121" i="133"/>
  <c r="N30" i="133"/>
  <c r="N22" i="133"/>
  <c r="D122" i="133"/>
  <c r="D123" i="133"/>
  <c r="D113" i="133"/>
  <c r="F113" i="133" s="1"/>
  <c r="G119" i="133"/>
  <c r="D118" i="133"/>
  <c r="F118" i="133" s="1"/>
  <c r="G115" i="133"/>
  <c r="H121" i="133"/>
  <c r="E128" i="133"/>
  <c r="F128" i="133" s="1"/>
  <c r="I121" i="133" l="1"/>
  <c r="I118" i="133"/>
  <c r="J118" i="133" s="1"/>
  <c r="F120" i="133"/>
  <c r="F121" i="133"/>
  <c r="I124" i="133"/>
  <c r="J124" i="133" s="1"/>
  <c r="I125" i="133"/>
  <c r="J125" i="133" s="1"/>
  <c r="I126" i="133"/>
  <c r="J126" i="133" s="1"/>
  <c r="I119" i="133"/>
  <c r="I122" i="133"/>
  <c r="I123" i="133"/>
  <c r="I120" i="133"/>
  <c r="I127" i="133"/>
  <c r="J127" i="133" s="1"/>
  <c r="F119" i="133"/>
  <c r="I112" i="133"/>
  <c r="F114" i="133"/>
  <c r="J114" i="133" s="1"/>
  <c r="F122" i="133"/>
  <c r="I129" i="133"/>
  <c r="J129" i="133" s="1"/>
  <c r="I128" i="133"/>
  <c r="J128" i="133" s="1"/>
  <c r="I115" i="133"/>
  <c r="F123" i="133"/>
  <c r="I117" i="133"/>
  <c r="J117" i="133" s="1"/>
  <c r="F112" i="133"/>
  <c r="J116" i="133"/>
  <c r="J113" i="133"/>
  <c r="D131" i="133"/>
  <c r="G131" i="133"/>
  <c r="H131" i="133"/>
  <c r="E131" i="133"/>
  <c r="E20" i="120" l="1"/>
  <c r="C20" i="120"/>
  <c r="D20" i="120"/>
  <c r="G10" i="90" s="1"/>
  <c r="E8" i="120"/>
  <c r="C8" i="120"/>
  <c r="T74" i="131" s="1"/>
  <c r="S74" i="131" s="1"/>
  <c r="D8" i="120"/>
  <c r="D6" i="120"/>
  <c r="E6" i="120"/>
  <c r="C6" i="120"/>
  <c r="T72" i="131" s="1"/>
  <c r="S72" i="131" s="1"/>
  <c r="E21" i="120"/>
  <c r="D21" i="120"/>
  <c r="C21" i="120"/>
  <c r="T87" i="131" s="1"/>
  <c r="S87" i="131" s="1"/>
  <c r="E17" i="120"/>
  <c r="C17" i="120"/>
  <c r="T83" i="131" s="1"/>
  <c r="S83" i="131" s="1"/>
  <c r="D17" i="120"/>
  <c r="E10" i="120"/>
  <c r="C10" i="120"/>
  <c r="T76" i="131" s="1"/>
  <c r="S76" i="131" s="1"/>
  <c r="D10" i="120"/>
  <c r="C18" i="120"/>
  <c r="T84" i="131" s="1"/>
  <c r="S84" i="131" s="1"/>
  <c r="E18" i="120"/>
  <c r="D18" i="120"/>
  <c r="C9" i="120"/>
  <c r="T75" i="131" s="1"/>
  <c r="S75" i="131" s="1"/>
  <c r="D9" i="120"/>
  <c r="E9" i="120"/>
  <c r="C5" i="120"/>
  <c r="T71" i="131" s="1"/>
  <c r="S71" i="131" s="1"/>
  <c r="D5" i="120"/>
  <c r="E5" i="120"/>
  <c r="C19" i="120"/>
  <c r="T85" i="131" s="1"/>
  <c r="S85" i="131" s="1"/>
  <c r="E19" i="120"/>
  <c r="D19" i="120"/>
  <c r="J121" i="133"/>
  <c r="J120" i="133"/>
  <c r="J122" i="133"/>
  <c r="J119" i="133"/>
  <c r="J112" i="133"/>
  <c r="J123" i="133"/>
  <c r="I131" i="133"/>
  <c r="J115" i="133"/>
  <c r="F131" i="133"/>
  <c r="G11" i="90"/>
  <c r="D11" i="90"/>
  <c r="AQ15" i="112" l="1"/>
  <c r="AR15" i="112" s="1"/>
  <c r="AS15" i="112" s="1"/>
  <c r="K18" i="120"/>
  <c r="L18" i="120" s="1"/>
  <c r="R18" i="120" s="1"/>
  <c r="Y126" i="121" s="1"/>
  <c r="K21" i="120"/>
  <c r="L21" i="120" s="1"/>
  <c r="R21" i="120" s="1"/>
  <c r="Y129" i="121" s="1"/>
  <c r="K6" i="120"/>
  <c r="L6" i="120" s="1"/>
  <c r="R6" i="120" s="1"/>
  <c r="Y114" i="121" s="1"/>
  <c r="F37" i="120"/>
  <c r="AQ14" i="112"/>
  <c r="AR14" i="112" s="1"/>
  <c r="AS14" i="112" s="1"/>
  <c r="D10" i="90"/>
  <c r="K8" i="120"/>
  <c r="L8" i="120" s="1"/>
  <c r="R8" i="120" s="1"/>
  <c r="Y116" i="121" s="1"/>
  <c r="K20" i="120"/>
  <c r="L20" i="120" s="1"/>
  <c r="R20" i="120" s="1"/>
  <c r="Y128" i="121" s="1"/>
  <c r="F35" i="120"/>
  <c r="AQ13" i="112"/>
  <c r="AR13" i="112" s="1"/>
  <c r="AS13" i="112" s="1"/>
  <c r="AQ12" i="112"/>
  <c r="AR12" i="112" s="1"/>
  <c r="AS12" i="112" s="1"/>
  <c r="F29" i="120"/>
  <c r="F31" i="120"/>
  <c r="K19" i="120"/>
  <c r="L19" i="120" s="1"/>
  <c r="F36" i="120"/>
  <c r="W85" i="131"/>
  <c r="V85" i="131"/>
  <c r="Z85" i="131" s="1"/>
  <c r="AD85" i="131" s="1"/>
  <c r="V87" i="131"/>
  <c r="Z87" i="131" s="1"/>
  <c r="AD87" i="131" s="1"/>
  <c r="W87" i="131"/>
  <c r="AQ8" i="112"/>
  <c r="AR8" i="112" s="1"/>
  <c r="AS8" i="112" s="1"/>
  <c r="AQ6" i="112"/>
  <c r="AR6" i="112" s="1"/>
  <c r="AS6" i="112" s="1"/>
  <c r="C4" i="120"/>
  <c r="T70" i="131" s="1"/>
  <c r="S70" i="131" s="1"/>
  <c r="D4" i="120"/>
  <c r="D13" i="120"/>
  <c r="C13" i="120"/>
  <c r="T79" i="131" s="1"/>
  <c r="S79" i="131" s="1"/>
  <c r="E13" i="120"/>
  <c r="V84" i="131"/>
  <c r="Z84" i="131" s="1"/>
  <c r="AD84" i="131" s="1"/>
  <c r="W84" i="131"/>
  <c r="E7" i="120"/>
  <c r="C7" i="120"/>
  <c r="T73" i="131" s="1"/>
  <c r="S73" i="131" s="1"/>
  <c r="D7" i="120"/>
  <c r="E11" i="120"/>
  <c r="D11" i="120"/>
  <c r="C11" i="120"/>
  <c r="T77" i="131" s="1"/>
  <c r="S77" i="131" s="1"/>
  <c r="W75" i="131"/>
  <c r="V75" i="131"/>
  <c r="Z75" i="131" s="1"/>
  <c r="AD75" i="131" s="1"/>
  <c r="V83" i="131"/>
  <c r="Z83" i="131" s="1"/>
  <c r="AD83" i="131" s="1"/>
  <c r="W83" i="131"/>
  <c r="T86" i="131"/>
  <c r="S86" i="131" s="1"/>
  <c r="D31" i="90"/>
  <c r="E15" i="120"/>
  <c r="D15" i="120"/>
  <c r="C15" i="120"/>
  <c r="T81" i="131" s="1"/>
  <c r="S81" i="131" s="1"/>
  <c r="C12" i="120"/>
  <c r="T78" i="131" s="1"/>
  <c r="S78" i="131" s="1"/>
  <c r="V78" i="131" s="1"/>
  <c r="E12" i="120"/>
  <c r="D12" i="120"/>
  <c r="D14" i="120"/>
  <c r="E14" i="120"/>
  <c r="C14" i="120"/>
  <c r="T80" i="131" s="1"/>
  <c r="S80" i="131" s="1"/>
  <c r="W71" i="131"/>
  <c r="V71" i="131"/>
  <c r="Z71" i="131" s="1"/>
  <c r="AD71" i="131" s="1"/>
  <c r="V76" i="131"/>
  <c r="Z76" i="131" s="1"/>
  <c r="AD76" i="131" s="1"/>
  <c r="W76" i="131"/>
  <c r="V72" i="131"/>
  <c r="Z72" i="131" s="1"/>
  <c r="AD72" i="131" s="1"/>
  <c r="W72" i="131"/>
  <c r="V74" i="131"/>
  <c r="Z74" i="131" s="1"/>
  <c r="AD74" i="131" s="1"/>
  <c r="W74" i="131"/>
  <c r="J131" i="133"/>
  <c r="AQ17" i="112"/>
  <c r="AR17" i="112" s="1"/>
  <c r="AS17" i="112" s="1"/>
  <c r="K9" i="120"/>
  <c r="L9" i="120" s="1"/>
  <c r="F38" i="120"/>
  <c r="F40" i="120"/>
  <c r="F45" i="120"/>
  <c r="K10" i="120"/>
  <c r="L10" i="120" s="1"/>
  <c r="AQ22" i="112"/>
  <c r="AR22" i="112" s="1"/>
  <c r="AS22" i="112" s="1"/>
  <c r="F43" i="120"/>
  <c r="AQ20" i="112"/>
  <c r="AR20" i="112" s="1"/>
  <c r="AS20" i="112" s="1"/>
  <c r="K17" i="120"/>
  <c r="L17" i="120" s="1"/>
  <c r="R19" i="120"/>
  <c r="Y127" i="121" s="1"/>
  <c r="F28" i="120"/>
  <c r="AQ5" i="112"/>
  <c r="AR5" i="112" s="1"/>
  <c r="AS5" i="112" s="1"/>
  <c r="K5" i="120"/>
  <c r="L5" i="120" s="1"/>
  <c r="E23" i="120" l="1"/>
  <c r="E50" i="120" s="1"/>
  <c r="K7" i="120"/>
  <c r="L7" i="120" s="1"/>
  <c r="R7" i="120" s="1"/>
  <c r="Y115" i="121" s="1"/>
  <c r="AQ7" i="112"/>
  <c r="AR7" i="112" s="1"/>
  <c r="AS7" i="112" s="1"/>
  <c r="K13" i="120"/>
  <c r="L13" i="120" s="1"/>
  <c r="R13" i="120" s="1"/>
  <c r="Y121" i="121" s="1"/>
  <c r="Z121" i="121" s="1"/>
  <c r="K11" i="120"/>
  <c r="L11" i="120" s="1"/>
  <c r="R11" i="120" s="1"/>
  <c r="Y119" i="121" s="1"/>
  <c r="F46" i="120"/>
  <c r="K12" i="120"/>
  <c r="L12" i="120" s="1"/>
  <c r="R12" i="120" s="1"/>
  <c r="Y120" i="121" s="1"/>
  <c r="Z120" i="121" s="1"/>
  <c r="AQ23" i="112"/>
  <c r="AR23" i="112" s="1"/>
  <c r="AS23" i="112" s="1"/>
  <c r="V77" i="131"/>
  <c r="Z77" i="131" s="1"/>
  <c r="AD77" i="131" s="1"/>
  <c r="W77" i="131"/>
  <c r="V80" i="131"/>
  <c r="Z80" i="131" s="1"/>
  <c r="AD80" i="131" s="1"/>
  <c r="W80" i="131"/>
  <c r="F32" i="120"/>
  <c r="AQ9" i="112"/>
  <c r="AR9" i="112" s="1"/>
  <c r="AS9" i="112" s="1"/>
  <c r="W79" i="131"/>
  <c r="V79" i="131"/>
  <c r="Z79" i="131" s="1"/>
  <c r="AD79" i="131" s="1"/>
  <c r="K15" i="120"/>
  <c r="L15" i="120" s="1"/>
  <c r="R15" i="120" s="1"/>
  <c r="Y123" i="121" s="1"/>
  <c r="AQ18" i="112"/>
  <c r="AR18" i="112" s="1"/>
  <c r="AS18" i="112" s="1"/>
  <c r="F41" i="120"/>
  <c r="V70" i="131"/>
  <c r="Z70" i="131" s="1"/>
  <c r="AD70" i="131" s="1"/>
  <c r="W70" i="131"/>
  <c r="S89" i="131"/>
  <c r="S90" i="131" s="1"/>
  <c r="D23" i="120"/>
  <c r="D50" i="120" s="1"/>
  <c r="W78" i="131"/>
  <c r="Z78" i="131"/>
  <c r="AD78" i="131" s="1"/>
  <c r="F33" i="120"/>
  <c r="AQ10" i="112"/>
  <c r="AR10" i="112" s="1"/>
  <c r="AS10" i="112" s="1"/>
  <c r="W73" i="131"/>
  <c r="V73" i="131"/>
  <c r="Z73" i="131" s="1"/>
  <c r="AD73" i="131" s="1"/>
  <c r="AQ11" i="112"/>
  <c r="AR11" i="112" s="1"/>
  <c r="AS11" i="112" s="1"/>
  <c r="K14" i="120"/>
  <c r="L14" i="120" s="1"/>
  <c r="R14" i="120" s="1"/>
  <c r="Y122" i="121" s="1"/>
  <c r="Z122" i="121" s="1"/>
  <c r="F34" i="120"/>
  <c r="W81" i="131"/>
  <c r="V81" i="131"/>
  <c r="Z81" i="131" s="1"/>
  <c r="AD81" i="131" s="1"/>
  <c r="W86" i="131"/>
  <c r="V86" i="131"/>
  <c r="F30" i="120"/>
  <c r="F27" i="120"/>
  <c r="K4" i="120"/>
  <c r="L4" i="120" s="1"/>
  <c r="AQ4" i="112"/>
  <c r="AR4" i="112" s="1"/>
  <c r="AS4" i="112" s="1"/>
  <c r="J107" i="133"/>
  <c r="N131" i="133"/>
  <c r="T18" i="120"/>
  <c r="U18" i="120"/>
  <c r="W18" i="120" s="1"/>
  <c r="D19" i="134" s="1"/>
  <c r="F19" i="134" s="1"/>
  <c r="X18" i="120"/>
  <c r="Y18" i="120" s="1"/>
  <c r="Z18" i="120" s="1"/>
  <c r="T19" i="120"/>
  <c r="U19" i="120"/>
  <c r="W19" i="120" s="1"/>
  <c r="D20" i="134" s="1"/>
  <c r="F20" i="134" s="1"/>
  <c r="X19" i="120"/>
  <c r="Y19" i="120" s="1"/>
  <c r="Z19" i="120" s="1"/>
  <c r="T7" i="120"/>
  <c r="U7" i="120"/>
  <c r="W7" i="120" s="1"/>
  <c r="D8" i="134" s="1"/>
  <c r="F8" i="134" s="1"/>
  <c r="X7" i="120"/>
  <c r="Y7" i="120" s="1"/>
  <c r="Z7" i="120" s="1"/>
  <c r="T15" i="120"/>
  <c r="X15" i="120"/>
  <c r="Y15" i="120" s="1"/>
  <c r="Z15" i="120" s="1"/>
  <c r="T20" i="120"/>
  <c r="X20" i="120"/>
  <c r="Y20" i="120" s="1"/>
  <c r="Z20" i="120" s="1"/>
  <c r="U20" i="120"/>
  <c r="W20" i="120" s="1"/>
  <c r="D21" i="134" s="1"/>
  <c r="F21" i="134" s="1"/>
  <c r="T6" i="120"/>
  <c r="X6" i="120"/>
  <c r="Y6" i="120" s="1"/>
  <c r="Z6" i="120" s="1"/>
  <c r="U6" i="120"/>
  <c r="W6" i="120" s="1"/>
  <c r="D7" i="134" s="1"/>
  <c r="F7" i="134" s="1"/>
  <c r="T8" i="120"/>
  <c r="U8" i="120"/>
  <c r="W8" i="120" s="1"/>
  <c r="D9" i="134" s="1"/>
  <c r="F9" i="134" s="1"/>
  <c r="X8" i="120"/>
  <c r="Y8" i="120" s="1"/>
  <c r="Z8" i="120" s="1"/>
  <c r="T21" i="120"/>
  <c r="U21" i="120"/>
  <c r="W21" i="120" s="1"/>
  <c r="D22" i="134" s="1"/>
  <c r="F22" i="134" s="1"/>
  <c r="X21" i="120"/>
  <c r="Y21" i="120" s="1"/>
  <c r="Z21" i="120" s="1"/>
  <c r="R9" i="120"/>
  <c r="Y117" i="121" s="1"/>
  <c r="Z115" i="121"/>
  <c r="Z128" i="121"/>
  <c r="Z129" i="121"/>
  <c r="Z116" i="121"/>
  <c r="Z123" i="121"/>
  <c r="Z127" i="121"/>
  <c r="D17" i="90"/>
  <c r="Z114" i="121"/>
  <c r="Z126" i="121"/>
  <c r="R5" i="120"/>
  <c r="Y113" i="121" s="1"/>
  <c r="R17" i="120"/>
  <c r="Y125" i="121" s="1"/>
  <c r="R10" i="120"/>
  <c r="Y118" i="121" s="1"/>
  <c r="T13" i="120" l="1"/>
  <c r="L23" i="120"/>
  <c r="U13" i="120"/>
  <c r="W13" i="120" s="1"/>
  <c r="D14" i="134" s="1"/>
  <c r="F14" i="134" s="1"/>
  <c r="X13" i="120"/>
  <c r="Y13" i="120" s="1"/>
  <c r="Z13" i="120" s="1"/>
  <c r="T12" i="120"/>
  <c r="X12" i="120"/>
  <c r="Y12" i="120" s="1"/>
  <c r="Z12" i="120" s="1"/>
  <c r="X14" i="120"/>
  <c r="Y14" i="120" s="1"/>
  <c r="Z14" i="120" s="1"/>
  <c r="R4" i="120"/>
  <c r="Y112" i="121" s="1"/>
  <c r="T14" i="120"/>
  <c r="K23" i="120"/>
  <c r="U15" i="120"/>
  <c r="W15" i="120" s="1"/>
  <c r="D16" i="134" s="1"/>
  <c r="F16" i="134" s="1"/>
  <c r="D25" i="90"/>
  <c r="Z86" i="131"/>
  <c r="AD86" i="131" s="1"/>
  <c r="U12" i="120"/>
  <c r="W12" i="120" s="1"/>
  <c r="D13" i="134" s="1"/>
  <c r="F13" i="134" s="1"/>
  <c r="U14" i="120"/>
  <c r="W14" i="120" s="1"/>
  <c r="D15" i="134" s="1"/>
  <c r="F15" i="134" s="1"/>
  <c r="P53" i="121"/>
  <c r="AB115" i="121" s="1"/>
  <c r="P9" i="121"/>
  <c r="AA115" i="121" s="1"/>
  <c r="P75" i="121"/>
  <c r="AE115" i="121" s="1"/>
  <c r="P31" i="121"/>
  <c r="AD115" i="121" s="1"/>
  <c r="P66" i="121"/>
  <c r="AB128" i="121" s="1"/>
  <c r="P22" i="121"/>
  <c r="AA128" i="121" s="1"/>
  <c r="P88" i="121"/>
  <c r="AE128" i="121" s="1"/>
  <c r="P44" i="121"/>
  <c r="AD128" i="121" s="1"/>
  <c r="P86" i="121"/>
  <c r="AE126" i="121" s="1"/>
  <c r="P42" i="121"/>
  <c r="AD126" i="121" s="1"/>
  <c r="P64" i="121"/>
  <c r="AB126" i="121" s="1"/>
  <c r="P20" i="121"/>
  <c r="AA126" i="121" s="1"/>
  <c r="P89" i="121"/>
  <c r="AE129" i="121" s="1"/>
  <c r="P67" i="121"/>
  <c r="AB129" i="121" s="1"/>
  <c r="P23" i="121"/>
  <c r="AA129" i="121" s="1"/>
  <c r="P45" i="121"/>
  <c r="AD129" i="121" s="1"/>
  <c r="P54" i="121"/>
  <c r="AB116" i="121" s="1"/>
  <c r="P10" i="121"/>
  <c r="AA116" i="121" s="1"/>
  <c r="P76" i="121"/>
  <c r="AE116" i="121" s="1"/>
  <c r="P32" i="121"/>
  <c r="AD116" i="121" s="1"/>
  <c r="P74" i="121"/>
  <c r="AE114" i="121" s="1"/>
  <c r="P30" i="121"/>
  <c r="AD114" i="121" s="1"/>
  <c r="P52" i="121"/>
  <c r="AB114" i="121" s="1"/>
  <c r="P8" i="121"/>
  <c r="AA114" i="121" s="1"/>
  <c r="P87" i="121"/>
  <c r="AE127" i="121" s="1"/>
  <c r="P43" i="121"/>
  <c r="AD127" i="121" s="1"/>
  <c r="P65" i="121"/>
  <c r="AB127" i="121" s="1"/>
  <c r="P21" i="121"/>
  <c r="AA127" i="121" s="1"/>
  <c r="T17" i="120"/>
  <c r="U17" i="120"/>
  <c r="W17" i="120" s="1"/>
  <c r="D18" i="134" s="1"/>
  <c r="F18" i="134" s="1"/>
  <c r="X17" i="120"/>
  <c r="Y17" i="120" s="1"/>
  <c r="Z17" i="120" s="1"/>
  <c r="T5" i="120"/>
  <c r="U5" i="120"/>
  <c r="W5" i="120" s="1"/>
  <c r="D6" i="134" s="1"/>
  <c r="F6" i="134" s="1"/>
  <c r="X5" i="120"/>
  <c r="Y5" i="120" s="1"/>
  <c r="Z5" i="120" s="1"/>
  <c r="T10" i="120"/>
  <c r="U10" i="120"/>
  <c r="W10" i="120" s="1"/>
  <c r="D11" i="134" s="1"/>
  <c r="F11" i="134" s="1"/>
  <c r="X10" i="120"/>
  <c r="Y10" i="120" s="1"/>
  <c r="Z10" i="120" s="1"/>
  <c r="T11" i="120"/>
  <c r="U11" i="120"/>
  <c r="W11" i="120" s="1"/>
  <c r="D12" i="134" s="1"/>
  <c r="F12" i="134" s="1"/>
  <c r="X11" i="120"/>
  <c r="Y11" i="120" s="1"/>
  <c r="Z11" i="120" s="1"/>
  <c r="T9" i="120"/>
  <c r="U9" i="120"/>
  <c r="W9" i="120" s="1"/>
  <c r="D10" i="134" s="1"/>
  <c r="F10" i="134" s="1"/>
  <c r="X9" i="120"/>
  <c r="Y9" i="120" s="1"/>
  <c r="Z9" i="120" s="1"/>
  <c r="Z119" i="121"/>
  <c r="Z117" i="121"/>
  <c r="Z125" i="121"/>
  <c r="Z113" i="121"/>
  <c r="Z118" i="121"/>
  <c r="G17" i="90"/>
  <c r="P81" i="121" l="1"/>
  <c r="AE121" i="121" s="1"/>
  <c r="P15" i="121"/>
  <c r="AA121" i="121" s="1"/>
  <c r="P80" i="121"/>
  <c r="AE120" i="121" s="1"/>
  <c r="P36" i="121"/>
  <c r="AD120" i="121" s="1"/>
  <c r="AF120" i="121" s="1"/>
  <c r="P58" i="121"/>
  <c r="AB120" i="121" s="1"/>
  <c r="G30" i="90"/>
  <c r="P61" i="121"/>
  <c r="AB123" i="121" s="1"/>
  <c r="P82" i="121"/>
  <c r="AE122" i="121" s="1"/>
  <c r="P39" i="121"/>
  <c r="AD123" i="121" s="1"/>
  <c r="P59" i="121"/>
  <c r="AB121" i="121" s="1"/>
  <c r="AC121" i="121" s="1"/>
  <c r="P16" i="121"/>
  <c r="AA122" i="121" s="1"/>
  <c r="P37" i="121"/>
  <c r="AD121" i="121" s="1"/>
  <c r="AF121" i="121" s="1"/>
  <c r="P60" i="121"/>
  <c r="AB122" i="121" s="1"/>
  <c r="P83" i="121"/>
  <c r="AE123" i="121" s="1"/>
  <c r="T4" i="120"/>
  <c r="P38" i="121"/>
  <c r="AD122" i="121" s="1"/>
  <c r="AF122" i="121" s="1"/>
  <c r="P17" i="121"/>
  <c r="AA123" i="121" s="1"/>
  <c r="P14" i="121"/>
  <c r="AA120" i="121" s="1"/>
  <c r="U4" i="120"/>
  <c r="W4" i="120" s="1"/>
  <c r="X4" i="120"/>
  <c r="Y4" i="120" s="1"/>
  <c r="R23" i="120"/>
  <c r="AF129" i="121"/>
  <c r="AF114" i="121"/>
  <c r="AC116" i="121"/>
  <c r="AF126" i="121"/>
  <c r="AC128" i="121"/>
  <c r="AC115" i="121"/>
  <c r="AC129" i="121"/>
  <c r="AF127" i="121"/>
  <c r="P73" i="121"/>
  <c r="AE113" i="121" s="1"/>
  <c r="P51" i="121"/>
  <c r="AB113" i="121" s="1"/>
  <c r="P7" i="121"/>
  <c r="AA113" i="121" s="1"/>
  <c r="P29" i="121"/>
  <c r="AD113" i="121" s="1"/>
  <c r="P41" i="121"/>
  <c r="AD125" i="121" s="1"/>
  <c r="P63" i="121"/>
  <c r="AB125" i="121" s="1"/>
  <c r="P19" i="121"/>
  <c r="AA125" i="121" s="1"/>
  <c r="P85" i="121"/>
  <c r="AE125" i="121" s="1"/>
  <c r="P33" i="121"/>
  <c r="AD117" i="121" s="1"/>
  <c r="P55" i="121"/>
  <c r="AB117" i="121" s="1"/>
  <c r="P11" i="121"/>
  <c r="AA117" i="121" s="1"/>
  <c r="P77" i="121"/>
  <c r="AE117" i="121" s="1"/>
  <c r="P79" i="121"/>
  <c r="AE119" i="121" s="1"/>
  <c r="P35" i="121"/>
  <c r="AD119" i="121" s="1"/>
  <c r="P57" i="121"/>
  <c r="AB119" i="121" s="1"/>
  <c r="P13" i="121"/>
  <c r="AA119" i="121" s="1"/>
  <c r="AC127" i="121"/>
  <c r="AC114" i="121"/>
  <c r="AF116" i="121"/>
  <c r="AC126" i="121"/>
  <c r="AF128" i="121"/>
  <c r="AF115" i="121"/>
  <c r="P78" i="121"/>
  <c r="AE118" i="121" s="1"/>
  <c r="P34" i="121"/>
  <c r="AD118" i="121" s="1"/>
  <c r="P12" i="121"/>
  <c r="AA118" i="121" s="1"/>
  <c r="P56" i="121"/>
  <c r="AB118" i="121" s="1"/>
  <c r="AC120" i="121" l="1"/>
  <c r="R27" i="120"/>
  <c r="R31" i="120" s="1"/>
  <c r="E4" i="124"/>
  <c r="AC123" i="121"/>
  <c r="AC122" i="121"/>
  <c r="AI122" i="121" s="1"/>
  <c r="AF123" i="121"/>
  <c r="X23" i="120"/>
  <c r="E19" i="58"/>
  <c r="C17" i="58"/>
  <c r="F23" i="58" s="1"/>
  <c r="D5" i="134"/>
  <c r="F5" i="134" s="1"/>
  <c r="F24" i="134" s="1"/>
  <c r="AI115" i="121"/>
  <c r="AG116" i="121"/>
  <c r="P50" i="121"/>
  <c r="AB112" i="121" s="1"/>
  <c r="AB131" i="121" s="1"/>
  <c r="P72" i="121"/>
  <c r="G27" i="58" s="1"/>
  <c r="P6" i="121"/>
  <c r="AA112" i="121" s="1"/>
  <c r="AI128" i="121"/>
  <c r="P28" i="121"/>
  <c r="G26" i="58" s="1"/>
  <c r="Z4" i="120"/>
  <c r="Y23" i="120"/>
  <c r="AC117" i="121"/>
  <c r="AC125" i="121"/>
  <c r="AG121" i="121"/>
  <c r="AC113" i="121"/>
  <c r="AG129" i="121"/>
  <c r="AG128" i="121"/>
  <c r="AG120" i="121"/>
  <c r="AI129" i="121"/>
  <c r="AI121" i="121"/>
  <c r="AF118" i="121"/>
  <c r="AF117" i="121"/>
  <c r="AI120" i="121"/>
  <c r="AF125" i="121"/>
  <c r="AI127" i="121"/>
  <c r="AG127" i="121"/>
  <c r="AG114" i="121"/>
  <c r="AI114" i="121"/>
  <c r="AC119" i="121"/>
  <c r="AG115" i="121"/>
  <c r="AI116" i="121"/>
  <c r="AI126" i="121"/>
  <c r="AG126" i="121"/>
  <c r="AC118" i="121"/>
  <c r="AF119" i="121"/>
  <c r="AF113" i="121"/>
  <c r="Y131" i="121"/>
  <c r="Z112" i="121"/>
  <c r="Z131" i="121" s="1"/>
  <c r="AG122" i="121" l="1"/>
  <c r="E7" i="124"/>
  <c r="G7" i="124" s="1"/>
  <c r="AI123" i="121"/>
  <c r="AG123" i="121"/>
  <c r="F26" i="58"/>
  <c r="F27" i="58"/>
  <c r="F22" i="58"/>
  <c r="F24" i="58" s="1"/>
  <c r="AG125" i="121"/>
  <c r="AE112" i="121"/>
  <c r="AE131" i="121" s="1"/>
  <c r="G23" i="58"/>
  <c r="AI113" i="121"/>
  <c r="G22" i="58"/>
  <c r="AD112" i="121"/>
  <c r="AD131" i="121" s="1"/>
  <c r="AG117" i="121"/>
  <c r="AI117" i="121"/>
  <c r="AI125" i="121"/>
  <c r="AG119" i="121"/>
  <c r="AI119" i="121"/>
  <c r="AC112" i="121"/>
  <c r="AA131" i="121"/>
  <c r="AG118" i="121"/>
  <c r="AI118" i="121"/>
  <c r="AG113" i="121"/>
  <c r="E8" i="124" l="1"/>
  <c r="E17" i="124" s="1"/>
  <c r="E25" i="124" s="1"/>
  <c r="G4" i="124"/>
  <c r="G8" i="124"/>
  <c r="F28" i="58"/>
  <c r="AF112" i="121"/>
  <c r="AG112" i="121" s="1"/>
  <c r="G24" i="58"/>
  <c r="AC131" i="121"/>
  <c r="K8" i="124" l="1"/>
  <c r="G17" i="124"/>
  <c r="G25" i="124" s="1"/>
  <c r="G27" i="124" s="1"/>
  <c r="AF131" i="121"/>
  <c r="G28" i="58"/>
  <c r="AI112" i="121"/>
  <c r="AI131" i="121" s="1"/>
  <c r="G30" i="58"/>
  <c r="AG131" i="121"/>
  <c r="G32" i="58" l="1"/>
  <c r="G48" i="58" s="1"/>
</calcChain>
</file>

<file path=xl/comments1.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0.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1.xml><?xml version="1.0" encoding="utf-8"?>
<comments xmlns="http://schemas.openxmlformats.org/spreadsheetml/2006/main">
  <authors>
    <author>David Leonard</author>
  </authors>
  <commentList>
    <comment ref="C16" authorId="0">
      <text>
        <r>
          <rPr>
            <b/>
            <sz val="9"/>
            <color indexed="81"/>
            <rFont val="Tahoma"/>
            <family val="2"/>
          </rPr>
          <t>David Leonard:</t>
        </r>
        <r>
          <rPr>
            <sz val="9"/>
            <color indexed="81"/>
            <rFont val="Tahoma"/>
            <family val="2"/>
          </rPr>
          <t xml:space="preserve">
Funding remains at School size 4 transition point due to split site factor</t>
        </r>
      </text>
    </comment>
  </commentList>
</comments>
</file>

<file path=xl/comments12.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3.xml><?xml version="1.0" encoding="utf-8"?>
<comments xmlns="http://schemas.openxmlformats.org/spreadsheetml/2006/main">
  <authors>
    <author>david.leonard</author>
    <author>David Leonard</author>
  </authors>
  <commentList>
    <comment ref="C3" authorId="0">
      <text>
        <r>
          <rPr>
            <b/>
            <sz val="8"/>
            <color indexed="81"/>
            <rFont val="Tahoma"/>
            <family val="2"/>
          </rPr>
          <t>david.leonard:</t>
        </r>
        <r>
          <rPr>
            <sz val="8"/>
            <color indexed="81"/>
            <rFont val="Tahoma"/>
            <family val="2"/>
          </rPr>
          <t xml:space="preserve">
Assumes M5 + £1100 TLR</t>
        </r>
      </text>
    </comment>
    <comment ref="D3" authorId="0">
      <text>
        <r>
          <rPr>
            <b/>
            <sz val="8"/>
            <color indexed="81"/>
            <rFont val="Tahoma"/>
            <family val="2"/>
          </rPr>
          <t>david.leonard:</t>
        </r>
        <r>
          <rPr>
            <sz val="8"/>
            <color indexed="81"/>
            <rFont val="Tahoma"/>
            <family val="2"/>
          </rPr>
          <t xml:space="preserve">
Assumes SCP12</t>
        </r>
      </text>
    </comment>
    <comment ref="E3" authorId="0">
      <text>
        <r>
          <rPr>
            <b/>
            <sz val="8"/>
            <color indexed="81"/>
            <rFont val="Tahoma"/>
            <family val="2"/>
          </rPr>
          <t>david.leonard:</t>
        </r>
        <r>
          <rPr>
            <sz val="8"/>
            <color indexed="81"/>
            <rFont val="Tahoma"/>
            <family val="2"/>
          </rPr>
          <t xml:space="preserve">
Assumes SCP 5 for 1h15 per day</t>
        </r>
      </text>
    </comment>
    <comment ref="I3" authorId="0">
      <text>
        <r>
          <rPr>
            <b/>
            <sz val="8"/>
            <color indexed="81"/>
            <rFont val="Tahoma"/>
            <family val="2"/>
          </rPr>
          <t>david.leonard:</t>
        </r>
        <r>
          <rPr>
            <sz val="8"/>
            <color indexed="81"/>
            <rFont val="Tahoma"/>
            <family val="2"/>
          </rPr>
          <t xml:space="preserve">
Assumes M6</t>
        </r>
      </text>
    </comment>
    <comment ref="J3" authorId="0">
      <text>
        <r>
          <rPr>
            <b/>
            <sz val="8"/>
            <color indexed="81"/>
            <rFont val="Tahoma"/>
            <family val="2"/>
          </rPr>
          <t>david.leonard:</t>
        </r>
        <r>
          <rPr>
            <sz val="8"/>
            <color indexed="81"/>
            <rFont val="Tahoma"/>
            <family val="2"/>
          </rPr>
          <t xml:space="preserve">
Assumes SCP 12</t>
        </r>
      </text>
    </comment>
    <comment ref="K3" authorId="0">
      <text>
        <r>
          <rPr>
            <b/>
            <sz val="8"/>
            <color indexed="81"/>
            <rFont val="Tahoma"/>
            <family val="2"/>
          </rPr>
          <t>david.leonard:</t>
        </r>
        <r>
          <rPr>
            <sz val="8"/>
            <color indexed="81"/>
            <rFont val="Tahoma"/>
            <family val="2"/>
          </rPr>
          <t xml:space="preserve">
Assumes SCP 5 for 1h15 per day</t>
        </r>
      </text>
    </comment>
    <comment ref="B5" authorId="1">
      <text>
        <r>
          <rPr>
            <b/>
            <sz val="9"/>
            <color indexed="81"/>
            <rFont val="Tahoma"/>
            <family val="2"/>
          </rPr>
          <t>David Leonard:</t>
        </r>
        <r>
          <rPr>
            <sz val="9"/>
            <color indexed="81"/>
            <rFont val="Tahoma"/>
            <family val="2"/>
          </rPr>
          <t xml:space="preserve">
Reduced from 2.5:1</t>
        </r>
      </text>
    </comment>
    <comment ref="B11" authorId="1">
      <text>
        <r>
          <rPr>
            <b/>
            <sz val="9"/>
            <color indexed="81"/>
            <rFont val="Tahoma"/>
            <family val="2"/>
          </rPr>
          <t>David Leonard:</t>
        </r>
        <r>
          <rPr>
            <sz val="9"/>
            <color indexed="81"/>
            <rFont val="Tahoma"/>
            <family val="2"/>
          </rPr>
          <t xml:space="preserve">
Increased from 6:1</t>
        </r>
      </text>
    </comment>
    <comment ref="F20" authorId="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B34" authorId="1">
      <text>
        <r>
          <rPr>
            <b/>
            <sz val="9"/>
            <color indexed="81"/>
            <rFont val="Tahoma"/>
            <family val="2"/>
          </rPr>
          <t>David Leonard:</t>
        </r>
        <r>
          <rPr>
            <sz val="9"/>
            <color indexed="81"/>
            <rFont val="Tahoma"/>
            <family val="2"/>
          </rPr>
          <t xml:space="preserve">
Reduced from 2.5:1</t>
        </r>
      </text>
    </comment>
    <comment ref="B38" authorId="1">
      <text>
        <r>
          <rPr>
            <b/>
            <sz val="9"/>
            <color indexed="81"/>
            <rFont val="Tahoma"/>
            <family val="2"/>
          </rPr>
          <t>David Leonard:</t>
        </r>
        <r>
          <rPr>
            <sz val="9"/>
            <color indexed="81"/>
            <rFont val="Tahoma"/>
            <family val="2"/>
          </rPr>
          <t xml:space="preserve">
Reduced from 2.5:1</t>
        </r>
      </text>
    </comment>
    <comment ref="B42" authorId="1">
      <text>
        <r>
          <rPr>
            <b/>
            <sz val="9"/>
            <color indexed="81"/>
            <rFont val="Tahoma"/>
            <family val="2"/>
          </rPr>
          <t>David Leonard:</t>
        </r>
        <r>
          <rPr>
            <sz val="9"/>
            <color indexed="81"/>
            <rFont val="Tahoma"/>
            <family val="2"/>
          </rPr>
          <t xml:space="preserve">
Reduced from 2.5:1</t>
        </r>
      </text>
    </comment>
  </commentList>
</comments>
</file>

<file path=xl/comments2.xml><?xml version="1.0" encoding="utf-8"?>
<comments xmlns="http://schemas.openxmlformats.org/spreadsheetml/2006/main">
  <authors>
    <author>David Leonard</author>
  </authors>
  <commentList>
    <comment ref="B10" authorId="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3.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4.xml><?xml version="1.0" encoding="utf-8"?>
<comments xmlns="http://schemas.openxmlformats.org/spreadsheetml/2006/main">
  <authors>
    <author>David Leonard</author>
  </authors>
  <commentList>
    <comment ref="B10" authorId="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5.xml><?xml version="1.0" encoding="utf-8"?>
<comments xmlns="http://schemas.openxmlformats.org/spreadsheetml/2006/main">
  <authors>
    <author>David Leonard</author>
  </authors>
  <commentList>
    <comment ref="B10" authorId="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6.xml><?xml version="1.0" encoding="utf-8"?>
<comments xmlns="http://schemas.openxmlformats.org/spreadsheetml/2006/main">
  <authors>
    <author>David Leonard</author>
  </authors>
  <commentList>
    <comment ref="AN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G26" authorId="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H26" authorId="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7.xml><?xml version="1.0" encoding="utf-8"?>
<comments xmlns="http://schemas.openxmlformats.org/spreadsheetml/2006/main">
  <authors>
    <author>David Leonard</author>
  </authors>
  <commentList>
    <comment ref="C13" authorId="0">
      <text>
        <r>
          <rPr>
            <b/>
            <sz val="9"/>
            <color indexed="81"/>
            <rFont val="Tahoma"/>
            <family val="2"/>
          </rPr>
          <t>David Leonard:</t>
        </r>
        <r>
          <rPr>
            <sz val="9"/>
            <color indexed="81"/>
            <rFont val="Tahoma"/>
            <family val="2"/>
          </rPr>
          <t xml:space="preserve">
E-mail from Dawn Hunt to confirm 33 FSM taken</t>
        </r>
      </text>
    </comment>
  </commentList>
</comments>
</file>

<file path=xl/comments8.xml><?xml version="1.0" encoding="utf-8"?>
<comments xmlns="http://schemas.openxmlformats.org/spreadsheetml/2006/main">
  <authors>
    <author>david.leonard</author>
    <author>David Leonard</author>
  </authors>
  <commentList>
    <comment ref="C3" authorId="0">
      <text>
        <r>
          <rPr>
            <b/>
            <sz val="8"/>
            <color indexed="81"/>
            <rFont val="Tahoma"/>
            <family val="2"/>
          </rPr>
          <t>david.leonard:</t>
        </r>
        <r>
          <rPr>
            <sz val="8"/>
            <color indexed="81"/>
            <rFont val="Tahoma"/>
            <family val="2"/>
          </rPr>
          <t xml:space="preserve">
Assumes M6</t>
        </r>
      </text>
    </comment>
    <comment ref="D3" authorId="0">
      <text>
        <r>
          <rPr>
            <b/>
            <sz val="8"/>
            <color indexed="81"/>
            <rFont val="Tahoma"/>
            <family val="2"/>
          </rPr>
          <t>david.leonard:</t>
        </r>
        <r>
          <rPr>
            <sz val="8"/>
            <color indexed="81"/>
            <rFont val="Tahoma"/>
            <family val="2"/>
          </rPr>
          <t xml:space="preserve">
Assumes SCP 12</t>
        </r>
      </text>
    </comment>
    <comment ref="E3" authorId="0">
      <text>
        <r>
          <rPr>
            <b/>
            <sz val="8"/>
            <color indexed="81"/>
            <rFont val="Tahoma"/>
            <family val="2"/>
          </rPr>
          <t>david.leonard:</t>
        </r>
        <r>
          <rPr>
            <sz val="8"/>
            <color indexed="81"/>
            <rFont val="Tahoma"/>
            <family val="2"/>
          </rPr>
          <t xml:space="preserve">
Assumes SCP 5 for 1h15 per day</t>
        </r>
      </text>
    </comment>
    <comment ref="B5" authorId="1">
      <text>
        <r>
          <rPr>
            <b/>
            <sz val="9"/>
            <color indexed="81"/>
            <rFont val="Tahoma"/>
            <family val="2"/>
          </rPr>
          <t>David Leonard:</t>
        </r>
        <r>
          <rPr>
            <sz val="9"/>
            <color indexed="81"/>
            <rFont val="Tahoma"/>
            <family val="2"/>
          </rPr>
          <t xml:space="preserve">
Reduced from 2.5:1</t>
        </r>
      </text>
    </comment>
    <comment ref="B11" authorId="1">
      <text>
        <r>
          <rPr>
            <b/>
            <sz val="9"/>
            <color indexed="81"/>
            <rFont val="Tahoma"/>
            <family val="2"/>
          </rPr>
          <t>David Leonard:</t>
        </r>
        <r>
          <rPr>
            <sz val="9"/>
            <color indexed="81"/>
            <rFont val="Tahoma"/>
            <family val="2"/>
          </rPr>
          <t xml:space="preserve">
Increased from 6:1</t>
        </r>
      </text>
    </comment>
    <comment ref="F20" authorId="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B34" authorId="1">
      <text>
        <r>
          <rPr>
            <b/>
            <sz val="9"/>
            <color indexed="81"/>
            <rFont val="Tahoma"/>
            <family val="2"/>
          </rPr>
          <t>David Leonard:</t>
        </r>
        <r>
          <rPr>
            <sz val="9"/>
            <color indexed="81"/>
            <rFont val="Tahoma"/>
            <family val="2"/>
          </rPr>
          <t xml:space="preserve">
Reduced from 2.5:1</t>
        </r>
      </text>
    </comment>
    <comment ref="B38" authorId="1">
      <text>
        <r>
          <rPr>
            <b/>
            <sz val="9"/>
            <color indexed="81"/>
            <rFont val="Tahoma"/>
            <family val="2"/>
          </rPr>
          <t>David Leonard:</t>
        </r>
        <r>
          <rPr>
            <sz val="9"/>
            <color indexed="81"/>
            <rFont val="Tahoma"/>
            <family val="2"/>
          </rPr>
          <t xml:space="preserve">
Reduced from 2.5:1</t>
        </r>
      </text>
    </comment>
    <comment ref="B42" authorId="1">
      <text>
        <r>
          <rPr>
            <b/>
            <sz val="9"/>
            <color indexed="81"/>
            <rFont val="Tahoma"/>
            <family val="2"/>
          </rPr>
          <t>David Leonard:</t>
        </r>
        <r>
          <rPr>
            <sz val="9"/>
            <color indexed="81"/>
            <rFont val="Tahoma"/>
            <family val="2"/>
          </rPr>
          <t xml:space="preserve">
Reduced from 2.5:1</t>
        </r>
      </text>
    </comment>
  </commentList>
</comments>
</file>

<file path=xl/comments9.xml><?xml version="1.0" encoding="utf-8"?>
<comments xmlns="http://schemas.openxmlformats.org/spreadsheetml/2006/main">
  <authors>
    <author>David Leonard</author>
  </authors>
  <commentList>
    <comment ref="B10" authorId="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sharedStrings.xml><?xml version="1.0" encoding="utf-8"?>
<sst xmlns="http://schemas.openxmlformats.org/spreadsheetml/2006/main" count="8545" uniqueCount="1382">
  <si>
    <t>Band Descriptors</t>
  </si>
  <si>
    <t>Staffing Ratio</t>
  </si>
  <si>
    <t>Band 1</t>
  </si>
  <si>
    <t>Band 2</t>
  </si>
  <si>
    <t>5 to 1 Ratio</t>
  </si>
  <si>
    <t>Band 3</t>
  </si>
  <si>
    <t>6 to 1 Ratio</t>
  </si>
  <si>
    <t>Band 4</t>
  </si>
  <si>
    <t>Band 5</t>
  </si>
  <si>
    <t>Principles</t>
  </si>
  <si>
    <t>The same average principle is applied for Teaching Assistant salaries. Salaries are paid through the equated pay approach.</t>
  </si>
  <si>
    <t xml:space="preserve">The first SEN Allowance has been applied to the Special Schools classroom teacher. </t>
  </si>
  <si>
    <t xml:space="preserve">The average teacher costs across the whole Special Schools sector (including the pay award) have been applied consistently across the Bands. </t>
  </si>
  <si>
    <t>Threshold payments through Upper Scale points have been taken into account when calculating the average teacher costs.</t>
  </si>
  <si>
    <t xml:space="preserve">A Teachers salary will be based on an FTE post using Teachers Pay and Grading Conditions, and the pay scales have taken account of the 2010 pay award. </t>
  </si>
  <si>
    <t>Group 3</t>
  </si>
  <si>
    <t>Group 4</t>
  </si>
  <si>
    <t>Group 5</t>
  </si>
  <si>
    <t>Group 6</t>
  </si>
  <si>
    <t>Group Value of Special School</t>
  </si>
  <si>
    <t>Staffing Block</t>
  </si>
  <si>
    <t>Non-Staffing Block</t>
  </si>
  <si>
    <t>Group 4 (PFI School)</t>
  </si>
  <si>
    <t>TLR Payments</t>
  </si>
  <si>
    <t>Site Manager / Caretaker</t>
  </si>
  <si>
    <t>Cleaners</t>
  </si>
  <si>
    <t>Clerk to Governor</t>
  </si>
  <si>
    <t>Administrator</t>
  </si>
  <si>
    <t>School Business Manager / Bursar</t>
  </si>
  <si>
    <t>Finance Buyback</t>
  </si>
  <si>
    <t>HR Buyback</t>
  </si>
  <si>
    <t>Payroll Buyback</t>
  </si>
  <si>
    <t>I.T Buyback</t>
  </si>
  <si>
    <t>Insurances Buyback</t>
  </si>
  <si>
    <t>R&amp;M Buyback</t>
  </si>
  <si>
    <t>Licences Buyback</t>
  </si>
  <si>
    <t>Refuse Collection</t>
  </si>
  <si>
    <t>Cleaning Materials</t>
  </si>
  <si>
    <t>Telephones</t>
  </si>
  <si>
    <t>Outdoor &amp; Grounds Maintenance</t>
  </si>
  <si>
    <t>Admin Supplies</t>
  </si>
  <si>
    <t>Training &amp; Development</t>
  </si>
  <si>
    <t>Photocopier</t>
  </si>
  <si>
    <t>Staffing Block consisting of the typical cost drivers:</t>
  </si>
  <si>
    <t>Non-Staffing Block consisting of the typical cost drivers:</t>
  </si>
  <si>
    <t>Fixed Allocations</t>
  </si>
  <si>
    <t>Additional Allocations</t>
  </si>
  <si>
    <t>A Teaching Assistant position is based on 32.5 hours per week (i.e. 1 FTE)</t>
  </si>
  <si>
    <t>Sickness Absence Insurance Premium have been factored into the Band values for both a Teacher and Teaching Assistant.</t>
  </si>
  <si>
    <t>Group 3 (PFI School)</t>
  </si>
  <si>
    <t>2.5 to 1 Ratio</t>
  </si>
  <si>
    <t>Group</t>
  </si>
  <si>
    <t>Louth St Bernard's School</t>
  </si>
  <si>
    <t>Grantham Ambergate School</t>
  </si>
  <si>
    <t>Lincoln Queen's Park School</t>
  </si>
  <si>
    <t>Lincoln St Christopher's</t>
  </si>
  <si>
    <t>Horncastle St Lawrence School</t>
  </si>
  <si>
    <t>Band Values</t>
  </si>
  <si>
    <t>Energy (Water / Electricity / Gas or Oil)</t>
  </si>
  <si>
    <t>Educational Learning Materials</t>
  </si>
  <si>
    <t>Fortuna</t>
  </si>
  <si>
    <t>Sincil</t>
  </si>
  <si>
    <t>Total</t>
  </si>
  <si>
    <t>Cook</t>
  </si>
  <si>
    <t>PFI Block</t>
  </si>
  <si>
    <t>The calculation of a Band includes the staffing costs for a Teacher and a Teaching Assistant. For example, Band 2 has a staffing ratio of 5 to 1, which will be calculated using a 10 to 2 ratio that will consist of one Teacher and one Teaching Assistant.</t>
  </si>
  <si>
    <t>School</t>
  </si>
  <si>
    <t>Boston John Fielding</t>
  </si>
  <si>
    <t>Grantham Sandon</t>
  </si>
  <si>
    <t>Louth St Bernard's</t>
  </si>
  <si>
    <t>Spalding The Garth</t>
  </si>
  <si>
    <t>Spilsby The Eresby</t>
  </si>
  <si>
    <t xml:space="preserve">Gainsborough Warren Wood </t>
  </si>
  <si>
    <t>Gosberton House</t>
  </si>
  <si>
    <t>Gainsborough Aegir</t>
  </si>
  <si>
    <t>Grantham Ambergate</t>
  </si>
  <si>
    <t>Spalding The Priory</t>
  </si>
  <si>
    <t>Bourne Willoughby</t>
  </si>
  <si>
    <t>Horncastle St Lawrence</t>
  </si>
  <si>
    <t>Lincoln Queen's Park</t>
  </si>
  <si>
    <t xml:space="preserve">Lincoln St Francis </t>
  </si>
  <si>
    <t>Lincoln Fortuna (PFI)</t>
  </si>
  <si>
    <t>Lincoln Sincil Sports College (PFI)</t>
  </si>
  <si>
    <t>Spilsby The Lady Jane Franklin (PFI)</t>
  </si>
  <si>
    <t>Grantham Phoenix (PFI)</t>
  </si>
  <si>
    <t>Free School Meals</t>
  </si>
  <si>
    <t>Boston John Fielding School</t>
  </si>
  <si>
    <t>Gosberton House School</t>
  </si>
  <si>
    <t>Grantham Sandon School</t>
  </si>
  <si>
    <t>Spalding The Garth School</t>
  </si>
  <si>
    <t>Spilsby The Eresby School</t>
  </si>
  <si>
    <t>Grantham The Phoenix School</t>
  </si>
  <si>
    <t>Spilsby The Lady Jane Franklin</t>
  </si>
  <si>
    <t>Spalding The Priory School</t>
  </si>
  <si>
    <t>Lincoln St Christopher's School</t>
  </si>
  <si>
    <t>Lincoln St Francis Special School</t>
  </si>
  <si>
    <t>Gainsborough Warren Wood</t>
  </si>
  <si>
    <t>Special Schools Band Descriptors</t>
  </si>
  <si>
    <t>Lincoln Fortuna</t>
  </si>
  <si>
    <t>Grantham Phoenix</t>
  </si>
  <si>
    <t>Lincoln Sincil Sports College</t>
  </si>
  <si>
    <t>Percentage coverage of Bands</t>
  </si>
  <si>
    <t>Banded Funding</t>
  </si>
  <si>
    <t>Total Funding</t>
  </si>
  <si>
    <t>Difference</t>
  </si>
  <si>
    <t>PFI Reductions in Charges</t>
  </si>
  <si>
    <t>Actual Difference</t>
  </si>
  <si>
    <t>Additionality</t>
  </si>
  <si>
    <t>Band 5 Additionality</t>
  </si>
  <si>
    <t>Catering Assistant(s)</t>
  </si>
  <si>
    <t>Midday Supervisor's have been incorporated into the Band Values on a 10 to 1 staffing ratio.</t>
  </si>
  <si>
    <t>Leadership Team</t>
  </si>
  <si>
    <t>PFI Reduction in Charges</t>
  </si>
  <si>
    <t>Split-Site Factor</t>
  </si>
  <si>
    <t>Band 5 pupil ratio change</t>
  </si>
  <si>
    <t>Notes:</t>
  </si>
  <si>
    <t>Gainsborough - Pump Priming</t>
  </si>
  <si>
    <t>Special Schools - Revised Band Descriptor's (using October 2011 census) - Implementation for the period 2012-13 &amp; 2013-14</t>
  </si>
  <si>
    <t xml:space="preserve">Date of Visit </t>
  </si>
  <si>
    <t>Actual Cohort Oct 11</t>
  </si>
  <si>
    <t>Band 1 Oct 11</t>
  </si>
  <si>
    <t>% Band 1 Oct 11</t>
  </si>
  <si>
    <t>Band 2 Oct 11</t>
  </si>
  <si>
    <t>% Band 2 Oct 11</t>
  </si>
  <si>
    <t>Band 3 Oct 11</t>
  </si>
  <si>
    <t>% Band 3 Oct 11</t>
  </si>
  <si>
    <t>Band 4 Oct 11</t>
  </si>
  <si>
    <t>% Band 4 Oct 11</t>
  </si>
  <si>
    <t>Band 5 Oct 11</t>
  </si>
  <si>
    <t>% Band 5 Oct 11</t>
  </si>
  <si>
    <t>09.12.11</t>
  </si>
  <si>
    <t>23.11.11</t>
  </si>
  <si>
    <t>25.11.11</t>
  </si>
  <si>
    <t>PC to arrange</t>
  </si>
  <si>
    <t>12.12.11</t>
  </si>
  <si>
    <t>Bourne Willoughby School</t>
  </si>
  <si>
    <t>Boston Pilgrim Hospital</t>
  </si>
  <si>
    <t xml:space="preserve">Ash Villa Hospital </t>
  </si>
  <si>
    <t>Places</t>
  </si>
  <si>
    <t>Outreach</t>
  </si>
  <si>
    <t>Existing Funding - Special</t>
  </si>
  <si>
    <t>Existing Funding - Grants</t>
  </si>
  <si>
    <t>2012-13</t>
  </si>
  <si>
    <t>Jan 12 NoR</t>
  </si>
  <si>
    <t>2011-12 Funding Pot</t>
  </si>
  <si>
    <t>Note: Changes relating to the total funding pot vs. existing funding</t>
  </si>
  <si>
    <t>Special Schools Funding - Lincolnshire Model 2012-13</t>
  </si>
  <si>
    <t>Growth in Special Schools Budget (group size &amp; pupil number changes) &amp; PFI Block Change</t>
  </si>
  <si>
    <t>Average Band Value</t>
  </si>
  <si>
    <t>Step 1</t>
  </si>
  <si>
    <t>Step 2</t>
  </si>
  <si>
    <t>Place-led Funding</t>
  </si>
  <si>
    <t>Total Funding Place</t>
  </si>
  <si>
    <t>Step 3</t>
  </si>
  <si>
    <t>Top-up Funding</t>
  </si>
  <si>
    <t>Ave. Band</t>
  </si>
  <si>
    <t>Approach</t>
  </si>
  <si>
    <t xml:space="preserve">This example is showing the following: </t>
  </si>
  <si>
    <t>SCHOOL NAME</t>
  </si>
  <si>
    <t>£</t>
  </si>
  <si>
    <t>Grantham The Phoenix</t>
  </si>
  <si>
    <t>Spilsby Lady Jane Franklin School</t>
  </si>
  <si>
    <t>Lincoln Fortuna School</t>
  </si>
  <si>
    <t>Gainsborough Aegir Community School</t>
  </si>
  <si>
    <t>Gainsborough Warren Wood Community School</t>
  </si>
  <si>
    <t>The Sincil School</t>
  </si>
  <si>
    <t>DfE funding Approach (Place-Plus)</t>
  </si>
  <si>
    <t>This approach is where the number of places funded is based on the current number of pupil e.g. one place = one child.</t>
  </si>
  <si>
    <t>Transition Protection Funding</t>
  </si>
  <si>
    <t>MFG Purposes -1.5%</t>
  </si>
  <si>
    <t>Appendix 1</t>
  </si>
  <si>
    <t>Please note:</t>
  </si>
  <si>
    <t>* The budget shares for 2012-13 (using January 2012 census data) will be used to determine the 2012-13 base line position for Top-up arrangements;</t>
  </si>
  <si>
    <t>Free School Meal Funding</t>
  </si>
  <si>
    <t>* Transitional protection arrangements for those school losing funding through the implementation of the current formula have been incorporated into the base line calculation;</t>
  </si>
  <si>
    <t>This calculation is undertaken to determine the guaranteed top-up value funding for special schools in 2013-14 i.e. no schools can lose more than -1.5% of the 2012-13 top-up.</t>
  </si>
  <si>
    <r>
      <rPr>
        <u/>
        <sz val="10"/>
        <rFont val="Arial"/>
        <family val="2"/>
      </rPr>
      <t>Purpose</t>
    </r>
    <r>
      <rPr>
        <sz val="10"/>
        <rFont val="Arial"/>
        <family val="2"/>
      </rPr>
      <t xml:space="preserve"> </t>
    </r>
  </si>
  <si>
    <t>2013/14 Funding</t>
  </si>
  <si>
    <t>Numbers agreed as per EFA return</t>
  </si>
  <si>
    <t>* PFI Schools have had their 2013-14 charges revised, therefore will need to be reflected in their baseline MFG calculation.</t>
  </si>
  <si>
    <t>LJF</t>
  </si>
  <si>
    <t>Pheonix</t>
  </si>
  <si>
    <t>Special Schools Funding - Lincolnshire Model 2013/14 - Pre &amp; Post 16 Children</t>
  </si>
  <si>
    <t>Portage Funding</t>
  </si>
  <si>
    <t>Residential Funding</t>
  </si>
  <si>
    <t>Post-16</t>
  </si>
  <si>
    <t>Pre-16 Funding</t>
  </si>
  <si>
    <t>Post-16 Funding</t>
  </si>
  <si>
    <t>April - August Funding</t>
  </si>
  <si>
    <t>April - August Numbers</t>
  </si>
  <si>
    <t>Sept - March Numbers</t>
  </si>
  <si>
    <t>September - March Funding</t>
  </si>
  <si>
    <t>Total Banded Funding</t>
  </si>
  <si>
    <t>Average Pupil Numbers</t>
  </si>
  <si>
    <t>LSN Costs Delegation</t>
  </si>
  <si>
    <t>Place Value</t>
  </si>
  <si>
    <t>Final Budgets</t>
  </si>
  <si>
    <t>DfE No:</t>
  </si>
  <si>
    <t>SPECIAL SCHOOLS FUNDING</t>
  </si>
  <si>
    <t>p.a.</t>
  </si>
  <si>
    <t>Indicative Top-up Funding</t>
  </si>
  <si>
    <t>DfE Number</t>
  </si>
  <si>
    <t>Place Funding</t>
  </si>
  <si>
    <t>Total Cost per Pupil</t>
  </si>
  <si>
    <t>Pupil-led</t>
  </si>
  <si>
    <t>Total Place-led Funding</t>
  </si>
  <si>
    <t>2011-12 Portage Approach</t>
  </si>
  <si>
    <t>2012-13 Portage Approach</t>
  </si>
  <si>
    <t>2012-13 Specialist Schools Funding</t>
  </si>
  <si>
    <t>2011-12 Outreach Places</t>
  </si>
  <si>
    <t>2011-12 Outreach Funding</t>
  </si>
  <si>
    <t>2012-13 Outreach Funding</t>
  </si>
  <si>
    <t>*</t>
  </si>
  <si>
    <t>Portage</t>
  </si>
  <si>
    <t>Original outreach funding is being provided to Gosberton &amp; St Christopher's (£51,500), St Francis (£88,936) and Boston Pilgrim (£408,510). A bid has been agreed by DMT for an additional £0.325m annually for a period of two years from the DSG to establish some further outreach packages from special schools across the 7 districts. This is excluded from this with it being one-off funding.</t>
  </si>
  <si>
    <t>Specialist Schools</t>
  </si>
  <si>
    <t>Six special schools receive funding for specialist school status through the mainstreamed grants (£0.060m per school). This funding is being used to provide outreach support to schools in their community according to their specialism. A pathfinder outreach funding programme has also been established to support outreach work in Lincolnshire from September 2011, which is being undertaken by other special schools. It is proposed that these schools continue to receive this £0.060m allocation to provide outreach support for the remainder of the funding period 2012-13 – 2013-14.</t>
  </si>
  <si>
    <t>* Lincoln St Christopher's School will receive one-year protection based on the previous year's allocation, however in 2013-14 the allocation will reduce to £51,500 (comparable with Gosberton House School).</t>
  </si>
  <si>
    <t>2013-14 Portage Approach</t>
  </si>
  <si>
    <t>OUTREACH/PORTAGE FUNDING - Overview</t>
  </si>
  <si>
    <t>***</t>
  </si>
  <si>
    <t>** Boston Pilgrim Hospital School: Funding for outreach is part of the schools formula (for protection purposes). The schools' overall funding has not risen through the development of the hospital schools funding formula. The £408,510 has been separated from the remaining schools' formula to identify the outreach funding.</t>
  </si>
  <si>
    <t>2013-14 Outreach Funding</t>
  </si>
  <si>
    <t>The Portage Programme has been developed in-conjunction with the Special Schools Formula review. All schools that are part of the scheme receive an allocation of £35,258. See attached protocol for the Portage Programme for reference along with calculation of the funding per school. Queen's Park did receive £55,122 in 2011/12 (for protection purposes), but in 2012/13 this has reduced to £35,258 in line with the other portage schools. Horncastle St Lawrence has been given portage funding in 2013/14 to replace the Children's Services locality funding that was in place. A review of all portage funding will be undertaken ***.</t>
  </si>
  <si>
    <t>M.Popplewell 14.03.2013</t>
  </si>
  <si>
    <t>2013-14</t>
  </si>
  <si>
    <t>Provision will end at 30th June 2013</t>
  </si>
  <si>
    <t>Residential funding will be reviewed in 2013/14</t>
  </si>
  <si>
    <t xml:space="preserve">2012-13 Residential Funding </t>
  </si>
  <si>
    <t xml:space="preserve">2013-14 Residential Funding </t>
  </si>
  <si>
    <t>Average Band Value for Commissioned Places above the Agreed Places</t>
  </si>
  <si>
    <t>Split-site factor</t>
  </si>
  <si>
    <t>LSN Costs</t>
  </si>
  <si>
    <t>Number on Roll</t>
  </si>
  <si>
    <t>Special Schools Funding - Lincolnshire Model 2013/14</t>
  </si>
  <si>
    <t>Band Descriptor</t>
  </si>
  <si>
    <t>2013/14 Ave NoR</t>
  </si>
  <si>
    <t xml:space="preserve">* The 2012-13 budget Shares funding presented through the Place-led and Top-up funding approach; </t>
  </si>
  <si>
    <t>Total Cost per Place</t>
  </si>
  <si>
    <t>Band Descriptor Profile</t>
  </si>
  <si>
    <t>School Percentage Profile</t>
  </si>
  <si>
    <t>THE SPECIAL SCHOOLS FORMULA BUDGET ALLOCATION SPREADSHEET CONTAINS THE FOLLOWING WORKSHEETS</t>
  </si>
  <si>
    <t>ISB Weightings</t>
  </si>
  <si>
    <t>* Band Profile;</t>
  </si>
  <si>
    <t>* Maintained Schools Budget Shares;</t>
  </si>
  <si>
    <t>It will populate the following:</t>
  </si>
  <si>
    <t>* Average band value for commissioned places above the agreed places;</t>
  </si>
  <si>
    <t>* Commissioned Funding (namely, Residential Funding, Outreach and Portage).</t>
  </si>
  <si>
    <t>Agreed Post 16 Top-up</t>
  </si>
  <si>
    <t>Bursar Funding 16-19</t>
  </si>
  <si>
    <t>Aug - Mar</t>
  </si>
  <si>
    <t>Total Pre-16</t>
  </si>
  <si>
    <t>Assessment Places</t>
  </si>
  <si>
    <t>Pre-16 Places</t>
  </si>
  <si>
    <t>Moderated Band Descriptors - January 2014</t>
  </si>
  <si>
    <t>Current NoR - Jan 14</t>
  </si>
  <si>
    <t>% Band 1</t>
  </si>
  <si>
    <t xml:space="preserve">% Band 2 </t>
  </si>
  <si>
    <t>% Band 3</t>
  </si>
  <si>
    <t>%Band 4</t>
  </si>
  <si>
    <t>% Band 5</t>
  </si>
  <si>
    <t>Ave. Band Value</t>
  </si>
  <si>
    <t>2013/14 NoR</t>
  </si>
  <si>
    <t>Add. Cost</t>
  </si>
  <si>
    <t>Special Schools Overall Population</t>
  </si>
  <si>
    <t xml:space="preserve">Band 1 </t>
  </si>
  <si>
    <t xml:space="preserve">% Band 1 </t>
  </si>
  <si>
    <t xml:space="preserve">Band 2 </t>
  </si>
  <si>
    <t xml:space="preserve">Band 3 </t>
  </si>
  <si>
    <t xml:space="preserve">% Band 3 </t>
  </si>
  <si>
    <t xml:space="preserve">Band 4 </t>
  </si>
  <si>
    <t xml:space="preserve">% Band 4 </t>
  </si>
  <si>
    <t xml:space="preserve">Band 5 </t>
  </si>
  <si>
    <t xml:space="preserve">% Band 5 </t>
  </si>
  <si>
    <t>2014-15 Portage Approach</t>
  </si>
  <si>
    <t>2013-14 Specialist Schools Funding</t>
  </si>
  <si>
    <t>2014-15 Specialist Schools Funding</t>
  </si>
  <si>
    <t>2014-15 Outreach Funding</t>
  </si>
  <si>
    <t xml:space="preserve">2014-15 Residential Funding </t>
  </si>
  <si>
    <t>2014-15 Pathfinder Outreach Funding</t>
  </si>
  <si>
    <t>Ending 31st Dec 14</t>
  </si>
  <si>
    <t>Total Commissioned funding</t>
  </si>
  <si>
    <t>April - August (Pre-16)</t>
  </si>
  <si>
    <t>April - July (Post-16)</t>
  </si>
  <si>
    <t>Numbers agreed as per EFA return (2013/14 Return)</t>
  </si>
  <si>
    <t>September - March (Pre-16)</t>
  </si>
  <si>
    <t>Numbers agreed as per EFA return (2014/15 Return)</t>
  </si>
  <si>
    <t>Pre-16 Funding (Sept - Mar)</t>
  </si>
  <si>
    <t>Post-16 Funding (Apr-Jul)</t>
  </si>
  <si>
    <t>Post-16 Funding (Aug-Mar)</t>
  </si>
  <si>
    <t>Apr-Aug</t>
  </si>
  <si>
    <t>Sept-Mar</t>
  </si>
  <si>
    <t>August - March (Post-16)</t>
  </si>
  <si>
    <t>Apr-Jul</t>
  </si>
  <si>
    <t>Aug-Mar</t>
  </si>
  <si>
    <t>Total Pre &amp; Post-16 Funding</t>
  </si>
  <si>
    <t>Average places</t>
  </si>
  <si>
    <t>Total Funding (less PFI) - Removed from Place/Top up</t>
  </si>
  <si>
    <r>
      <t xml:space="preserve">Total Funding Per Place </t>
    </r>
    <r>
      <rPr>
        <i/>
        <sz val="10"/>
        <rFont val="Arial"/>
        <family val="2"/>
      </rPr>
      <t>(MFG)</t>
    </r>
  </si>
  <si>
    <r>
      <t xml:space="preserve">Place-led Funding </t>
    </r>
    <r>
      <rPr>
        <i/>
        <sz val="10"/>
        <rFont val="Arial"/>
        <family val="2"/>
      </rPr>
      <t>(MFG)</t>
    </r>
  </si>
  <si>
    <t>Changes</t>
  </si>
  <si>
    <t>2014/15 Ave NoR</t>
  </si>
  <si>
    <t>MFG Final Budget (98.5%)</t>
  </si>
  <si>
    <t>MFG Total Place Value</t>
  </si>
  <si>
    <t>MFG Top up Value</t>
  </si>
  <si>
    <t>2013/14 MFG Final Budgets</t>
  </si>
  <si>
    <t>N/A</t>
  </si>
  <si>
    <t>2012/13 MFG Top up</t>
  </si>
  <si>
    <t>Agreed Pre-16 Top up</t>
  </si>
  <si>
    <t>MFG Top up Add'</t>
  </si>
  <si>
    <t>Top up Funding</t>
  </si>
  <si>
    <t>MFG Top up</t>
  </si>
  <si>
    <t>Agreed Post 16 Top up</t>
  </si>
  <si>
    <t>Special Schools Funding - Lincolnshire Model 2014/15 - Pre &amp; Post 16 Children</t>
  </si>
  <si>
    <t>Average 2014/15</t>
  </si>
  <si>
    <t>Minimum Funding Guarantee (MFG) Protection Budget</t>
  </si>
  <si>
    <r>
      <t xml:space="preserve">Top up Funding per Place </t>
    </r>
    <r>
      <rPr>
        <i/>
        <sz val="10"/>
        <rFont val="Arial"/>
        <family val="2"/>
      </rPr>
      <t>(MFG)</t>
    </r>
  </si>
  <si>
    <t>Calculation Required for Minimum Funding Guarantee Purposes</t>
  </si>
  <si>
    <t>Indicative Place and Top up Funding</t>
  </si>
  <si>
    <t>Other Special Schools Funding Arrangements</t>
  </si>
  <si>
    <t>Special School Formula Factors</t>
  </si>
  <si>
    <t>Commissioned Arrangements</t>
  </si>
  <si>
    <t>Site Factor</t>
  </si>
  <si>
    <t>PFI Block Allocation</t>
  </si>
  <si>
    <t>Total Other Special Schools Funding Arrangements</t>
  </si>
  <si>
    <t>Minimum Funding Guarantee Allocation</t>
  </si>
  <si>
    <t>Commissioned Place Value</t>
  </si>
  <si>
    <t>Additional Pupils Placed</t>
  </si>
  <si>
    <t>Pre-16 Place Funding</t>
  </si>
  <si>
    <t>Place Funding (Sept - Mar)</t>
  </si>
  <si>
    <t>Post-16 Place Funding</t>
  </si>
  <si>
    <t>Total Place Funding</t>
  </si>
  <si>
    <t>DfE Funding Methodology</t>
  </si>
  <si>
    <t>DfE Place Funding Methodology</t>
  </si>
  <si>
    <t>Total Place &amp; Top up Funding</t>
  </si>
  <si>
    <t>Pre-16 Top up Apr-Aug</t>
  </si>
  <si>
    <t>Pre-16 Funding (Apr-Aug)</t>
  </si>
  <si>
    <t>Place Funding (Apr-Aug)</t>
  </si>
  <si>
    <t>Top up Funding (Apr-Aug)</t>
  </si>
  <si>
    <t>Top up Funding (Apr-Jul)</t>
  </si>
  <si>
    <t>Top up Funding (Sept-Mar)</t>
  </si>
  <si>
    <t>Top up Funding (Aug-Mar)</t>
  </si>
  <si>
    <t>Post-16 Top up Apr-Jul</t>
  </si>
  <si>
    <t>Pre-16 Top up Sept-Mar</t>
  </si>
  <si>
    <t>Post-16 Top up Aug-Mar</t>
  </si>
  <si>
    <t>Total Top up Funding</t>
  </si>
  <si>
    <t>Total Place &amp; Top up</t>
  </si>
  <si>
    <t>Top up Value</t>
  </si>
  <si>
    <t>Pre-16 Top up Total</t>
  </si>
  <si>
    <t>Post-16 Top up Total</t>
  </si>
  <si>
    <t>Lincolnshire Special Schools Funding Formula</t>
  </si>
  <si>
    <t>Indicative Place and Top up Funding *</t>
  </si>
  <si>
    <t>Over-written to ensure it agrees with the published budget. Process for removing the PFI Factor.</t>
  </si>
  <si>
    <t>One-off DSG under spend allocation</t>
  </si>
  <si>
    <t>ONE-OFF DEDICATED SCHOOLS GRANT ALLOCATIONS ADDED TO BUDGET SHARE 2014/15</t>
  </si>
  <si>
    <t>Percentage Share of Non Staffing Block</t>
  </si>
  <si>
    <t>Additional</t>
  </si>
  <si>
    <t>Non Staffing</t>
  </si>
  <si>
    <t>school</t>
  </si>
  <si>
    <t>Allocation</t>
  </si>
  <si>
    <t>Lincoln The Fortuna</t>
  </si>
  <si>
    <t>Lincoln St Francis</t>
  </si>
  <si>
    <t>Lincoln The Sincil</t>
  </si>
  <si>
    <t>South Rauceby Ash Villa</t>
  </si>
  <si>
    <t>Bourne The Willoughby</t>
  </si>
  <si>
    <t>Earmarked one-off funding based on the 2013/14 Budget Share Non-Staffing Block</t>
  </si>
  <si>
    <t>Excludes Queen's Park</t>
  </si>
  <si>
    <t>2013/14 Comparison</t>
  </si>
  <si>
    <t>Agreed</t>
  </si>
  <si>
    <t>4 Group size changes</t>
  </si>
  <si>
    <t>RPIX Increase</t>
  </si>
  <si>
    <t>Removal of QP</t>
  </si>
  <si>
    <t>TBC</t>
  </si>
  <si>
    <t>No further del'</t>
  </si>
  <si>
    <t>Ave. band is approx. £10k</t>
  </si>
  <si>
    <t>Additionally</t>
  </si>
  <si>
    <t>2015/16 Budget Share Calculations</t>
  </si>
  <si>
    <t>MP Notes</t>
  </si>
  <si>
    <t>Special School Academy group size classification needs to be confirmed based on the October 2014 census. Performance Assurance to confirm the position.</t>
  </si>
  <si>
    <t>Group Size - Colour code</t>
  </si>
  <si>
    <t>No change.</t>
  </si>
  <si>
    <t>Awaiting academy information.</t>
  </si>
  <si>
    <t>Change - upwards</t>
  </si>
  <si>
    <t>Change - downwards</t>
  </si>
  <si>
    <t>Special Schools Funding - Lincolnshire Model 2015/16 - Pre &amp; Post 16 Children</t>
  </si>
  <si>
    <t>Assessment Funding (Apr-Aug)</t>
  </si>
  <si>
    <t>Additionality Funding (Apr-Aug)</t>
  </si>
  <si>
    <t>Total Funding (Apr-Aug)</t>
  </si>
  <si>
    <t>Additionality Funding (Apr-Jul)</t>
  </si>
  <si>
    <t>Assessment Funding (Sept-Mar)</t>
  </si>
  <si>
    <t>Pre-16 Funding (Sept-Mar)</t>
  </si>
  <si>
    <t>Additionality Funding (Sept-Mar)</t>
  </si>
  <si>
    <t>Additionality Funding (Aug-Mar)</t>
  </si>
  <si>
    <t>Total Assessment Funding</t>
  </si>
  <si>
    <t>Total Pre-16 Funding</t>
  </si>
  <si>
    <t>Total Post-16 Funding</t>
  </si>
  <si>
    <t>Total Additionality Funding</t>
  </si>
  <si>
    <t>Pre-16</t>
  </si>
  <si>
    <t>Average Places</t>
  </si>
  <si>
    <t>Summary</t>
  </si>
  <si>
    <t>Band 5 Additionality Banded Funding</t>
  </si>
  <si>
    <t>Total Pre &amp; Post-16 Additionality</t>
  </si>
  <si>
    <t>A.</t>
  </si>
  <si>
    <t>2015/16 Places</t>
  </si>
  <si>
    <t>Released</t>
  </si>
  <si>
    <t>NativeID</t>
  </si>
  <si>
    <t>Name</t>
  </si>
  <si>
    <t>FSM Taken on 2/10/2014</t>
  </si>
  <si>
    <t>Funding</t>
  </si>
  <si>
    <t>The Grantham Ambergate School</t>
  </si>
  <si>
    <t>The Grantham Sandon School</t>
  </si>
  <si>
    <t>The Priory School</t>
  </si>
  <si>
    <t>The John Fielding Community Special School</t>
  </si>
  <si>
    <t>The Garth School</t>
  </si>
  <si>
    <t>The Lincoln St Christopher's School</t>
  </si>
  <si>
    <t>The St Francis Special School, Lincoln</t>
  </si>
  <si>
    <t>The Horncastle St Lawrence School</t>
  </si>
  <si>
    <t>The Eresby School</t>
  </si>
  <si>
    <t>St Bernard's School, Louth</t>
  </si>
  <si>
    <t>The Willoughby School</t>
  </si>
  <si>
    <t>The Phoenix School</t>
  </si>
  <si>
    <t>The Lady Jane Franklin School</t>
  </si>
  <si>
    <t>Fortuna School</t>
  </si>
  <si>
    <t>Lincoln The Sincil School</t>
  </si>
  <si>
    <t>Warren Wood Community School</t>
  </si>
  <si>
    <t>Aegir Community School</t>
  </si>
  <si>
    <t>Meal Rate</t>
  </si>
  <si>
    <t>Period of funding (days)</t>
  </si>
  <si>
    <t>2014/15 Allocation</t>
  </si>
  <si>
    <t>Increase in Funding</t>
  </si>
  <si>
    <t>2015-16 Portage Approach</t>
  </si>
  <si>
    <t>2015-16 Specialist Schools Funding</t>
  </si>
  <si>
    <t>2015-16 Outreach Funding</t>
  </si>
  <si>
    <t>2015-16 Pathfinder Outreach Funding</t>
  </si>
  <si>
    <t xml:space="preserve">2015-16 Residential Funding </t>
  </si>
  <si>
    <t>Total Commissioned Funding</t>
  </si>
  <si>
    <r>
      <t xml:space="preserve">Outreach Funding - </t>
    </r>
    <r>
      <rPr>
        <i/>
        <sz val="10"/>
        <rFont val="Arial"/>
        <family val="2"/>
      </rPr>
      <t>Ending 31st August 2015</t>
    </r>
  </si>
  <si>
    <r>
      <t xml:space="preserve">Specialist Outreach Funding  - </t>
    </r>
    <r>
      <rPr>
        <i/>
        <sz val="10"/>
        <rFont val="Arial"/>
        <family val="2"/>
      </rPr>
      <t>Ending 31st August 2015</t>
    </r>
  </si>
  <si>
    <r>
      <t xml:space="preserve">Pathfinder Outreach Funding - </t>
    </r>
    <r>
      <rPr>
        <i/>
        <sz val="10"/>
        <rFont val="Arial"/>
        <family val="2"/>
      </rPr>
      <t>Ending 31st August 2015</t>
    </r>
  </si>
  <si>
    <t>ONE-OFF DEDICATED SCHOOLS GRANT ALLOCATIONS ADDED TO BUDGET SHARE 2015/16</t>
  </si>
  <si>
    <t>School Name</t>
  </si>
  <si>
    <t>Source: DSG one-off calculations schedule</t>
  </si>
  <si>
    <t>For distribution to special achools</t>
  </si>
  <si>
    <t>% share of the Non-Staffing Block Allocation</t>
  </si>
  <si>
    <t>One-off Allocation</t>
  </si>
  <si>
    <t>Agreed Top up Funding Per Place 2015/16</t>
  </si>
  <si>
    <t>Agreed MFG Funding 2015/16</t>
  </si>
  <si>
    <t>Special Schools Funding Formula 2015/16</t>
  </si>
  <si>
    <t>Agreed 2015/16 Place Numbers</t>
  </si>
  <si>
    <t>Assessment Places Banded Funding</t>
  </si>
  <si>
    <t>Pre-16 &amp; Post-16 Banded Funding</t>
  </si>
  <si>
    <t>2014/15 Funding</t>
  </si>
  <si>
    <t>Original 2015/16 Funding</t>
  </si>
  <si>
    <t>Final Indicative Funding for 2015/16</t>
  </si>
  <si>
    <t>Indicative 2015/16 Funding</t>
  </si>
  <si>
    <t>Agreed  Top up</t>
  </si>
  <si>
    <t>2015/16 Final Indicative Budget Share</t>
  </si>
  <si>
    <t>Pre-16: April 15 - August 15</t>
  </si>
  <si>
    <t>Pre-16: September 15 - March 16</t>
  </si>
  <si>
    <t>Post-16: April 15 - July 15</t>
  </si>
  <si>
    <t>Post-16: August 15 - March 16</t>
  </si>
  <si>
    <t>Assessment: April 15 - August 15</t>
  </si>
  <si>
    <t>Assessment: September 15 - March 16</t>
  </si>
  <si>
    <t>2015/16</t>
  </si>
  <si>
    <t>Group 6/7</t>
  </si>
  <si>
    <t>Total Pre-16 Top up Funding</t>
  </si>
  <si>
    <t>Total Post-16 Top up Funding</t>
  </si>
  <si>
    <t>Final Place &amp; Top up Funding</t>
  </si>
  <si>
    <t>Total Places</t>
  </si>
  <si>
    <t>5. Number on Roll: The Average Number / Places agreed across the financial year are based on the EFA returns. As outlined in section 2, place numbers for the AY2014/15 have been rolled forward for AY2015/16 to allow the EFA to create a lagged system.</t>
  </si>
  <si>
    <r>
      <t xml:space="preserve">6. Total Funding per Place: The average number / places agreed is divided into the total funding derived from the special schools funding formula to identify the total cost per place. </t>
    </r>
    <r>
      <rPr>
        <i/>
        <sz val="10"/>
        <rFont val="Arial"/>
        <family val="2"/>
      </rPr>
      <t xml:space="preserve">Italics identify the MFG Total Cost per Place. </t>
    </r>
  </si>
  <si>
    <t xml:space="preserve">8. Top up funding per place: Deducting the £10,000 place-led funding from the total cost per place to identify the top up funding rates for the MFG protection and the 2015/16 value. </t>
  </si>
  <si>
    <t xml:space="preserve">11. Indicative Funding for 2015/16 inclusive of the MFG allocation (where applicable) relating to place and top up arrangements. The section provides a clear audit trail of how Lincolnshire special schools are funded through the agreed formula factors for 2015/16, before being presented through the DfE's place and top up arrangements. The place numbers for the AY2014/15 have been rolled forward into the AY2015/16. </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</si>
  <si>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will equal the PFI Block value. The PFI charge is based on the school's share of the overall floor space of the seven PFI school buildings.  </t>
  </si>
  <si>
    <t xml:space="preserve">14. Outreach (commissioned arrangements): A Memorandum of Understanding has been established for those schools commissioned to undertake outreach arrangements. This arrangement will end on the 31st August 2015, and has been communicated to those schools. Pro-rata funding based of the schools 2014/15 outreach funding will be allocated for the period April 15 to August 15 (where schools have agreed the Memorandum of Understanding). Schools Forum reports outline the direction of travel for commissioned outreach arrangements from September 2015. A tender process will identify the preferred deliverers of these outreach service streams. </t>
  </si>
  <si>
    <t xml:space="preserve">13. Portage (commissioned arrangements): A Memorandum of Understanding has been established between the commissioned school and Local Authority outlining the desired outcomes from this funding. This continues to be an annual agreement, and a standard allocation per school (£35,258). </t>
  </si>
  <si>
    <t>17. Total Other Special Schools Funding Arrangements: the total funding relating to contractual commitments (PFI arrangements); commissioned functions, and release of one-off DSG underspend funding. See notes 12-16.</t>
  </si>
  <si>
    <t>18. 2015/16 Final Indicative Budget Share: Indicative 2015/16 funding (11) relating to the main special school formula factors including MFG funding where applicable (place and top up) and Other Special School funding Arrangements (17).</t>
  </si>
  <si>
    <t xml:space="preserve">19. School Band Profile: The schools percentage banding profile across the five band descriptors moderated in January 2014 by the Local Authority and a special school head teacher from another school.    </t>
  </si>
  <si>
    <t>7. Place-led Funding: The agreed place-led funding determined by the DfE (£10,000). Place funding for both pre-16 and post-16 are the same monetary value.</t>
  </si>
  <si>
    <t>A ratio of 2.5 to 1, requires for every 10 children, 1 Teacher &amp; 3 TAs.</t>
  </si>
  <si>
    <t>A ratio of 5 to 1, requires for every 10 children, 1 Teacher &amp; 1 TA.</t>
  </si>
  <si>
    <t>A ratio of 6 to 1, requires for every 12 children, 1 Teacher &amp; 1 TA.</t>
  </si>
  <si>
    <t xml:space="preserve">Supplement factor to be applied to take into account the further access to programmes offered by schools. </t>
  </si>
  <si>
    <t>Description: further detail provided relating to the principles of the band values</t>
  </si>
  <si>
    <t>25. Special Schools funding block allocations for 2015/16. The block allocations remain cash flat for 2015/16.</t>
  </si>
  <si>
    <t>16. One-off DSG underspend allocation: Following consultation with Schools Forum in October 2014, the Local Authority decided to allocate £5m of the DSG underspend carried forward at 31st March 2014 to all schools. This one-off sum is treated outside of the main special schools formula, and a special schools share of the funding is determined by the schools non-staffing block group size classification. It is imperative for financial planning purposes that special schools do not build this into their medium term finance planning from 2016/17 and beyond.</t>
  </si>
  <si>
    <t xml:space="preserve">7. The Total Indicative top up funding based on the agreed number of places. </t>
  </si>
  <si>
    <t>* Top up Funding;</t>
  </si>
  <si>
    <t>* The agreed number of pre-16 and post-16 places, and the total place-led funding;</t>
  </si>
  <si>
    <t>* Indicative top up funding for pre-16 and post-16 pupils, and the indicative total top up funding;</t>
  </si>
  <si>
    <t>Need to check the Assessment Places arrangement</t>
  </si>
  <si>
    <t xml:space="preserve">
1. Calculation required for minimum funding guarantee (MFG) purposes: Lincolnshire's Special Schools funding formula details a schools funding allocations by each factor for 2014/15 (schools published indicative budget for 2014/15 brought forward). 
* Please note: PFI special school block allocations are identified separately from these funding streams for the purpose of calculating the place and top up funding for the MFG.
</t>
  </si>
  <si>
    <t>3. Calculation required for MFG purposes: Indicative place and top up funding for 2015/16 based on Lincolnshire's agreed special schools formula to help determine whether the school is entitled to a MFG allocation.</t>
  </si>
  <si>
    <t xml:space="preserve">20. Commissioned Place Value: The average band value determined for the school based on the school banding profile. This commissioned place value will be used to determine the additional level of funding which a school will receive when they go above the determined funded places across a financial year. The medium term finance plan will allow a school to project such funding. The commissioned place value is there to support the marginal costs of admitting an additional pupil. With the creation of the lagged place funding system for special schools, schools with rising levels of agreed places will need to build this commissioned funding into their current and future years financial planning to ensure the schools overall level of funding is understood. Funding will be allocated through a termly adjustment based on the schools termly return outlining weekly numbers. </t>
  </si>
  <si>
    <t>24. Special school band descriptors detailing staffing ratio's and monetary sums that determine a school banded funding and commissioned place value. The band values remain cash flat for 2015/16, which is the same approach applied for the mainstream and early years sectors.</t>
  </si>
  <si>
    <t xml:space="preserve">4. The total cost per pupil for pre-16 &amp; post-16 pupil for each special school. This total cost per pupil amount is calculated from the agreed special schools funding formula. This includes the fixed costs (namely cost drivers from the staffing and non-staffing blocks), and the variable costs of the banded funding based on the schools moderated pupil profile. </t>
  </si>
  <si>
    <t>21. Designated Assessment Class provision: Number of assessment places agreed by the Local Authority for the period April 15 to March 16. The Local Authority SEND team has circulated guidance to special schools on assessment provision, which outlines the authorisation process.</t>
  </si>
  <si>
    <t>• The funding application for maintained and academy special schools are the same for the special schools funding formula / place &amp; top up funding. For academy special schools, place funding is allocated directly by the EFA (recouped from Lincolnshire's DSG), as opposed to the Local Authority allocating the funding. Top up funding remains the responsibility of the Local Authority.</t>
  </si>
  <si>
    <t xml:space="preserve">4. The MFG protection for 2015/16 budgets applies the following DfE approach: if the funding formula allocations remain the same between the two financial years, the schools budget must not reduce by more than 1.5%. The DfE's MFG arrangements does not protect the school places funding, therefore a schools or academies budget will change if place numbers have changed. Where a school or academies top up rate is greater in 2015/16 than the MFG rate, the 2015/16 top up rate will apply. </t>
  </si>
  <si>
    <t>10. Agreed MFG funding for 2015/16: Calculated by identifying the difference between the top up funding per place (2015/16) and MFG value per place, and multiplied by the 2015/16 place numbers where applicable. This MFG funding is incorporated into the Final Indicative Funding for 2015/16.</t>
  </si>
  <si>
    <t>22. Pre-16 Places: Agreed number of school places for pre-16 provision. The AY2014/15 place numbers have been rolled forward to the AY2015/16 to ensure compliance with the EFA's approach of creating a lagged process. The periods of funding are as follow: April 15 - August 15 and September 15 - March 16.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</si>
  <si>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23. Post-16 Places: Agreed number of school places for post-16 provision. The AY2014/15 place numbers have been rolled forward to the AY2015/16 to ensure compliance with the EFA's approach of creating a lagged process. The periods of funding are as follow: April 15 - July 15 and August 15 - March 16. The in-year adjustments process follows the same principle as pre-16 places (see note: 22).</t>
  </si>
  <si>
    <t xml:space="preserve">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is based on the October 2014 census. 
• For 2015/16, the banded funding which has been previously detailed as one figure per school has been categorised between assessment places; pre-16 / post-16 places, and the band 5 additionality for extended day provision. The fundamental calculations still remain the same, but this approach will provide greater clarity to schools. The band moderation that adjusted banded funding for 2014/15 still remains in place.
• Banded funding would typically reflect the latest October census numbers / places, however the Education Funding Agency (EFA) wish to simplify the places approach by moving to a lagged funding system. The EFA require Local Authorities to carry forward the academic year 2014/15 places to the following academic year. The EFA recognise that this will not necessarily match the exact number of places taken up, but the Local Authority is required to use the higher needs block of the Dedicated Schools Grant (DSG) to meet the small degree of variances mid-year. For Lincolnshire, this is the in-year adjustments process that is undertaken on a termly basis for commissioned place funding or top up funding adjustments.
• Through the creation of the lagged funding system using the academic year 2014/15 places for 2015/16 academic year places,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2015/16:
 Academic Year (AY) 2014/15 places: pre-16 (April 15 - August 15) and post-16 (April 15 - July 15);
 Academic Year (AY) 2015/16 places: pre-16 (September 15 - March 16) and post 16 (August 15 - March 16).
Since AY2014/15 places have been rolled forward to calculate banded funding for AY2015/16, places numbers are the same throughout the period. </t>
  </si>
  <si>
    <t>9. Agreed Top up funding per Place: The higher of the two top up values (MFG 2014/15 rate versus 2015/16 rate) will apply for 2015/16. This agreed top up value calculated a schools indicative top up funding. Top up funding will follow the child, therefore adjustments will be made to reflect real-time movements. Previously, funding was not removed mid-year from special school. Where the number of placement weeks is lower than the indicative top up funding total weeks per term, the school will have top up funding removed for those weeks (based on the schools top up value). This will form part of the termly adjustments process. Please see tabs ''DfE Special Schools Budget Presentation 2015/16' and 'ISB Weightings' for more information.</t>
  </si>
  <si>
    <t>Special Schools Summary</t>
  </si>
  <si>
    <t>Outreach Funding</t>
  </si>
  <si>
    <t>Hospital Schools - Boston Pilgrim</t>
  </si>
  <si>
    <t>Hospital Schools - Ash Villa</t>
  </si>
  <si>
    <t>In-year Commissioned Places</t>
  </si>
  <si>
    <t>Flexibility - last year's budget provision (already budgeted for)</t>
  </si>
  <si>
    <t>Main Special Schools Formula</t>
  </si>
  <si>
    <t>PFI Factor</t>
  </si>
  <si>
    <t>Overall Funding</t>
  </si>
  <si>
    <t>15. Residential (commissioned Arrangements): The Local Authority commissioned a review of residential provision arrangements and is currently considering the outcome of this review. For 2015/16, the same funding allocations roll forward from 2014/15. Memorandum of Understanding's are in place with the two schools.</t>
  </si>
  <si>
    <t>2015/16 Budget Requirement</t>
  </si>
  <si>
    <t>2014/15 Budget Requirement (SAP)</t>
  </si>
  <si>
    <t>Lincolnshire received the following increase in HN funding, which will part support the increase in costs.</t>
  </si>
  <si>
    <t>The shortfall will need to met from Headroom</t>
  </si>
  <si>
    <t>Originally Reported Headroom</t>
  </si>
  <si>
    <t>Revised Headroom Position</t>
  </si>
  <si>
    <t>Budget Shares Spreadsheet (30.03.2015)</t>
  </si>
  <si>
    <t>2014/15 Outreach Pathfinder Funding</t>
  </si>
  <si>
    <t>2014/15</t>
  </si>
  <si>
    <t>Diff.</t>
  </si>
  <si>
    <t>Increase from 9FTE places to 13FTE places.</t>
  </si>
  <si>
    <t>Increase based on final 2013/14 spend.</t>
  </si>
  <si>
    <t>General growth in places.</t>
  </si>
  <si>
    <t>But the Pilgrim school increase is only a temporary measure until the service is reviewed.</t>
  </si>
  <si>
    <t>2016/17 Budget Share Calculations</t>
  </si>
  <si>
    <t>Numbers agreed as per EFA return (2015/16 Return)</t>
  </si>
  <si>
    <t>Special Schools Funding - Lincolnshire Model 2016/17 - Pre &amp; Post 16 Children</t>
  </si>
  <si>
    <t>2016/17 Final Indicative Budget Share</t>
  </si>
  <si>
    <t>2015/16 Funding</t>
  </si>
  <si>
    <t>Original 2016/17 Funding</t>
  </si>
  <si>
    <t>Final Indicative Funding for 2016/17</t>
  </si>
  <si>
    <t>Indicative 2016/17 Funding</t>
  </si>
  <si>
    <t>Average 2015/16</t>
  </si>
  <si>
    <t>2016/17</t>
  </si>
  <si>
    <t>Agreed Top up Funding Per Place 2016/17</t>
  </si>
  <si>
    <t>Agreed MFG Funding 2016/17</t>
  </si>
  <si>
    <t>2016-17 Portage Approach</t>
  </si>
  <si>
    <t>2016-17 Specialist Schools Funding</t>
  </si>
  <si>
    <t>2016-17 Outreach Funding</t>
  </si>
  <si>
    <t>2016-17 Pathfinder Outreach Funding</t>
  </si>
  <si>
    <t xml:space="preserve">2016-17 Residential Funding </t>
  </si>
  <si>
    <t>Agreed 2016/17 Place Numbers</t>
  </si>
  <si>
    <t>Assessment: April 16 - August 16</t>
  </si>
  <si>
    <t>Assessment: September 16 - March 17</t>
  </si>
  <si>
    <t>Pre-16: April 16 - August 16</t>
  </si>
  <si>
    <t>Pre-16: September 16 - March 17</t>
  </si>
  <si>
    <t>Post-16: April 16 - July 16</t>
  </si>
  <si>
    <t>Post-16: August 16 - March 17</t>
  </si>
  <si>
    <t>3. Calculation required for MFG purposes: Indicative place and top up funding for 2016/17 based on Lincolnshire's agreed special schools formula to help determine whether the school is entitled to a MFG allocation.</t>
  </si>
  <si>
    <t xml:space="preserve">8. Top up funding per place: Deducting the £10,000 place-led funding from the total cost per place to identify the top up funding rates for the MFG protection and the 2016/17 value. </t>
  </si>
  <si>
    <t>* Commissioned Funding (namely, Residential Funding, Outreach and Portage)</t>
  </si>
  <si>
    <t>A</t>
  </si>
  <si>
    <t>2016/17 Places</t>
  </si>
  <si>
    <t>2015/16 Outreach Pathfinder Funding</t>
  </si>
  <si>
    <t>2016/17 Budget Requirement</t>
  </si>
  <si>
    <t>decrease due to one-off DSG funding</t>
  </si>
  <si>
    <t>2015/16 Budget Requirement (Agresso)</t>
  </si>
  <si>
    <t>Sum</t>
  </si>
  <si>
    <t>Residential Funding - movement from Grant to the DSG</t>
  </si>
  <si>
    <t xml:space="preserve">MP </t>
  </si>
  <si>
    <t>21.02.2016</t>
  </si>
  <si>
    <t>MP Notes / Checks</t>
  </si>
  <si>
    <t>Band profiles remain the same as the prior year.</t>
  </si>
  <si>
    <r>
      <t xml:space="preserve">Group size classification: 5 schools have had an increase in its groups size (1) Willoughby and St Lawrence were downgraded in 2015/16; Fortuna is a growing school and is the same group size as the secondary BESD schools; (3) Garth and Ambergate places have increased based on the Autumn 2015 census, which pupil numbers / staff are used for the group size calculation. </t>
    </r>
    <r>
      <rPr>
        <b/>
        <sz val="10"/>
        <color theme="4" tint="-0.249977111117893"/>
        <rFont val="Arial"/>
        <family val="2"/>
      </rPr>
      <t>DL to check current and previous thresholds for reasonableness check. In additional, LJF group size to be checked.</t>
    </r>
  </si>
  <si>
    <t>Group sizes: accurately brought forward into 2016/17 Funding Detail tab.</t>
  </si>
  <si>
    <t>Explainable / Reasonable</t>
  </si>
  <si>
    <t>2015/16 Final Published Figure</t>
  </si>
  <si>
    <t>To be updated</t>
  </si>
  <si>
    <t>Banding Increase</t>
  </si>
  <si>
    <t>Place Number Increase</t>
  </si>
  <si>
    <t>Cost per Band</t>
  </si>
  <si>
    <t>Passes Reasonable Test</t>
  </si>
  <si>
    <t>Special Schools Funding Formula 2016/17</t>
  </si>
  <si>
    <t xml:space="preserve">4. The MFG protection for 2016/17 budgets applies the following DfE approach: if the funding formula allocations remain the same between the two financial years, the schools budget must not reduce by more than 1.5%. The DfE's MFG arrangements however does not protect the school places funding, therefore a schools or academies budget will change if place numbers have changed. Where a school or academies top up rate is greater in 2016/17 than the MFG rate, the 2016/17 top up rate will apply. </t>
  </si>
  <si>
    <t>9. Agreed Top up funding per Place: The higher of the two top up values (MFG 2015/16 rate versus 2016/17 rate) will apply for 2016/17. This agreed top up value calculates a schools indicative top up funding. Top up funding will follow the child, therefore adjustments will be made to reflect real-time movements. Prior to the school funding reforms of 2013/14, funding was not removed mid-year from special school. Where the number of placement weeks is lower than the indicative top up funding total weeks per term, the school will have top up funding removed for those weeks (based on the schools top up value). This will form part of the termly adjustments process. Please see tabs ''DfE Special Schools Budget Presentation 2016/17' and 'ISB Weightings' for more information.</t>
  </si>
  <si>
    <t>10. Agreed MFG funding for 2016/17: Calculated by identifying the difference between the top up funding per place (2016/17) and MFG value per place, and multiplied by the 2016/17 place numbers, where applicable. This MFG funding is incorporated into the Final Indicative Funding for 2016/17.</t>
  </si>
  <si>
    <t>17. Total Other Special Schools Funding Arrangements: the total funding relating to site factor arrangements and commissioned functions (notes: 12 to 16).</t>
  </si>
  <si>
    <t xml:space="preserve">14. Portage (commissioned arrangements): A Memorandum of Understanding has been established between the commissioned school and Local Authority outlining the desired outcomes from this funding. This continues to be an annual agreement, and a standard allocation per school (£35,258). </t>
  </si>
  <si>
    <t>18. 2016/17 Final Indicative Budget Share: Indicative 2016/17 funding (11) relating to the main special school formula factors including MFG funding where applicable (place and top up) and Other Special School funding Arrangements (17).</t>
  </si>
  <si>
    <t>21. Designated Assessment Class provision: Number of assessment places from 2015/16 funding will only continue for the period April 16 to August 16. Assessment places for the 2016/17 academic year have not been built into the agreed place numbers, since a review is taking place on how assessment provision should operate in Lincolnshire going forward.</t>
  </si>
  <si>
    <t>24. Special school band descriptors detailing staffing ratio's and monetary sums that determine a school banded funding and commissioned place value. The band values remain cash flat for 2016/17, which is the same approach applied for the mainstream and early years sectors.</t>
  </si>
  <si>
    <t>25. Special Schools funding block allocations for 2016/17. The block allocations remain cash flat for 2016/17.</t>
  </si>
  <si>
    <r>
      <t>12. Site Factor - PFI Block Allocation: the PFI Block formula factor is treated outside of the place and top up funding arrangements, due to the contractual relationship entered into by the Local Authority / school. This is an allowable exception. The charge applicable to the school will equal the PFI Block value. The PFI charge is based on the school's share of the overall floor space of the seven PFI school buildings.</t>
    </r>
    <r>
      <rPr>
        <sz val="10"/>
        <color rgb="FFFF0000"/>
        <rFont val="Arial"/>
        <family val="2"/>
      </rPr>
      <t xml:space="preserve"> </t>
    </r>
  </si>
  <si>
    <t>13: Site Factor - Split Site allocation: where a single school operates over two or more locations and meets the split site policy criteria, schools are entitled to funding which represents the additional costs of operation compared to being on one site.</t>
  </si>
  <si>
    <t>Split Site Allocation</t>
  </si>
  <si>
    <t>23. Post-16 Places: Agreed number of school places for post-16 provision. The AY2015/16 place numbers have been rolled forward to the AY2016/17 to ensure compliance with the School Funding Regulations. The periods of funding are as follow: April 16 - July 16 and August 16 - March 17. The in-year adjustments process follows the same principle as pre-16 places (see note: 22).</t>
  </si>
  <si>
    <t>5 / 6. The indicative top up funding is making the assumption that the number of agreed places will be fully utilised with pupils throughout the financial year. Since the top up funding follows the child, this indicative top up funding may change during the financial year. Special schools are required to submit a termly return detailing the number of pupils present in the school each week, which will enable the LA to adjust the total top up funding accordingly. Schools can use this tool to understand funding changes that may take place where pupil numbers vary compared to the agreed place numbers.</t>
  </si>
  <si>
    <t>April-August pre-16 place number accurate - reflect LJF increase from 55 to 60 places; Gainsborough pre &amp; post-16 number adjustment (no change overall) and Willoughby removal of assessment places (not in operation) to pre-16 places.</t>
  </si>
  <si>
    <t>Post 16 place numbers accurately brought forward from 2015/16.</t>
  </si>
  <si>
    <t>Post 16 place numbers accurately brought forward from 2015/16 due to school regulations.</t>
  </si>
  <si>
    <t>Place numbers are aligned to agreements made with schools.</t>
  </si>
  <si>
    <t xml:space="preserve">1. Calculation required for minimum funding guarantee (MFG) purposes: Lincolnshire's Special Schools funding formula details a schools funding allocation by each factor for 2015/16 (schools published indicative budget for 2015/16 brought forward). 
* Please note: PFI special school block allocations and split-site factor are identified separately from these funding streams for the purpose of calculating the place and top up funding for the MFG.
</t>
  </si>
  <si>
    <t xml:space="preserve">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are based on the October 2015 census. 
• Banded funding continues to be categorised between assessment places; pre-16 / post-16 places, and the band 5 additionality for extended day provision. The fundamental calculations remain the same, but this approach is to provide greater clarity to schools. Assessment places for the 2016/17 academic year have not been built into the agreed place numbers for that period, since a review is taking place on how assessment provision should operate in Lincolnshire going forward. The band moderation that adjusted banded funding for 2014/15 still remains in place.
• The Education Funding Agency (EFA) process for agreeing place numbers is based on a lagged funding system due to EFA timing requirements (namely, using Autumn 2015 data to influence 2016/17 academic year place numbers). Local Authorities have the ability to change place numbers for the 2016/17 academic year as per the published DfE high needs guidance (unlike in 2015/16), which Lincolnshire has acted upon. 
• The Local Authority has consulted with all special schools on 2016/17 academic year place numbers and the agreed places are reflected in the 2016/17 indicative budget share through the banded funding. Due to the Schools Funding Regulations requiring the carry forward of the academic year 2015/16 'post-16 places' to the following academic year, place number adjustments are reflected in the pre-16 place numbers. 
• The Local Authority intentions were to ensure place numbers typically reflect the pupil numbers in the school, albeit a year lagged, by using the autumn 2015 pupil information. The Local Authority feel the lagged approach outlined is a good balance between giving schools financial certainty of funding and ensuring place numbers typically reflect those placed in your school. The latter will ensure effective use of resources for the public purse (namely, Lincolnshire's Dedicated Schools Grant). Where a special school encounters a change in pupil numbers, the in-year adjustments process that is undertaken on a termly basis for commissioned place funding or top up funding adjustments will need consideration by the school.
• Through the creation of the lagged funding system,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2016/17:
 Academic Year (AY) 2015/16 places: pre-16 (April 16 - August 16) and post-16 (April 16 - July 16);
 Academic Year (AY) 2016/17 places: pre-16 (September 16 - March 17) and post 16 (August 16 - March 17).
</t>
  </si>
  <si>
    <t>5. Number on Roll: The Average Number / Places agreed across the financial year are based on those  agreed with schools / EFA. As outlined in section 2, post 16 place numbers for the AY2015/16 have been rolled forward for AY2016/17 due to School Funding Regulation requirements.</t>
  </si>
  <si>
    <t xml:space="preserve">11. Indicative Funding for 2016/17 inclusive of the MFG allocation (where applicable) relating to place and top up arrangements. The section provides a clear audit trail of how Lincolnshire special schools are funded through the agreed formula factors for 2016/17, before being presented through the DfE's place and top up arrangements. </t>
  </si>
  <si>
    <t>16. Residential (commissioned arrangements): The current arrangements will continue in 2016/17. The residential arrangements are however subject to the wider review of special schools provision.</t>
  </si>
  <si>
    <r>
      <rPr>
        <u/>
        <sz val="10"/>
        <color rgb="FFFF0000"/>
        <rFont val="Arial"/>
        <family val="2"/>
      </rPr>
      <t>St Christopher's</t>
    </r>
    <r>
      <rPr>
        <sz val="10"/>
        <color rgb="FFFF0000"/>
        <rFont val="Arial"/>
        <family val="2"/>
      </rPr>
      <t>: the cost place value is below £10,000 (negative value top up / MFG top up), therefore cell U14 has had an 'if statement' added to put it back to a zero top up. The split site factor has been removed from place and top up funding total.</t>
    </r>
  </si>
  <si>
    <r>
      <rPr>
        <u/>
        <sz val="10"/>
        <color rgb="FFFF0000"/>
        <rFont val="Arial"/>
        <family val="2"/>
      </rPr>
      <t>St Christopher's</t>
    </r>
    <r>
      <rPr>
        <sz val="10"/>
        <color rgb="FFFF0000"/>
        <rFont val="Arial"/>
        <family val="2"/>
      </rPr>
      <t>: removal of the split site factor from the place and top up funding: as opposed to re-calculating the schools budget to 2013/14 when the split site arrangement was established, the preferred option is to lockdown the MFG monetary value for 2015/16 received by the school, and then to remove split site factor allocation from the 2015/16 and 2016/17 financial years for inclusion in the place and top up funding.</t>
    </r>
  </si>
  <si>
    <t>Split Site Factor</t>
  </si>
  <si>
    <t>15. Outreach (commissioned arrangements): The outreach arrangements for physical difficulties and learning difficulties have been awarded, and the schools funding represents this new arrangement in place. The length of the contract is for the period 1st September 2015 to 31st August 2018.</t>
  </si>
  <si>
    <t>* Place-led Funding;</t>
  </si>
  <si>
    <t>22. Pre-16 Places: Agreed number of school places for pre-16 provision. The AY2016/17 numbers represent the variance between total number of places to be funded, less the number of post-16 places rolled forward from the AY2015/16 to ensure compliance with the School Regulations. The periods of funding are as follow: April 16 - August 16 (AY2015/16 brought forward places) and September 16 - March 17 (newly agreed places).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</si>
  <si>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2017/18 Budget Share Calculations</t>
  </si>
  <si>
    <t>Numbers agreed as per EFA return (2016/17 Return)</t>
  </si>
  <si>
    <t>2017-18 Portage Approach</t>
  </si>
  <si>
    <t>2017-18 Specialist Schools Funding</t>
  </si>
  <si>
    <t>2017-18 Outreach Funding</t>
  </si>
  <si>
    <t>2017-18 Pathfinder Outreach Funding</t>
  </si>
  <si>
    <t xml:space="preserve">2017-18 Residential Funding </t>
  </si>
  <si>
    <t>Special Schools Funding - Lincolnshire Model 2017/18 - Pre &amp; Post 16 Children</t>
  </si>
  <si>
    <t>2017/18 Places</t>
  </si>
  <si>
    <t xml:space="preserve">FSM as at Oct 16 </t>
  </si>
  <si>
    <t>2016/17 Allocation</t>
  </si>
  <si>
    <t>2016/17 Funding</t>
  </si>
  <si>
    <t>Original 2017/18 Funding</t>
  </si>
  <si>
    <t>Average 2016/17</t>
  </si>
  <si>
    <t>Agreed MFG Funding 2017/18</t>
  </si>
  <si>
    <t>2017/18</t>
  </si>
  <si>
    <t>Final Indicative Funding for 2017/18</t>
  </si>
  <si>
    <t>Indicative 2017/18 Funding</t>
  </si>
  <si>
    <t>3. Calculation required for MFG purposes: Indicative place and top up funding for 2017/18 based on Lincolnshire's agreed special schools formula to help determine whether the school is entitled to a MFG allocation.</t>
  </si>
  <si>
    <t>2017/18 Final Indicative Budget Share</t>
  </si>
  <si>
    <t>2017/18 Budget Requirement (Agresso)</t>
  </si>
  <si>
    <t>To be funded from Headroom?</t>
  </si>
  <si>
    <t>Agreed 2017/18 Place Numbers</t>
  </si>
  <si>
    <t>Special Schools Funding Formula 2017/18</t>
  </si>
  <si>
    <t>Band 4+</t>
  </si>
  <si>
    <t>1 to 1 Ratio</t>
  </si>
  <si>
    <t>2017/18 Budget Requirement</t>
  </si>
  <si>
    <t>You only need to enter the DfE number of your school in cell D4 (highlighted in yellow).</t>
  </si>
  <si>
    <t>You only need to enter the DfE number of your school in cell B5 (highlighted in yellow).</t>
  </si>
  <si>
    <t>Pre-16: April 17 - August 17</t>
  </si>
  <si>
    <t>Pre-16: September 17 - March 18</t>
  </si>
  <si>
    <t>Post-16: April 17 - July 17</t>
  </si>
  <si>
    <t>Post-16: August 17 - March 18</t>
  </si>
  <si>
    <t>2017/18 Portage Requirement Jan 17 - Mar 18</t>
  </si>
  <si>
    <t>Variable Budget</t>
  </si>
  <si>
    <t>Per Pupil Variable Budget</t>
  </si>
  <si>
    <t>MFG Per Pupil Variable Budget</t>
  </si>
  <si>
    <t>MFG is for the protection of Pupil-led Funding</t>
  </si>
  <si>
    <t>MFG Funding</t>
  </si>
  <si>
    <t>Total Funding (with MFG)</t>
  </si>
  <si>
    <t>Minimum £10,000pp Funding</t>
  </si>
  <si>
    <t>DfE Place Funding Adjustment</t>
  </si>
  <si>
    <t>Original Calculation</t>
  </si>
  <si>
    <t>Total Top Up Funding</t>
  </si>
  <si>
    <t>Top Up Funding PP</t>
  </si>
  <si>
    <t>Average 2017/18</t>
  </si>
  <si>
    <t>A ratio of 1 TA to 1 child.</t>
  </si>
  <si>
    <t>Total Cost Per Place</t>
  </si>
  <si>
    <t xml:space="preserve">1. Calculation required for minimum funding guarantee (MFG) purposes: Lincolnshire's Special Schools funding formula details a schools funding allocation by each factor for 2016/17 (schools published indicative budget for 2016/17 brought forward). </t>
  </si>
  <si>
    <t>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are based on the October 2016 census. 
• Banded funding continues to be categorised between pre-16 &amp; post-16 places, and the band 5 additionality for extended day provision. The fundamental calculations remain the same, but this approach is to provide greater clarity to schools. The band moderation that adjusted banded funding for 2014/15 has been applied for indicative budget shares. Adjustments will however be made to the 2017/18 budget share information upon the current moderation exercise reaching a conclusion. 
• The Education Funding Agency (EFA) process for agreeing place numbers is based on a lagged funding system due to EFA timing requirements (namely, using Autumn 2016 data to influence 2017/18 academic year place numbers). Local Authorities have the ability to change place numbers for the 2017/18 academic year as per the published DfE high needs guidance, which Lincolnshire has acted upon. 
• The Local Authority has consulted with all special schools on 2017/18 academic year place numbers and the agreed places are reflected in the 2017/18 indicative budget share through the banded funding. 
• The Local Authority intentions were to ensure place numbers typically reflect the pupil numbers in the school, albeit a year lagged, by using the Autumn 2016 pupil information. The Local Authority feel the lagged approach outlined is a good balance between giving schools financial certainty of funding and ensuring place numbers typically reflect those placed in your school. The latter will ensure effective use of resources for the public purse (namely, Lincolnshire's Dedicated Schools Grant). Where a special school encounters a change in pupil numbers, the in-year adjustments process that is undertaken on a termly basis for commissioned place funding or top up funding adjustments will need consideration by the school.
• Through the creation of the lagged funding system,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2017/18:
 Academic Year (AY) 2016/17 places: pre-16 (April 17 - August 17) and post-16 (April 17 - July 17);
 Academic Year (AY) 2017/18 places: pre-16 (September 17 - March 18) and post 16 (August 17 - March 18).</t>
  </si>
  <si>
    <t xml:space="preserve">4. The MFG protection for 2017/18 budgets applies the following approach: considers the per pupil (variable) funding of a schools funding (banded funding, Free School Meals &amp; former MFG protection funding). If the per pupil funding formula allocations remain the same between the two financial years, the schools budget must not reduce by more than 1.5%. The DfE's MFG arrangements however does not protect the school places funding, therefore a schools or academies budget will change if place numbers have changed. Where a school or academies per pupil rate is greater in 2017/18 than the MFG rate, the 2017/18 per pupil rate will apply. </t>
  </si>
  <si>
    <t xml:space="preserve">5. Number on Roll: The Average Number / Places agreed across the financial year are based on those agreed with schools / EFA. </t>
  </si>
  <si>
    <r>
      <t>Pupil-led Funding for Minimum Funding Guarantee (</t>
    </r>
    <r>
      <rPr>
        <i/>
        <sz val="10"/>
        <rFont val="Arial"/>
        <family val="2"/>
      </rPr>
      <t>MFG</t>
    </r>
    <r>
      <rPr>
        <sz val="10"/>
        <rFont val="Arial"/>
        <family val="2"/>
      </rPr>
      <t>)</t>
    </r>
  </si>
  <si>
    <t>7. Minus 1.5% Protection of Pupil-led Funding (MFG): The pupil-led value is reduced by minus 1.5% to identify the minimum per pupil-led value the school can receive.</t>
  </si>
  <si>
    <r>
      <t>6. Per Pupil-led Value (MFG): The per pupil-led value for 2016/17 and 2017/18 financial years. The average number / places agreed are divided into the total pupil-led funding.</t>
    </r>
    <r>
      <rPr>
        <i/>
        <sz val="10"/>
        <rFont val="Arial"/>
        <family val="2"/>
      </rPr>
      <t xml:space="preserve"> </t>
    </r>
  </si>
  <si>
    <r>
      <t xml:space="preserve">Per Pupil-led Value </t>
    </r>
    <r>
      <rPr>
        <i/>
        <sz val="10"/>
        <rFont val="Arial"/>
        <family val="2"/>
      </rPr>
      <t>(MFG)</t>
    </r>
  </si>
  <si>
    <r>
      <t xml:space="preserve">Minus 1.5% Protection of Per Pupil-led Value </t>
    </r>
    <r>
      <rPr>
        <i/>
        <sz val="10"/>
        <rFont val="Arial"/>
        <family val="2"/>
      </rPr>
      <t>(MFG)</t>
    </r>
  </si>
  <si>
    <t xml:space="preserve">9. Indicative Funding for 2017/18 inclusive of the MFG allocation (where applicable) relating to place and top up arrangements. The section provides a clear audit trail of how Lincolnshire special schools are funded through the agreed formula factors for 2017/18, before being presented through the DfE's place and top up arrangements. </t>
  </si>
  <si>
    <t>11: Site Factor - Split Site allocation: where a single school operates over two or more locations and meets the split site policy criteria, schools are entitled to funding which represents the additional costs of operation compared to being on one site.</t>
  </si>
  <si>
    <r>
      <t>10.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the PFI Block value. The PFI charge is based on the school's share of the overall floor space of the seven PFI school buildings.</t>
    </r>
    <r>
      <rPr>
        <sz val="10"/>
        <color rgb="FFFF0000"/>
        <rFont val="Arial"/>
        <family val="2"/>
      </rPr>
      <t xml:space="preserve"> </t>
    </r>
  </si>
  <si>
    <t>12. Portage (commissioned arrangements): A Memorandum of Understanding is established between the commissioned schools and Local Authority outlining the desired outcomes from this funding. Funding for 2017/18 will cover April 17 to December 17 only (£26,444), with a view to a new model being in place for January 2018.</t>
  </si>
  <si>
    <t>13. Outreach (commissioned arrangements): The outreach arrangements for physical difficulties and learning difficulties have been awarded, and the schools funding represents this current arrangement. The length of the contract is for the period 1st September 2015 to 31st August 2018.</t>
  </si>
  <si>
    <t>14. Residential (commissioned arrangements): The current arrangements will continue in 2017/18.</t>
  </si>
  <si>
    <t>15. Total Other Special Schools Funding Arrangements: the total funding relating to site factor arrangements and commissioned functions (notes: 10 to 14).</t>
  </si>
  <si>
    <t>16. 2017/18 Final Indicative Budget Share: Indicative 2017/18 funding (9) relating to the main special school formula factors including MFG funding where applicable, and Other Special School funding Arrangements (15).</t>
  </si>
  <si>
    <t xml:space="preserve">17. School Band Profile: The schools percentage banding profile across the five band descriptors moderated in January 2014 by the Local Authority and a special school head teacher from another school. Band profiles will be adjusted and budget shares re-issued following the conclusion of the current band moderation exercise that is being undertaken.  </t>
  </si>
  <si>
    <t xml:space="preserve">18. Commissioned Place Value: The average band value determined for the school based on the school banding profile. This commissioned place value will be used to determine the additional level of funding that a school will receive when they go above the determined funded places across a financial year. The medium term finance plan will allow a school to project such funding. The commissioned place value is there to support the marginal costs of admitting an additional pupil. With the creation of the lagged place funding system for special schools, schools with rising levels of agreed places will need to build this commissioned funding into their current and future years financial planning to ensure the schools overall level of funding is understood. Funding will be allocated through a termly adjustment based on the schools termly return outlining weekly numbers. </t>
  </si>
  <si>
    <t>19. Pre-16 Places: Agreed number of school places for pre-16 provision. The periods of funding are as follow: April 17 - August 17 (AY2016/17 brought forward places) and September 17 - March 18 (newly agreed places).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</si>
  <si>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20. Post-16 Places: Agreed number of school places for post-16 provision. The periods of funding are as follow: April 17 - July 17 and August 17 - March 18. The in-year adjustments process follows the same principle as pre-16 places (see note: 19).</t>
  </si>
  <si>
    <t>22. Special Schools funding block allocations for 2017/18. The block allocations remain cash flat for 2017/18.</t>
  </si>
  <si>
    <t>* Special School Academies Budget Share</t>
  </si>
  <si>
    <t>* The budget shares, populated through DfE place and top-up funding</t>
  </si>
  <si>
    <t>Budget Shares</t>
  </si>
  <si>
    <t>21. Special school band descriptors detailing staffing ratio's and monetary sums that determine a school banded funding and commissioned place value. The band values remain cash flat for 2017/18, which is the same approach applied for the mainstream schools. A new band (Band 4+) has been included within the budget share information, which is reflective of current costs for one to one support. Following the conclusion of the moderation exercise, the necessary funding adjustments will be required for each special school.</t>
  </si>
  <si>
    <t>8. Agreed MFG Funding for 2017/18: The higher of the two per pupil-led values (MFG 2016/17 rate versus 2017/18 rate) will apply for 2017/18. Where the MFG 2016/17 rate is the higher of the two per pupil values, the MFG funding is determined by identifying the difference between the two amounts per pupil, and multiplying this value by the 2017/18 pupil numbers. This MFG funding is included within the overall funding for 2017/18. Where a school with a 2017/18 per pupil value greater than the 2016/17 MFG rate, no MFG funding will be applicable. A schools minimum funding level determined by the DfE is £10,000 per place, therefore where the local funding formula identifies an amount below this figure (primarily down to the size of the operation) additional funding is applied.</t>
  </si>
  <si>
    <t>% Band 4+</t>
  </si>
  <si>
    <t>%Band 4+</t>
  </si>
  <si>
    <t>Original Published Ave. Band Value</t>
  </si>
  <si>
    <t>Comparison</t>
  </si>
  <si>
    <t>Original</t>
  </si>
  <si>
    <t>Revised</t>
  </si>
  <si>
    <t>Total Modreations</t>
  </si>
  <si>
    <t>Band 2+</t>
  </si>
  <si>
    <t xml:space="preserve">% Band 2+ </t>
  </si>
  <si>
    <t xml:space="preserve">% Band 4+ </t>
  </si>
  <si>
    <t>2018/19 Budget Share Calculations</t>
  </si>
  <si>
    <t>Numbers agreed as per EFA return (2017/18 Return)</t>
  </si>
  <si>
    <t>Special Schools Funding - Lincolnshire Model 2018/19 - Pre &amp; Post 16 Children</t>
  </si>
  <si>
    <t>2018/19 Places</t>
  </si>
  <si>
    <t>Revised Published Ave. Band Value</t>
  </si>
  <si>
    <t>Need to consider how the band values have fallen.</t>
  </si>
  <si>
    <t>Band 4 Plus</t>
  </si>
  <si>
    <t>2018/19 Band Values</t>
  </si>
  <si>
    <t>Need to consider what baseline should be used.</t>
  </si>
  <si>
    <t>Baseline for MFG purposes using the original publication for 2018/19</t>
  </si>
  <si>
    <t>2 to 1 Ratio</t>
  </si>
  <si>
    <t>A ratio of 2 to 1, requires for every 8 children, 1 Teacher &amp; 3 TAs.</t>
  </si>
  <si>
    <t>A ratio of 2 to 1, requires for every 6 children, 1 Teacher &amp; 2 TAs.</t>
  </si>
  <si>
    <t>Variances</t>
  </si>
  <si>
    <t>2+</t>
  </si>
  <si>
    <t>4+</t>
  </si>
  <si>
    <t>17/18</t>
  </si>
  <si>
    <t>Group 2</t>
  </si>
  <si>
    <t>£500k-600k</t>
  </si>
  <si>
    <t>£600k-800k</t>
  </si>
  <si>
    <t>£1200k-1300k</t>
  </si>
  <si>
    <t>£1300k-1600k</t>
  </si>
  <si>
    <t>Group 7</t>
  </si>
  <si>
    <t>£2000k +</t>
  </si>
  <si>
    <t>£0-£300k</t>
  </si>
  <si>
    <t>£400k-£600k</t>
  </si>
  <si>
    <t>£300k-400k</t>
  </si>
  <si>
    <t>£1900k +</t>
  </si>
  <si>
    <t>£1800k-1900k</t>
  </si>
  <si>
    <t>£1500k-1800k</t>
  </si>
  <si>
    <t>£1400k-1500k</t>
  </si>
  <si>
    <t>Non-Staffing</t>
  </si>
  <si>
    <t>Staffing</t>
  </si>
  <si>
    <t>18/19</t>
  </si>
  <si>
    <t>Original Mix</t>
  </si>
  <si>
    <t>Total Band Value</t>
  </si>
  <si>
    <t>Non-Staf'</t>
  </si>
  <si>
    <t>2a</t>
  </si>
  <si>
    <t>2b</t>
  </si>
  <si>
    <t>Ash Villa</t>
  </si>
  <si>
    <t>v.1</t>
  </si>
  <si>
    <t>Check Sandon - after Reorg</t>
  </si>
  <si>
    <t>PFI</t>
  </si>
  <si>
    <t>Deleted (inc. Non-staffing)</t>
  </si>
  <si>
    <t>Staffing &amp; Non-staffing Block</t>
  </si>
  <si>
    <t>Pilgrim School</t>
  </si>
  <si>
    <t>Places:</t>
  </si>
  <si>
    <t>TLC</t>
  </si>
  <si>
    <t>Banded</t>
  </si>
  <si>
    <t>Lump Sum</t>
  </si>
  <si>
    <t>Per Centre</t>
  </si>
  <si>
    <t>x4</t>
  </si>
  <si>
    <t>Original Budget</t>
  </si>
  <si>
    <t>To be released</t>
  </si>
  <si>
    <t>Based on Band 5 plus additionality</t>
  </si>
  <si>
    <t>The cost of a band may be lower.</t>
  </si>
  <si>
    <t>Staffing and Non-staffing Block</t>
  </si>
  <si>
    <t>School Size 3</t>
  </si>
  <si>
    <t>School Size 4</t>
  </si>
  <si>
    <t>School Size 5</t>
  </si>
  <si>
    <t>School Size 6</t>
  </si>
  <si>
    <t>School Size 7</t>
  </si>
  <si>
    <t>School Size 8</t>
  </si>
  <si>
    <t>School Size 3 Transition Point</t>
  </si>
  <si>
    <t>School Size 4 Transition Point</t>
  </si>
  <si>
    <t>School Size 7 Transition Point</t>
  </si>
  <si>
    <t>School Size 5 Transition Point</t>
  </si>
  <si>
    <t>School Size 6 Transition Point</t>
  </si>
  <si>
    <t>Non-staffing Block</t>
  </si>
  <si>
    <t>PFI School Size 3</t>
  </si>
  <si>
    <t>PFI School Size 3 Transition Point</t>
  </si>
  <si>
    <t>PFI School Size 4</t>
  </si>
  <si>
    <t>PFI School Size 4 Transition Point</t>
  </si>
  <si>
    <t>PFI School Size 5</t>
  </si>
  <si>
    <t>Banding Value Categorises (£ up to)</t>
  </si>
  <si>
    <t>Number on Roll (Place Numbers)</t>
  </si>
  <si>
    <t>Warren Wood Specialist Academy</t>
  </si>
  <si>
    <t>Aegir Specialist Academy</t>
  </si>
  <si>
    <t>Athena School</t>
  </si>
  <si>
    <t>Woodlands Academy</t>
  </si>
  <si>
    <t>Phoenix Academy Trust</t>
  </si>
  <si>
    <t>John Fielding School</t>
  </si>
  <si>
    <t>Sandon School</t>
  </si>
  <si>
    <t>Ambergate Sports College</t>
  </si>
  <si>
    <t>St Bernard's School</t>
  </si>
  <si>
    <t>Eresby Special School</t>
  </si>
  <si>
    <t>St Lawrence School</t>
  </si>
  <si>
    <t>Initial Modelling Approach</t>
  </si>
  <si>
    <t>Current group sizes</t>
  </si>
  <si>
    <t>Modelling Work</t>
  </si>
  <si>
    <t>To be released but split site arrangements would need to operate</t>
  </si>
  <si>
    <t>MFG %Change</t>
  </si>
  <si>
    <t>MFG %Adjustment</t>
  </si>
  <si>
    <t>Band D (Band 1)</t>
  </si>
  <si>
    <t>Band B (Band 2)</t>
  </si>
  <si>
    <t>Band A (Band 3)</t>
  </si>
  <si>
    <t>Band G (Band 4+)</t>
  </si>
  <si>
    <t>% Band A - 3</t>
  </si>
  <si>
    <t>% Band B - 2</t>
  </si>
  <si>
    <t>% Band D - 1</t>
  </si>
  <si>
    <t>% Band G - 4+</t>
  </si>
  <si>
    <t>% Band C - 5</t>
  </si>
  <si>
    <t>% Band E - 4</t>
  </si>
  <si>
    <t>% Band F - 2+</t>
  </si>
  <si>
    <t>Band C (Band 5)</t>
  </si>
  <si>
    <t>Band E (Band 4)</t>
  </si>
  <si>
    <t>Band F (Band 2+)</t>
  </si>
  <si>
    <t>Band C (Band 5) Additionality</t>
  </si>
  <si>
    <t>Net MFG % Change</t>
  </si>
  <si>
    <t>Categories - Staffing and Non-Staffing Blocks</t>
  </si>
  <si>
    <t>Agreed Approach</t>
  </si>
  <si>
    <t>Growth in Place Numbers</t>
  </si>
  <si>
    <t>Band C Additionality Banded Funding</t>
  </si>
  <si>
    <t>2017/18 Allocation</t>
  </si>
  <si>
    <t xml:space="preserve">FSM taken as at Jan 18 </t>
  </si>
  <si>
    <t>2018-19 Portage Approach</t>
  </si>
  <si>
    <t>2018-19 Specialist Schools Funding</t>
  </si>
  <si>
    <t>2018-19 Outreach Funding</t>
  </si>
  <si>
    <t>2018-19 Pathfinder Outreach Funding</t>
  </si>
  <si>
    <t xml:space="preserve">2018-19 Residential Funding </t>
  </si>
  <si>
    <t>Schools</t>
  </si>
  <si>
    <t>Lump sum</t>
  </si>
  <si>
    <t>Special School places</t>
  </si>
  <si>
    <t>Pilgrim</t>
  </si>
  <si>
    <t>Funding Envelope</t>
  </si>
  <si>
    <t>Per Pupil</t>
  </si>
  <si>
    <t xml:space="preserve"> </t>
  </si>
  <si>
    <t>LS</t>
  </si>
  <si>
    <t>PP</t>
  </si>
  <si>
    <t>Boston Pilgrim</t>
  </si>
  <si>
    <t>Amount to allocate</t>
  </si>
  <si>
    <t>% share of Non-Staffing Block</t>
  </si>
  <si>
    <t>Roundings</t>
  </si>
  <si>
    <t>Pupil-led Element</t>
  </si>
  <si>
    <t>Incremental Rate (£3m)</t>
  </si>
  <si>
    <t>Surplus Amount</t>
  </si>
  <si>
    <t>Additional Amount Per Pupil</t>
  </si>
  <si>
    <t>Added to the £33.75</t>
  </si>
  <si>
    <t>Rounded</t>
  </si>
  <si>
    <t>* In-year Adjustments and Commissioned Places;</t>
  </si>
  <si>
    <t xml:space="preserve">* The band descriptor profile for the school across the seven bands. </t>
  </si>
  <si>
    <t>Funding Summary</t>
  </si>
  <si>
    <t>2018/19</t>
  </si>
  <si>
    <t>Band Moderation / Band Values / Place Numbers</t>
  </si>
  <si>
    <t>RPIX Increases</t>
  </si>
  <si>
    <t>0.5% Settlement / One-Off DSG Underspend</t>
  </si>
  <si>
    <t>2018/19 Budget Requirement</t>
  </si>
  <si>
    <t>Band A</t>
  </si>
  <si>
    <t>Band B</t>
  </si>
  <si>
    <t>Band C</t>
  </si>
  <si>
    <t>Band D</t>
  </si>
  <si>
    <t>Band E</t>
  </si>
  <si>
    <t>Band F</t>
  </si>
  <si>
    <t>Band G</t>
  </si>
  <si>
    <t>2019/20</t>
  </si>
  <si>
    <t>Total Budget Requirement</t>
  </si>
  <si>
    <t>Greenfields Academy</t>
  </si>
  <si>
    <t>Grantham Greenfields Academy</t>
  </si>
  <si>
    <t>2018/19 Allocation</t>
  </si>
  <si>
    <t>Special Schools Funding - Lincolnshire Model 2019/20 - Pre &amp; Post 16 Children</t>
  </si>
  <si>
    <t>2019/20 Budget Share Calculations</t>
  </si>
  <si>
    <t>Numbers agreed as per EFA return (2018/19 Return)</t>
  </si>
  <si>
    <t>April 19 - August 19 (Pre-16)</t>
  </si>
  <si>
    <t>April 19 - July 19 (Post-16)</t>
  </si>
  <si>
    <t>September 19 - March 20 (Pre-16)</t>
  </si>
  <si>
    <t>August 19 - March 20 (Post-16)</t>
  </si>
  <si>
    <t>% Band A</t>
  </si>
  <si>
    <t>% Band B</t>
  </si>
  <si>
    <t>% Band C</t>
  </si>
  <si>
    <t>% Band D</t>
  </si>
  <si>
    <t>% Band E</t>
  </si>
  <si>
    <t>% Band F</t>
  </si>
  <si>
    <t>% Band G</t>
  </si>
  <si>
    <t>Band C Additionality</t>
  </si>
  <si>
    <t>Teacher Costs per Pupil</t>
  </si>
  <si>
    <t>TA Costs per Pupil</t>
  </si>
  <si>
    <t>Midday Supervisor Per Pupil</t>
  </si>
  <si>
    <t>Notes</t>
  </si>
  <si>
    <t>2017/18 Value</t>
  </si>
  <si>
    <t>A ratio of 5 to 1, requires for every 10 children, 1 Teacher &amp; 1 Tas</t>
  </si>
  <si>
    <t>Band 5 - Extended Day Offer</t>
  </si>
  <si>
    <t xml:space="preserve">Supplement factor to be applied to take into account the further access to programmes offered by schools </t>
  </si>
  <si>
    <t>A ratio of 1 to 1</t>
  </si>
  <si>
    <t>What level of staff member is required?</t>
  </si>
  <si>
    <t>Band 1 &amp; 4</t>
  </si>
  <si>
    <t>19/20 Portage Approach</t>
  </si>
  <si>
    <t>19/20 Outreach Funding</t>
  </si>
  <si>
    <t xml:space="preserve">1920 Residential Funding </t>
  </si>
  <si>
    <t xml:space="preserve">% Band B </t>
  </si>
  <si>
    <t xml:space="preserve">% Band C </t>
  </si>
  <si>
    <t xml:space="preserve">% Band D </t>
  </si>
  <si>
    <t xml:space="preserve">% Band E </t>
  </si>
  <si>
    <t xml:space="preserve">% Band F </t>
  </si>
  <si>
    <t xml:space="preserve">% Band G </t>
  </si>
  <si>
    <t>Growth in Place Numbers (63)</t>
  </si>
  <si>
    <t>Variances (18/19 to 19/20)</t>
  </si>
  <si>
    <t>Band Moderation / Place Numbers (63)</t>
  </si>
  <si>
    <t>FSM taken as at Jan 19</t>
  </si>
  <si>
    <t>Proposed Moderations</t>
  </si>
  <si>
    <t>Agreed Moderations</t>
  </si>
  <si>
    <t>1.0% settlement increase on top of 17/18 figures, plus removal of 17/18 DSG underspend</t>
  </si>
  <si>
    <t>Band G 19/20</t>
  </si>
  <si>
    <t>Band G 18/19</t>
  </si>
  <si>
    <t>Decrease</t>
  </si>
  <si>
    <t>1920 MFG Protection</t>
  </si>
  <si>
    <t>2019/20 Places</t>
  </si>
  <si>
    <t>2019/20 Places (less Band G)</t>
  </si>
  <si>
    <t>Band G Funding</t>
  </si>
  <si>
    <t>Pre 16 Places (less Band G)</t>
  </si>
  <si>
    <t>Banded Funding (A - F)</t>
  </si>
  <si>
    <t>Banded Funding (G)</t>
  </si>
  <si>
    <t>V3 MFG Protection</t>
  </si>
  <si>
    <t>Reduction</t>
  </si>
  <si>
    <t>2018/19 Places (less Band G)</t>
  </si>
  <si>
    <t>MFG Amendment for Band G</t>
  </si>
  <si>
    <t>SEMH -  Formula Review</t>
  </si>
  <si>
    <t>The MFG treatment is taking it away due to them previously receiving protection, but the formual is to be reviewed, therefore cannot financially disadvantage them for growing their school. It will need to be incorporated into the baseline for next years funding purposes.</t>
  </si>
  <si>
    <t>Ave. Band Value (Excl. Band G)</t>
  </si>
  <si>
    <t>Further MFG Adjustments - MP</t>
  </si>
  <si>
    <t>Willoughby Moderations</t>
  </si>
  <si>
    <t xml:space="preserve">9. The same approach for in-year changes in numbers on roll for special schools budgets will continue. The main objective is to create a system that will be responsive to provide sufficient funding to enable schools to meet the child’s needs (marginal costs) where numbers increase above the agreed places. The process will involve reviewing on a termly basis the actual number of child weeks attended per term against the indicative top up funding (total weeks). Where it has exceeded the indicative top up funding total weeks, the average band of the school will apply for those weeks above this level. This will be allocated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however a final adjustment for actual March participation will be made in the new financial year if required. With the lagged funding of places outlined by the ESFA, this funding stream will require even more attention by special schools.
Where the number of placement weeks is lower than the indicative top up funding total weeks per term, the school will have top up funding removed for those weeks (based on the schools top up value). This will form part of the termly adjustments process. </t>
  </si>
  <si>
    <t>19/20 Place Funding</t>
  </si>
  <si>
    <t>19/20 Top-Up Funding</t>
  </si>
  <si>
    <t>Special Schools Funding - Lincolnshire Model 2020/21 - Pre &amp; Post 16 Children</t>
  </si>
  <si>
    <t>FSM taken as at Jan 20</t>
  </si>
  <si>
    <t>2019/20 Allocation</t>
  </si>
  <si>
    <t>Lincoln The Athena School</t>
  </si>
  <si>
    <t>2020/21 Places</t>
  </si>
  <si>
    <t>2020/21 Budget Share Calculations</t>
  </si>
  <si>
    <t>Numbers agreed as per EFA return (2019/20 Return)</t>
  </si>
  <si>
    <t>20/21 Portage Approach</t>
  </si>
  <si>
    <t>20/21 Outreach Funding</t>
  </si>
  <si>
    <t xml:space="preserve">20/21 Residential Funding </t>
  </si>
  <si>
    <t>Additional £20k portage allocation agreed for the period Jan 20 - Aug 20</t>
  </si>
  <si>
    <t>DLT recommendation to continue funding until Aug 21</t>
  </si>
  <si>
    <t>Queried Outeach funding with Laura Arden 15/1/20, and Residential Funding with Eileen McMorrow</t>
  </si>
  <si>
    <t>Queried Residential funding with Eileen McMorrow 15/1/20</t>
  </si>
  <si>
    <t>April 20 - August 20 (Pre-16)</t>
  </si>
  <si>
    <t>April 20 - July 20 (Post-16)</t>
  </si>
  <si>
    <t>September 20 - March 21 (Pre-16)</t>
  </si>
  <si>
    <t>August 20 - March 21 (Post-16)</t>
  </si>
  <si>
    <t>Spilsby The Woodlands</t>
  </si>
  <si>
    <t>Lincoln Athena School</t>
  </si>
  <si>
    <t>2020/21 Funding</t>
  </si>
  <si>
    <t>Average 2020/21</t>
  </si>
  <si>
    <t>2020/21</t>
  </si>
  <si>
    <t>Band G 20/21</t>
  </si>
  <si>
    <t>Variance</t>
  </si>
  <si>
    <t>Place Numbers / FSM / Staffing &amp; Non-staff Blocks</t>
  </si>
  <si>
    <t>Agreements only until Aug 20, but budget to be retained for full year</t>
  </si>
  <si>
    <t xml:space="preserve"> Top-Up Funding</t>
  </si>
  <si>
    <t>Additional agreement for St Chistophers to cover Apr - Aug 20</t>
  </si>
  <si>
    <t>No uplift agreed pending outcome of consultation</t>
  </si>
  <si>
    <t xml:space="preserve">The Education and Skills Funding Agency (ESFA) require Local Authorities to present special schools funding through a place and top up funding approach. The funding detailed within the 'Funding Summary' tab calculates the schools funding through Lincolnshire's agreed special schools funding formula, which has then been converted into the ESFA's place and top up arrangements for presentational purposes.   </t>
  </si>
  <si>
    <t>4 (TP)</t>
  </si>
  <si>
    <t>5 (TP)</t>
  </si>
  <si>
    <t>6 (TP)</t>
  </si>
  <si>
    <t>PFI 4 (TP)</t>
  </si>
  <si>
    <t>Check</t>
  </si>
  <si>
    <t>20/21 Band Profiles</t>
  </si>
  <si>
    <t xml:space="preserve">19/20 </t>
  </si>
  <si>
    <t>Increase</t>
  </si>
  <si>
    <t>2020/21 Places (less Band G &amp; New Pupils)</t>
  </si>
  <si>
    <t>Increase in Place Numbers (19/20 - 20/21)</t>
  </si>
  <si>
    <t>Increase in band G (19/20 - 20/21)</t>
  </si>
  <si>
    <t>19/20 to 20/21 Variances</t>
  </si>
  <si>
    <t>19/20 Band Profiles</t>
  </si>
  <si>
    <t>Reason</t>
  </si>
  <si>
    <t>Protection is still applied based for those existing pupils and on the same need as 2019/20.</t>
  </si>
  <si>
    <t>For those reduced in number within a band, only those remaining will be protected by the MFG i.e. those existing pupils.</t>
  </si>
  <si>
    <t>For those increased in numbers within a band, a school is only protected on the original number (existing pupils).</t>
  </si>
  <si>
    <t>New pupils will be based on the existing band values.</t>
  </si>
  <si>
    <t>No funding change in MFG if pupil numbers and need stay the same - as per High Needs Operational Guidance.</t>
  </si>
  <si>
    <t>Diff</t>
  </si>
  <si>
    <t>Financial Year</t>
  </si>
  <si>
    <t xml:space="preserve">Places Funded </t>
  </si>
  <si>
    <t>MFG</t>
  </si>
  <si>
    <t>You only need to enter the DfE number of your school in cell C3 (highlighted in yellow).</t>
  </si>
  <si>
    <t>Additional 10 places &amp; ASD Unit</t>
  </si>
  <si>
    <t>Removal of St Christopher's split site, Inclusion of Athena</t>
  </si>
  <si>
    <t>Mary Knox SEMH Places</t>
  </si>
  <si>
    <t>Exceptional Funding</t>
  </si>
  <si>
    <t>Additional Therapy</t>
  </si>
  <si>
    <t>PFI School Size 5 Transition Point</t>
  </si>
  <si>
    <t>2021/22 Funding</t>
  </si>
  <si>
    <t>Average 2021/22</t>
  </si>
  <si>
    <t>Special Schools Funding Formula 2021/22</t>
  </si>
  <si>
    <t>Monetary MFG Funding adjustment for 2021/22</t>
  </si>
  <si>
    <t>Illustrative Funding for 2021/22</t>
  </si>
  <si>
    <t>Illustrative 2021/22 Funding</t>
  </si>
  <si>
    <t>2021/22 Final Indicative Budget Share</t>
  </si>
  <si>
    <t>Agreed 2021/22 Place Numbers</t>
  </si>
  <si>
    <t>Pre-16: April 21 - August 21</t>
  </si>
  <si>
    <t>Pre-16: September 21 - March 22</t>
  </si>
  <si>
    <t>Post-16: April 21 - July 21</t>
  </si>
  <si>
    <t>Post-16: August 21 - March 22</t>
  </si>
  <si>
    <t>Special Schools Funding - Lincolnshire Model 2021/22 - Pre &amp; Post 16 Children</t>
  </si>
  <si>
    <t>2021/22 Places</t>
  </si>
  <si>
    <t>2021/22</t>
  </si>
  <si>
    <t>21/22 Portage Approach</t>
  </si>
  <si>
    <t>21/22 Outreach Funding</t>
  </si>
  <si>
    <t xml:space="preserve">21/22 Residential Funding </t>
  </si>
  <si>
    <t>Agreements only until Aug 21, but budget to be retained for full year</t>
  </si>
  <si>
    <t>Saving due to additional agreement for St Christopher's ending</t>
  </si>
  <si>
    <t>20/21 to 21/22 Variances</t>
  </si>
  <si>
    <t>21/22 Band Profiles</t>
  </si>
  <si>
    <t>Individual Schools Budget 2021/22</t>
  </si>
  <si>
    <t>April 21 - August 21: Pre-16 Places</t>
  </si>
  <si>
    <t>September 21 - March 22:  Pre-16 Places</t>
  </si>
  <si>
    <t>April 21 - July 21: Post-16 Places</t>
  </si>
  <si>
    <t>August 21 - March 22: Post-16 Places</t>
  </si>
  <si>
    <t>Agreed 2021/22 Top up Funding Rate</t>
  </si>
  <si>
    <t>April 21 - August 21: Indicative Pre-16 Top up Funding</t>
  </si>
  <si>
    <t>September 21 - March 22: Indicative Pre-16 Top up Funding</t>
  </si>
  <si>
    <t>April 21 - July 21: Indicative Post-16 Top up Funding</t>
  </si>
  <si>
    <t>August 21 - March 22: Indicative Post-16 Top up Funding</t>
  </si>
  <si>
    <t>Includes ASD unit (but HT fixed allocation is funded from HT budget)</t>
  </si>
  <si>
    <t>3 (TP)</t>
  </si>
  <si>
    <t>Box 1.</t>
  </si>
  <si>
    <t>QUALIFIED TEACHERS SALARY SCALES 2020-21</t>
  </si>
  <si>
    <t>Box 2.</t>
  </si>
  <si>
    <t xml:space="preserve">Please note these figures reflect the School Teachers' Pay and Conditions Document (STPCD) released in September 2020. The STPCD now only prescribes pay ranges with minimum and maximum points. You will be aware that schools have discretion to set their own salary scales. The figures below follow the model outlined by the Local Authority which is in accordance with the STCP and implemented for all Business World schools unless the school opted to implement their own pay policy.
</t>
  </si>
  <si>
    <t>Box 3.</t>
  </si>
  <si>
    <t>Please note these figures include the Pay Award from September 2020.</t>
  </si>
  <si>
    <t>Box 5.</t>
  </si>
  <si>
    <t>NI</t>
  </si>
  <si>
    <t>Box 4.</t>
  </si>
  <si>
    <t xml:space="preserve">Please note these Salary Scales include Super rates at 23.68%, which are with effect from 1 September 2019. </t>
  </si>
  <si>
    <t>LEL</t>
  </si>
  <si>
    <t>Box 6.</t>
  </si>
  <si>
    <t>SALARY RANGE</t>
  </si>
  <si>
    <t>NI RATES (W.E.F 1/4/20)</t>
  </si>
  <si>
    <t xml:space="preserve"> SUPER = 23.68% (W.E.F 1/9/19)</t>
  </si>
  <si>
    <t>ST</t>
  </si>
  <si>
    <t>Upper</t>
  </si>
  <si>
    <t xml:space="preserve"> Basic Salary(W.E.F. 1 September 2020)</t>
  </si>
  <si>
    <t>SUPER</t>
  </si>
  <si>
    <t>Box 7.</t>
  </si>
  <si>
    <t>In Pension Scheme</t>
  </si>
  <si>
    <t>Not In Pension Scheme</t>
  </si>
  <si>
    <t>Grade</t>
  </si>
  <si>
    <t>S.C.P.</t>
  </si>
  <si>
    <t>Salary</t>
  </si>
  <si>
    <t>N.I.</t>
  </si>
  <si>
    <t>Super 23.68%</t>
  </si>
  <si>
    <t>PAY SPINE</t>
  </si>
  <si>
    <t xml:space="preserve">LEL - The Lower Earning Limit </t>
  </si>
  <si>
    <t xml:space="preserve">If you earn between the Lower Earning Limit and the Primary Threshold you will get National Insurance ‘credits’ </t>
  </si>
  <si>
    <t>PT - The Primary Threshold (sometimes called the Primary Earnings Threshold)</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</si>
  <si>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(12%)</t>
    </r>
  </si>
  <si>
    <t>===========================================================================</t>
  </si>
  <si>
    <t>===============================</t>
  </si>
  <si>
    <t>UPPER PAY</t>
  </si>
  <si>
    <t>ST - The Secondary Threshold (sometimes called the Secondary Earnings Threshold)</t>
  </si>
  <si>
    <t>RANGE</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</si>
  <si>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t>
    </r>
  </si>
  <si>
    <t>UEL - The Upper Earnings Limit</t>
  </si>
  <si>
    <t>=========================================================================</t>
  </si>
  <si>
    <t>For high earners who are paid over the Upper Earnings Limit, the National Insurance rate falls.earnings.</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</si>
  <si>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 on these </t>
    </r>
  </si>
  <si>
    <t>UNQUALIF.</t>
  </si>
  <si>
    <t>Unqualified</t>
  </si>
  <si>
    <t>TEACHERS</t>
  </si>
  <si>
    <t>Teachers</t>
  </si>
  <si>
    <t>Box 8.</t>
  </si>
  <si>
    <t>ADDITIONAL ALLOWANCES (RECOMMENDED)</t>
  </si>
  <si>
    <t>TEACHING AND LEARNING RESPONSIBILITY (TLR) PAYMENT 3</t>
  </si>
  <si>
    <t>TLR3</t>
  </si>
  <si>
    <t>MINIMUM</t>
  </si>
  <si>
    <t>MAXIMUM</t>
  </si>
  <si>
    <t>TEACHING AND LEARNING RESPONSIBILITY (TLR) PAYMENT 2</t>
  </si>
  <si>
    <t>TLR2</t>
  </si>
  <si>
    <t>TEACHING AND LEARNING RESPONSIBILITY (TLR) PAYMENT 1</t>
  </si>
  <si>
    <t>TLR1</t>
  </si>
  <si>
    <t>SPECIAL NEEDS 1</t>
  </si>
  <si>
    <t>SPECIAL NEEDS 2</t>
  </si>
  <si>
    <t>TEACHING ASSISTANT SCALES - UNDER 5 YEARS SERVICE</t>
  </si>
  <si>
    <t>LCC APT&amp;C SALARY SCALES 2020-21</t>
  </si>
  <si>
    <t>THESE SALARY SCALES INCLUDE:</t>
  </si>
  <si>
    <t>NATIONAL INSURANCE RATES AS FROM 01/04/2020</t>
  </si>
  <si>
    <t>SUPERANNUATION RATE 24.9% AS FROM 01/04/2020</t>
  </si>
  <si>
    <t>PAY INCREASES FROM 01/04/2019</t>
  </si>
  <si>
    <t>STANDARD EQUATION CODES FOR UNDER 5 YEARS SERVICE</t>
  </si>
  <si>
    <t>NI RATES (W.E.F 01/04/20)</t>
  </si>
  <si>
    <t xml:space="preserve"> SUPER = 24.9% (W.E.F 01/04/20)</t>
  </si>
  <si>
    <t>NIL</t>
  </si>
  <si>
    <t>AND ABOVE</t>
  </si>
  <si>
    <t>@</t>
  </si>
  <si>
    <t>%</t>
  </si>
  <si>
    <t>UEL</t>
  </si>
  <si>
    <t>Contracted Out</t>
  </si>
  <si>
    <t>Not Contracted Out</t>
  </si>
  <si>
    <t>GRADE</t>
  </si>
  <si>
    <t>SALARY</t>
  </si>
  <si>
    <t>TOTAL</t>
  </si>
  <si>
    <t xml:space="preserve">  I</t>
  </si>
  <si>
    <t>TA Grade G3</t>
  </si>
  <si>
    <t>LEL - The Lower Earning Limit</t>
  </si>
  <si>
    <t xml:space="preserve">  I  6 - 9</t>
  </si>
  <si>
    <t>TA Grade G5</t>
  </si>
  <si>
    <t xml:space="preserve">  I  12 - 15</t>
  </si>
  <si>
    <t>TA Grade G6</t>
  </si>
  <si>
    <t xml:space="preserve">  I Advanced</t>
  </si>
  <si>
    <t xml:space="preserve">  I  14 - 18</t>
  </si>
  <si>
    <t>TA Grade G7</t>
  </si>
  <si>
    <t xml:space="preserve">  I Management</t>
  </si>
  <si>
    <t xml:space="preserve">  I  17 - 21</t>
  </si>
  <si>
    <t>TA Grade G8</t>
  </si>
  <si>
    <t xml:space="preserve">  I HLTA</t>
  </si>
  <si>
    <t xml:space="preserve">  I  20 - 24</t>
  </si>
  <si>
    <t xml:space="preserve">SALARY SCALES </t>
  </si>
  <si>
    <t>LINCOLN</t>
  </si>
  <si>
    <t>BAL @</t>
  </si>
  <si>
    <t>PT</t>
  </si>
  <si>
    <t>UPPER</t>
  </si>
  <si>
    <t xml:space="preserve">       GRADE</t>
  </si>
  <si>
    <t xml:space="preserve">  G1</t>
  </si>
  <si>
    <t>01</t>
  </si>
  <si>
    <t>LEL -  The Lower Earning Limit</t>
  </si>
  <si>
    <t>02</t>
  </si>
  <si>
    <t>G2</t>
  </si>
  <si>
    <t>03</t>
  </si>
  <si>
    <t>04</t>
  </si>
  <si>
    <t>05</t>
  </si>
  <si>
    <t>G3</t>
  </si>
  <si>
    <t>06</t>
  </si>
  <si>
    <t>07</t>
  </si>
  <si>
    <t>08</t>
  </si>
  <si>
    <t>G4</t>
  </si>
  <si>
    <t>09</t>
  </si>
  <si>
    <t>G5</t>
  </si>
  <si>
    <t>G6</t>
  </si>
  <si>
    <t>G7</t>
  </si>
  <si>
    <t>G8</t>
  </si>
  <si>
    <t>G9</t>
  </si>
  <si>
    <t>G10</t>
  </si>
  <si>
    <t>G11</t>
  </si>
  <si>
    <t>G12</t>
  </si>
  <si>
    <t>G13</t>
  </si>
  <si>
    <t>G14</t>
  </si>
  <si>
    <t>G15</t>
  </si>
  <si>
    <t>G16</t>
  </si>
  <si>
    <t>This pay spine is anchored to salary points on the NJC National Pay Spine. The relevant Lincolnshire points which link directly to the NJC National Pay Spine are SCPs 1, 2, 3, 6, 9, 12, 15, 18, 21, 24, 27, 30 &amp; 33.</t>
  </si>
  <si>
    <t>2019-20</t>
  </si>
  <si>
    <t>2020-21</t>
  </si>
  <si>
    <t>Sleeping-in Duty Payment =</t>
  </si>
  <si>
    <t>Standby Duty Allowance (Social Workers) =</t>
  </si>
  <si>
    <t>2020/21 Band Value</t>
  </si>
  <si>
    <t>Teachers' Pay Grant - Confirmed Allocations to High Needs Institutions</t>
  </si>
  <si>
    <t>The Greenfields Academy</t>
  </si>
  <si>
    <t>Springwell Academy</t>
  </si>
  <si>
    <t>Ash Villa School</t>
  </si>
  <si>
    <t>Acorn Free School</t>
  </si>
  <si>
    <t xml:space="preserve">Total </t>
  </si>
  <si>
    <t xml:space="preserve">Apr 20 - Aug 20 </t>
  </si>
  <si>
    <t>Sep 20 - Mar 21</t>
  </si>
  <si>
    <t>20/21 Allocation</t>
  </si>
  <si>
    <t>19/20 Allocation</t>
  </si>
  <si>
    <t>Teachers' Pension Grant - Confirmed Allocations to High Needs Institutions</t>
  </si>
  <si>
    <t>Teachers' Supplementary Pension Grant - Confirmed Allocations to High Needs Institutions</t>
  </si>
  <si>
    <t>18/19 Allocation</t>
  </si>
  <si>
    <t>Pay &amp; Pension</t>
  </si>
  <si>
    <t>Allocation Received in HN Bliock</t>
  </si>
  <si>
    <t>Additional Place Funding</t>
  </si>
  <si>
    <t>Diff. ??</t>
  </si>
  <si>
    <t>Teachers' Pay Differential</t>
  </si>
  <si>
    <t>Bands Diff' Rate</t>
  </si>
  <si>
    <t>Rates Carried Forward from Tab:</t>
  </si>
  <si>
    <t>2122 Pay &amp; Pension Allocations</t>
  </si>
  <si>
    <t>Pre-18 Apr-Aug</t>
  </si>
  <si>
    <t>Post-16 Apr-Jul</t>
  </si>
  <si>
    <t>Pre-16 Sept-Mar</t>
  </si>
  <si>
    <t>Post-16 Aug-Mar</t>
  </si>
  <si>
    <t>This would seem that we are allocating more than the government allocation through using Main Scale 5.</t>
  </si>
  <si>
    <t>The reason is likely to be due to an increase in new place places being commissioned.</t>
  </si>
  <si>
    <t>Main Scale 5 (75% funded)</t>
  </si>
  <si>
    <t>Main Scale 5 (80% funded)</t>
  </si>
  <si>
    <t>Main Scale 5 (90% funded)</t>
  </si>
  <si>
    <t>Does appear sufficient to meet Leadership Pay changes from Pay &amp; Pension:</t>
  </si>
  <si>
    <t>Option 1: only fund x% of the pay difference</t>
  </si>
  <si>
    <t>Option 2: only distribute the remainder through the staffing block</t>
  </si>
  <si>
    <t>Band All'</t>
  </si>
  <si>
    <t>Staffing Block Funding still to be allocated</t>
  </si>
  <si>
    <t>Main Scale 5 (Fully)</t>
  </si>
  <si>
    <t>Main Scale 5 (100% funded)</t>
  </si>
  <si>
    <t>Calculations</t>
  </si>
  <si>
    <t>Main Scale 5 (80%)</t>
  </si>
  <si>
    <t>Staffig Blo'</t>
  </si>
  <si>
    <t>Preference from an affordability perspective, is to apply the right amount to the Leadership - less variable from a financial perspective as special shool numbers grow</t>
  </si>
  <si>
    <t>Depending on the position of school reserves, could explain that the current and values support M4 and TA SCP 5, for example.</t>
  </si>
  <si>
    <t>Places on MFG</t>
  </si>
  <si>
    <t>Protected Places</t>
  </si>
  <si>
    <t>Band Value change</t>
  </si>
  <si>
    <t>MFG - Band Increase (Excl. Teachers' Increase)</t>
  </si>
  <si>
    <t xml:space="preserve">Protection Per Place </t>
  </si>
  <si>
    <t>MFG Protection</t>
  </si>
  <si>
    <t>2020/21 Protection Level</t>
  </si>
  <si>
    <t>Change</t>
  </si>
  <si>
    <t>New Grants</t>
  </si>
  <si>
    <t>Values subject to affordability</t>
  </si>
  <si>
    <t>Main 4</t>
  </si>
  <si>
    <t>TA12</t>
  </si>
  <si>
    <t>2020/21 comparison</t>
  </si>
  <si>
    <t>MDS</t>
  </si>
  <si>
    <t>Modelling using 2021/22 pay scales</t>
  </si>
  <si>
    <t>Main 5</t>
  </si>
  <si>
    <t>TA9</t>
  </si>
  <si>
    <t>QUESTION</t>
  </si>
  <si>
    <t>Teacher Increase Per Place</t>
  </si>
  <si>
    <t>ESFA All</t>
  </si>
  <si>
    <t>Pension</t>
  </si>
  <si>
    <t>Pay</t>
  </si>
  <si>
    <t>Should any surplus above the 2020/21 teachers' pay and pension grant allocation be added into the MFG - need to apply on a like for like basis i.e. adjusting for place numbers.</t>
  </si>
  <si>
    <t>Ave. Place Numbers</t>
  </si>
  <si>
    <t>Total 2021/22</t>
  </si>
  <si>
    <t>PP Amount</t>
  </si>
  <si>
    <t>Ref' - could be added for MFG - see 2122 MFG Protection</t>
  </si>
  <si>
    <t>Or we could mock up 80% of TA differential to be in the band.</t>
  </si>
  <si>
    <t>TA Pay Differential</t>
  </si>
  <si>
    <t>A ratio of 5 to 1, requires for every 10 children, 1 Teacher &amp; 1 TA</t>
  </si>
  <si>
    <t>TA &amp; MDS</t>
  </si>
  <si>
    <t>2020/21 Comparison</t>
  </si>
  <si>
    <t>Observation is the increase in banding funding (even allowing for the teachers' pay &amp; pension grant, even where pupil numbers have remained similar</t>
  </si>
  <si>
    <t>Cost of TA &amp; MDS uplifts</t>
  </si>
  <si>
    <t>Saving of not doing the MDS is:</t>
  </si>
  <si>
    <t>The TAs previously had the sickness insurance of £490, which appears to have been omitted (amended)</t>
  </si>
  <si>
    <t>TA12 (80%)</t>
  </si>
  <si>
    <t>Main 5 (80%)</t>
  </si>
  <si>
    <t>2021/22 Comparison</t>
  </si>
  <si>
    <t>SCP12</t>
  </si>
  <si>
    <t>Or Band G</t>
  </si>
  <si>
    <t>Band G 21/22</t>
  </si>
  <si>
    <t>Funding subject to formal decision</t>
  </si>
  <si>
    <t>2020/21 Places (less Band G)</t>
  </si>
  <si>
    <t>Band C - Additionality</t>
  </si>
  <si>
    <t>a</t>
  </si>
  <si>
    <t>b</t>
  </si>
  <si>
    <t>c</t>
  </si>
  <si>
    <t>d</t>
  </si>
  <si>
    <t>2020/21 Protected Places</t>
  </si>
  <si>
    <t>2021/22 Agreed Places</t>
  </si>
  <si>
    <t>2020/21 MFG Per Pupil</t>
  </si>
  <si>
    <t>2020/21 MFG Funding</t>
  </si>
  <si>
    <t>2021/22 MFG Funding</t>
  </si>
  <si>
    <t>2021/22 Protected Places</t>
  </si>
  <si>
    <t>MFG Funding Per Band</t>
  </si>
  <si>
    <t>Do we have Jan 21 figures or Oct 20 figures?</t>
  </si>
  <si>
    <t>Clarification on agreed funding levels</t>
  </si>
  <si>
    <t>Size</t>
  </si>
  <si>
    <t>v1</t>
  </si>
  <si>
    <t>* before changes</t>
  </si>
  <si>
    <t>TA Revision</t>
  </si>
  <si>
    <t>MDS: This was previously the cost applied over 10 children, however 8 was applied (amended)</t>
  </si>
  <si>
    <t>Full</t>
  </si>
  <si>
    <t>v2</t>
  </si>
  <si>
    <t>Drop in pay scale</t>
  </si>
  <si>
    <t>Main Scale 5 (60% funded)</t>
  </si>
  <si>
    <t>Main 5 (60%)</t>
  </si>
  <si>
    <t>v3</t>
  </si>
  <si>
    <t>Cost</t>
  </si>
  <si>
    <t>Main Scale 5 (50% funded)</t>
  </si>
  <si>
    <t>Overall Increase</t>
  </si>
  <si>
    <t>Excl. Teachers'</t>
  </si>
  <si>
    <t>Pay &amp; Pensions tab</t>
  </si>
  <si>
    <t>Sch' Size</t>
  </si>
  <si>
    <t>Central Staffing block workings</t>
  </si>
  <si>
    <t>Over-allocated</t>
  </si>
  <si>
    <t>**</t>
  </si>
  <si>
    <t>Current Allocation</t>
  </si>
  <si>
    <t>Cost of Main Scale 5 (60% differential funded)</t>
  </si>
  <si>
    <t>Pass - condition of grant</t>
  </si>
  <si>
    <t>Note: exclude PFI costs</t>
  </si>
  <si>
    <t>Outreach Funding Extension</t>
  </si>
  <si>
    <t>St Francis and Gosberton full year extension</t>
  </si>
  <si>
    <t>Teachers' Pay &amp; Pension Grant</t>
  </si>
  <si>
    <t>Teachers' Pay &amp; Pension Grant - Validation</t>
  </si>
  <si>
    <t>TA12 (60%)</t>
  </si>
  <si>
    <t>TA (80%)</t>
  </si>
  <si>
    <t>SCP12 (60%)</t>
  </si>
  <si>
    <t>Top-up Rate</t>
  </si>
  <si>
    <t>OLEA Placements</t>
  </si>
  <si>
    <t>Class List Received</t>
  </si>
  <si>
    <t>20/21 Funded</t>
  </si>
  <si>
    <t>Proposed Number</t>
  </si>
  <si>
    <t>Proposal Letter Sent</t>
  </si>
  <si>
    <t>Numbers Confirmed</t>
  </si>
  <si>
    <t>Post 16</t>
  </si>
  <si>
    <t>OLEA's</t>
  </si>
  <si>
    <t>BJF</t>
  </si>
  <si>
    <t>Y</t>
  </si>
  <si>
    <t>N</t>
  </si>
  <si>
    <t>Garth</t>
  </si>
  <si>
    <t>Priory</t>
  </si>
  <si>
    <t>Woodlands</t>
  </si>
  <si>
    <t>Athena</t>
  </si>
  <si>
    <t xml:space="preserve">Gosberton </t>
  </si>
  <si>
    <t>Aegir</t>
  </si>
  <si>
    <t>Warren Wood</t>
  </si>
  <si>
    <t>St Christopher's</t>
  </si>
  <si>
    <t>St Francis</t>
  </si>
  <si>
    <t>St Lawrence</t>
  </si>
  <si>
    <t>St Bernard's</t>
  </si>
  <si>
    <t>Willoughby</t>
  </si>
  <si>
    <t>Greenfields</t>
  </si>
  <si>
    <t>Eresby</t>
  </si>
  <si>
    <t>Ambergate</t>
  </si>
  <si>
    <t>Sandon</t>
  </si>
  <si>
    <t>Phase</t>
  </si>
  <si>
    <t>Count of Pupils On Roll</t>
  </si>
  <si>
    <t>Count of Pupils Eligible for FSM</t>
  </si>
  <si>
    <t>Count of Meals Taken</t>
  </si>
  <si>
    <t>Percentage of Pupils Eligible for FSM</t>
  </si>
  <si>
    <t>Count of Pupils On Roll Aged 4-15</t>
  </si>
  <si>
    <t>Count of Pupils Aged 4-15 Eligible for FSM</t>
  </si>
  <si>
    <t>Percentage of Pupils Aged 4-15 Eligible for FSM</t>
  </si>
  <si>
    <t>Community Inclusive Trust (Ambergate)</t>
  </si>
  <si>
    <t>Special</t>
  </si>
  <si>
    <t>Gosberton House Academy</t>
  </si>
  <si>
    <t>Priory School (Spalding)</t>
  </si>
  <si>
    <t>John Fielding Special School</t>
  </si>
  <si>
    <t>Garth School</t>
  </si>
  <si>
    <t>Lincoln, St Francis School</t>
  </si>
  <si>
    <t>St Bernards School, Louth</t>
  </si>
  <si>
    <t>Willoughby Academy</t>
  </si>
  <si>
    <t>Mayflower Academy Warren Wood - A Specialist Academy</t>
  </si>
  <si>
    <t>Mayflower Specialist School Academy Aegir - A Specialist Academy</t>
  </si>
  <si>
    <t>FSM taken as at Oct 20</t>
  </si>
  <si>
    <t>Place Numbers / Band Profiles / Band Values / Blocks / FSM / PFI / OLEA Placements</t>
  </si>
  <si>
    <t>School Size</t>
  </si>
  <si>
    <t>Main 5 (71%)</t>
  </si>
  <si>
    <t>Main Scale 5 (71% funded)</t>
  </si>
  <si>
    <t>TA12 (70%)</t>
  </si>
  <si>
    <t>SCP12 (70%)</t>
  </si>
  <si>
    <t>Main Scale 5 (71%)</t>
  </si>
  <si>
    <t>OLEA Top Up Deduction</t>
  </si>
  <si>
    <t>St Francis funding - subject to decision (full year effect is £582,568)</t>
  </si>
  <si>
    <t>To be reviewed.</t>
  </si>
  <si>
    <t>Net Position After Teachers' Pay &amp; Pension Grant</t>
  </si>
  <si>
    <t>AP</t>
  </si>
  <si>
    <t>2.7 to 1 Ratio</t>
  </si>
  <si>
    <t>A ratio of 2.7 to 1, requires for every 8 children, 1 Teacher &amp; 2 TAs.</t>
  </si>
  <si>
    <t>Agreed Band Values</t>
  </si>
  <si>
    <t xml:space="preserve">1. Lincolnshire's special schools 2020/21 funding formula allocations by each formula factor (based on the schools published indicative budget for 2020/21). </t>
  </si>
  <si>
    <t xml:space="preserve">2. The basis of how special schools are to be funded: 
• The funding formula for Lincolnshire special schools was updated for 2018/19. The Local Authority (LA) believe the underlying principles of the formula remain strong and fit for purpose, and therefore have not required a fundamental change.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 Banding funding continues to be categorised between pre-16 &amp; post-16 places. In 2018/19, the band descriptors were reviewed to provide greater clarity of the pupils needs within each category, including being renamed in order of monetary value. The band values were also updated to reflect the revised staffing to pupil ratio's in light of the feedback received from the working group meetings with special school head teachers. The pupil bands have been updated and agreed with schools to reflect those pupils present at the school in November 2020, and therefore included as part of the 2021/22 Education &amp; Skills Funding Agency (ESFA) return. These have then been applied to the indicative 2021/22 budget shares. 
• The ESFA process for agreeing place numbers is based on a lagged funding system due to ESFA timing requirements (namely, using Autumn 2020 data to influence 2021/22 academic year place numbers). The LA has undertaken this process for the 2021/22 academic year place numbers in line with the published DfE high needs guidance. </t>
  </si>
  <si>
    <t>3. Indicative 2021/22 place and top up funding based on Lincolnshire's special schools formula. The format is required to determine whether the school is entitled to a per pupil MFG of protection.</t>
  </si>
  <si>
    <t xml:space="preserve">4. Number on Roll: the Average Number / Places agreed across the financial year that have been agreed with the special school. The 2021/22 indicative funding uses the following place numbers: April 21 - August 21 (AY2020/21 brought forward places) and September 21 - March 22 (AY2021/22 agreed places). </t>
  </si>
  <si>
    <t>1. The DfE School Funding Reforms that were implemented in 2013/14 changed the presentation of how special schools were funded, namely through a ‘place-plus’ approach, i.e. special schools will receive a base level of funding of £10,000 per planned place for their provision of pre-16 and post-16 pupils. Place funding for the following academic year would typically reflect the latest Autumn numbers / places, therefore a lagged funding system exists. Where a special school encounters a change in pupil numbers, the in-year adjustments process that is undertaken on a termly basis for commissioned place funding or top up funding adjustments will need consideration by the school.
• The place numbers for pre and post-16 fund the following periods for the financial year 2021/22:
 AY2020/21 places: pre-16 (April 21 - August 21) and post-16 (April 21 - July 21);
 AY2021/22 places: pre-16 (September 21 - March 22) and post-16 (August 21 - March 22).</t>
  </si>
  <si>
    <t>2. Total Place-led funding is reviewed on an annual basis. The place-led funding does not follow the pupil (like top up funding), therefore this place funding provides an element of financial stability to the school for the financial year 2021/22. This place-led funding will not be withdrawn from schools in the financial year. Place numbers used align to the place numbers agreed with schools when calculating the banded funding.</t>
  </si>
  <si>
    <t>3. The agreed top up funding for the school is paid directly to the educating institution by the commissioner.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various scenarios, and schools have plans in place to respond to such challenges. Each school will have a different top up, as this represents each school's banded profile and school's characteristics (see ' Funding Summary' tab). Where pupils are placed from other LA's, we would advise that if the child has been recorded on your latest October census, then you should only be looking to reclaim the top-up funding value for that child. If they were not included on the October census, then you would be entitled to reclaim the commissioned funding value. The commissioned funding value should therefore only be looked to be claimed for new pupils who have joined within the past year. If the school feel this value does not cover the needs of that child, then it is up to the school and OLEA to agree an exceptional funding fee.</t>
  </si>
  <si>
    <t>2021/22 Indicative Place-led and Top-up Funding</t>
  </si>
  <si>
    <t>This provides the detail behind the Special Schools funding formula for 2021/22. It includes the following:</t>
  </si>
  <si>
    <t>* The agreed 2021/22 top up rate;</t>
  </si>
  <si>
    <t>* 2021/22 Indicative place-led and top up funding;</t>
  </si>
  <si>
    <t>* 2020/21 and 2021/22 calculated special schools funding using Lincolnshire's agreed funding formula;</t>
  </si>
  <si>
    <t>* Identifies a schools total indicative budget share for 2021/22 including those commissioned functions.</t>
  </si>
  <si>
    <t>* The minimum funding guarantee entitlement to determine any funding protection for Band A - F pupils in 2021/22.</t>
  </si>
  <si>
    <t>* The teacher's pay and pension grant allocations for both 2020/21 and 2021/22</t>
  </si>
  <si>
    <t>1. School band profile. This compares the breakdown of place numbers across the 7 bands between the financial years 2020/21 and 2021/22. As the MFG calculation excludes Band G, the difference between Band G placements in 2020/21 compared to 2021/22 (cell M8) has not been stated.</t>
  </si>
  <si>
    <t>Teachers' Pay and Pension Grant</t>
  </si>
  <si>
    <t>Teaching Assistant Increase</t>
  </si>
  <si>
    <t>Funding added into Banded Funding in 2021/22</t>
  </si>
  <si>
    <t>10.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any financial disadvantage. The authority will not agree to fund individual additional funding requests for every band G child admitted mid-year.</t>
  </si>
  <si>
    <t xml:space="preserve">11. Indicative Place and Top up Funding: 2021/22 funding inclusive of the MFG allocation (where applicable) based on Lincolnshire's special schools funding formula. The section provides a clear audit trail of how Lincolnshire special schools are funded through the formula factors for 2021/22, before being presented through the DfE's place and top up arrangements (based on the agreed place numbers and overall monetary value). </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</si>
  <si>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</si>
  <si>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13 Site Factor - Split Site allocation: where a single school operates over two or more locations and meets the split site policy criteria, schools are entitled to funding which represents the additional costs of operation compared to being on one site.</t>
  </si>
  <si>
    <t xml:space="preserve">19. Pre-16 Places: agreed number of school places for pre-16 provision. The 2021/22 indicative funding uses the following place numbers: April 21 - August 21 (AY2020/21 brought forward places) and September 21 - March 22 (AY2021/22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</si>
  <si>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18. 2021/22 Final Indicative Budget Share: Indicative 2021/22 funding (11) relating to the main special school formula factors including MFG funding where applicable, plus Other Special School funding Arrangements (17).</t>
  </si>
  <si>
    <t>20. Post-16 Places: agreed number of school places for post-16 provision. The periods of funding are as follow: April 21 - July 21 (AY2020/21 brought forward places), and August 21 - March 22 (AY2021/22 agreed places). The in-year adjustments process follows the same principle as pre-16 places (see note: 19).</t>
  </si>
  <si>
    <t>8. The 2021/22 Total Indicative place-led and top up funding. This aligns to 'Funding Summary' tab Note 11.</t>
  </si>
  <si>
    <t>10. Commissioned services outside of the place-led and top up funding (i.e. outside of the main special schools funding formula). Please refer to the 'Funding Summary' tab (notes 12-16) for further detail of those other special school funding streams.</t>
  </si>
  <si>
    <t>11. The 2021/22 Final Indicative Budget Share including the Total Indicative Funding plus the Commissioned Arrangements. This aligns to the 'Funding Summary' tab (note 18)</t>
  </si>
  <si>
    <t>22.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 For 2021/22, the key cost drivers for both staffing and non-staffing have been reviewed, including refinements to both Leadership and Administration allocations within staffing. For non-staffing, the refinements include a 15% increase in the baseline for energy costs and 3% for all other cost drivers.</t>
  </si>
  <si>
    <t>23.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 For 2021/22, the key cost drivers for both staffing and non-staffing have been reviewed, including refinements to both Leadership and Administration allocations within staffing. For non-staffing, the refinements include a 15% increase in the baseline for energy costs and 3% for all other cost drivers.</t>
  </si>
  <si>
    <t>21. Special school band descriptors detailing the staffing ratio's and monetary sums that determine a school banding funding and commissioned place value. The band values are based on agreed staffing to pupil ratio's. A separate funding adjustment was made to schools in 2020/21 for the Teacher's Pay Grant and Teacher's Pension increases, and these increases have now been factored into the band values to ensure each school receives a minimum value of what they were allocated in 2020/21 (see note 6). Funding of £1.401m has been distributed across teacher costs when determining 2021/22 pupil band values (13.91% increase in costs), and the staffing block values to reflect adjusted leadership costs for different size schools. Teaching assistant costs have increased by 3.25% when determining pupil band values.</t>
  </si>
  <si>
    <t>Portage Funding Extension</t>
  </si>
  <si>
    <t>6. Teachers' Pay and Pension Grant Allocations. This compares the total value of the 2020/21 teachers' pay and pension allocations (that were previously paid separately to the monthly top-up allocations) against the value of the teachers' pay and pension allocation that has now been factored into the special schools funding formula from 2021/22. This has been achieved through increasing the teachers' salary costs by 13.91% within the band value's (as well as increasing the leadership allocations within the staffing block), and will therefore be paid as part of the monthly top-up allocations going forward. The 2021/22 allocation is to be the same level or greater than 2020/21.</t>
  </si>
  <si>
    <t>7. Total banded funding figure to be used for the purposes of the 2021/22 school size calculation. The 2020/21 school size thresholds were set prior to any band value increases for 2021/22. A school size classification should only change when a schools admits a greater number of pupils, and/or has an increased complexity of need in relation to the updated band profile, which is matched to each school size threshold. Therefore, to compare like-for-like between financial years, the teachers' pay and pension increases (as well as the increases gained through increasing the teaching assistant salaries) have been removed from the total banded funding figure for 2021/22 for school size purposes.</t>
  </si>
  <si>
    <t>8. The staffing and non-staffing block special school categories based on a schools overall banding monetary funding (see note 7 &amp; 22).</t>
  </si>
  <si>
    <t xml:space="preserve">9. School Band Descriptor Profile: the schools percentage banding profile across the seven band descriptors. Latest pupil data has been updated to ensure that every pupil who has had a place agreed for the 2021/22 AY, has an associated band attributed to them. </t>
  </si>
  <si>
    <t>14. Portage (commissioned arrangements): A Memorandum of Understanding is established between the commissioned schools and Local Authority outlining the desired outcomes from this funding. The current agreement runs from September 2020 – August 2021 with a review of the service currently being undertaken by Lincolnshire's Commissioning Team. The indicative funding allocation detailed is for the period April 2021 to August 2021, however the September 2021 to March 2022 funding period is conditional, and subject to the Local Authority decision making process.</t>
  </si>
  <si>
    <t>Revised Banded Funding - Staffing/Non-Staffing block selection</t>
  </si>
  <si>
    <t>15. Outreach (commissioned arrangements): The outreach arrangements for physical difficulties and learning difficulties have been awarded, and the schools funding represents this current arrangement. The length of the contract is for the period 1st September 2020 to 31st August 2021. Lincolnshire's Commissioning Team are currently reviewing an extension to the contracts, and therefore the current allocations have only been continued for the period April 2021 - August 2021. Further funding will be allocated mid-year subject to the review outcomes.  The September 2021 to March 2022 funding period is conditional, and subject to the Local Authority decision making process.</t>
  </si>
  <si>
    <t>16. Residential (commissioned arrangements): commissioned funding for residential provision.</t>
  </si>
  <si>
    <t>2. The LA has increased the band values for teaching assistant costs from 2021/22, and these band increases are deducted from each bands monetary protection (if applicable), before determining the school protection per band.</t>
  </si>
  <si>
    <t>3. MFG Protection per Band. This compares the level of MFG funding the school received per band in 2020/21 against what they will receive in 2021/22. The MFG continues to be established at 0% in line with the DfE regulations. In accordance with the DfE High Needs Operational Guidance on MFG arrangements, schools are protected by the MFG when numbers and complexity of pupil needs remains the same (i.e. comparing like with like), therefore MFG comparisons have been made to each band to ensure schools subject to MFG are protected on the lower of the two years band pupil numbers between 2020/21 and 2021/22, e.g. protection of existing pupils with the same needs still within the school. In order to compare like for like, the increases due to teacher's pay and pension allocations, in addition to the teaching assistant increases, have all been removed from the 2021/22 Protection per place figures</t>
  </si>
  <si>
    <t>5. MFG Entitlement. This shows the agreed level of MFG protection for the 2021/22 budget share.</t>
  </si>
  <si>
    <t>2021/22 MFG Calculation</t>
  </si>
  <si>
    <r>
      <t xml:space="preserve">
</t>
    </r>
    <r>
      <rPr>
        <b/>
        <sz val="12"/>
        <rFont val="Calibri"/>
        <family val="2"/>
        <scheme val="minor"/>
      </rPr>
      <t>FINANCIAL YEAR 2021/22</t>
    </r>
    <r>
      <rPr>
        <sz val="12"/>
        <rFont val="Calibri"/>
        <family val="2"/>
        <scheme val="minor"/>
      </rPr>
      <t xml:space="preserve">
</t>
    </r>
    <r>
      <rPr>
        <b/>
        <sz val="12"/>
        <rFont val="Calibri"/>
        <family val="2"/>
        <scheme val="minor"/>
      </rPr>
      <t>DISTRIBUTION OF THE INDIVIDUAL SCHOOLS BUDGET</t>
    </r>
    <r>
      <rPr>
        <sz val="12"/>
        <rFont val="Calibri"/>
        <family val="2"/>
        <scheme val="minor"/>
      </rPr>
      <t xml:space="preserve">
</t>
    </r>
    <r>
      <rPr>
        <b/>
        <sz val="12"/>
        <rFont val="Calibri"/>
        <family val="2"/>
        <scheme val="minor"/>
      </rPr>
      <t>SPECIAL SCHOOLS</t>
    </r>
    <r>
      <rPr>
        <sz val="12"/>
        <rFont val="Calibri"/>
        <family val="2"/>
        <scheme val="minor"/>
      </rPr>
      <t xml:space="preserve">
Special schools continue to be funded through Lincolnshire's funding formula that was originally implemented in 2011/12. The LA introduced funding changes in 2018/19 to ensure the appropriate level of resources continue to meet the needs of its pupils in the changing demographics of Lincolnshire special schools. These changes updated bands for the pupils at each school (in line with November 2020 class lists). The fundamental principles and formula for funding special schools continue to remain strong and fit for purpose, and are adaptable to the changing landscape of pupil needs. For 2021/22, schools will be protected for Bands A - F only by applying a 0% minimum funding guarantee (MFG). Schools are only protected by MFG when numbers and complexity of needs remains the same, therefore MFG adjustments have been made to each band to ensure Schools are only protected on the lower of the two band values between 2020/21 and 2021/22. Band G is not protected by the MFG. Schools gaining through the formula changes will also receive the full gain in 2021/22. 
Lincolnshire's special schools funding formula identifies an indicative budget share, which is then presented into the DfE's place and top up arrangements. This will include the agreed band percentage profiles as a result of the revised pupil bands that were updated in November 2020. 
The DfE require special schools to be funded through a ‘place-plus’ approach from the higher needs block within the Dedicated Schools Grant (DSG).  Special schools will receive a base level of funding of £10,000 per planned place for their provision, plus top up funding that is derived from Lincolnshire's agreed funding formula.
</t>
    </r>
    <r>
      <rPr>
        <b/>
        <sz val="12"/>
        <rFont val="Calibri"/>
        <family val="2"/>
        <scheme val="minor"/>
      </rPr>
      <t>Place-Led Funding</t>
    </r>
    <r>
      <rPr>
        <sz val="12"/>
        <rFont val="Calibri"/>
        <family val="2"/>
        <scheme val="minor"/>
      </rPr>
      <t xml:space="preserve">
The Education and Skills Funding Agency (ESFA) has simplified the places approach by moving to a lagged funding system i.e. place funding for the following academic year would typically reflect the latest autumn numbers / places. Therefore, for the 2021/22 financial year, the place numbers were agreed as part of the Autumn 2020 ESFA place return .
The place numbers for pre and post-16 fund the following periods for the financial year 2021/22:
- AY2020/21 places: pre-16 (April 21 - August 21) and post-16 (April 21 - July 21);
- AY2021/22 places: pre-16 (September 21 - March 22) and post-16 (August 21 - March 22).
 Place-led funding is reviewed on an annual basis. The place-led funding does not follow the pupil (like top up funding); therefore the £10,000 component provides an element of financial stability to the school for the financial year 2021/22.  This place-led funding will not be withdrawn from schools in the financial year.
</t>
    </r>
    <r>
      <rPr>
        <b/>
        <sz val="12"/>
        <rFont val="Calibri"/>
        <family val="2"/>
        <scheme val="minor"/>
      </rPr>
      <t>Top up Funding</t>
    </r>
    <r>
      <rPr>
        <sz val="12"/>
        <rFont val="Calibri"/>
        <family val="2"/>
        <scheme val="minor"/>
      </rPr>
      <t xml:space="preserve"> 
The top up funding for a school will be paid directly to the educating institution by the LA commissioner (this will usually be Lincolnshire County Council).  Top up funding will follow the child, therefore only indicative top up funding allocations can be provided to schools at the start of the financial year (in line with DfE requirements).
Each school will have a different top up rate, as this represents each school's banded profile and school's characteristics. Please see the 'Funding Summary' tab for further information. 
Where pupils are placed from other LAs, the commissioning LA will pay funding directly to the school based on Lincolnshire’s agreed values.  It is the school’s responsibility to claim this funding from the relevant LA. 
</t>
    </r>
    <r>
      <rPr>
        <b/>
        <sz val="12"/>
        <rFont val="Calibri"/>
        <family val="2"/>
        <scheme val="minor"/>
      </rPr>
      <t>Top up Funding In-Year Adjustments and Commissioned Places</t>
    </r>
    <r>
      <rPr>
        <sz val="12"/>
        <rFont val="Calibri"/>
        <family val="2"/>
        <scheme val="minor"/>
      </rPr>
      <t xml:space="preserve">
A special school’s number on roll can fluctuate during the year. The indicative top up funding assumes that the number of agreed places will be fully utilised with pupils throughout the financial year. Since the top up funding follows the child, this indicative top up funding may change.  
Through the creation of a lagged funding system (namely, places), special schools with changing pupil numbers (both downwards and upwards) will be required to use the in-year adjustments schedule within the medium-term finance plan to understand the funding implications. 
The LA has a system in place that is responsive to provide sufficient funding to enable schools to meet the child’s needs (marginal costs) where numbers increase above the agreed places. Where the number of placement weeks exceeds the indicative top up funding total weeks per term, the school will receive commissioned place funding for those weeks (based on the average band of the school). 
The level of funding allocated through this route would equate to the same level of banded funding had the places been increased at the start of the year and the pupil remained at the school throughout the period. This is purely a timing difference and funding is released in the correct financial year.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the various scenarios, and schools have plans in place to respond to such challenges.  Where the number of placement weeks is lower than the indicative top up funding total weeks per term, the school will have top up funding removed for those weeks (based on the schools top up value). This will form part of the termly adjustments process. 
All special schools and special academies are required to submit a termly return detailing the number of pupils present in the school each week, which will enable the LA to adjust the total top up funding accordingly.  
Special schools funding adjustments will take place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however a final adjustment for the actual March participation will be made in the new financial year if required. 
Please see below examples:
</t>
    </r>
    <r>
      <rPr>
        <u/>
        <sz val="12"/>
        <rFont val="Calibri"/>
        <family val="2"/>
        <scheme val="minor"/>
      </rPr>
      <t xml:space="preserve">School A Example - Actual Participation is less than Indicative Participation:
</t>
    </r>
    <r>
      <rPr>
        <sz val="12"/>
        <rFont val="Calibri"/>
        <family val="2"/>
        <scheme val="minor"/>
      </rPr>
      <t xml:space="preserve">
Places  50   £500,000
Top up  £6,000   £300,000 (indicative)
If, from the first week in April, the pupil numbers fall to 49 for the summer term (i.e. 13 weeks), the following adjustment will take place for the summer term top up funding, which is processed in the Autumn term:
13 weeks x 50 pupils = 650 indicative pupil weeks (summer term)
13 weeks x 49 pupils = 637 actual pupil weeks (summer term)
Difference is 13 pupil weeks
13 (pupil weeks lost) / 38 (annual weeks) x £6,000 (top up value) = £2,053 funding reduction
School A indicative top up funding has been reduced to £297,947.
</t>
    </r>
    <r>
      <rPr>
        <u/>
        <sz val="12"/>
        <rFont val="Calibri"/>
        <family val="2"/>
        <scheme val="minor"/>
      </rPr>
      <t>School A Example – Actual Participation is higher than Indicative Participation:</t>
    </r>
    <r>
      <rPr>
        <sz val="12"/>
        <rFont val="Calibri"/>
        <family val="2"/>
        <scheme val="minor"/>
      </rPr>
      <t xml:space="preserve">
Places   50
Average Band Value £9,000 Commissioned place
If, from the first week in April, the pupil numbers increased to 52 for the summer term (i.e. 13 weeks), which is above the place funding of 50, the following budget adjustment will take place for the summer term funding, which is processed in the Autumn term:
26 (additional pupil weeks) / 38 (annual weeks) x £9,000 (commissioned place) = £6,158
School A’s funding total will increase by £6,158 above the agreed places and indicative top up funding for that term.  Note the commissioned place funding will be different for each special school.
</t>
    </r>
    <r>
      <rPr>
        <b/>
        <sz val="12"/>
        <rFont val="Calibri"/>
        <family val="2"/>
        <scheme val="minor"/>
      </rPr>
      <t>Band Profile</t>
    </r>
    <r>
      <rPr>
        <sz val="12"/>
        <rFont val="Calibri"/>
        <family val="2"/>
        <scheme val="minor"/>
      </rPr>
      <t xml:space="preserve">
A full moderation exercise of schools band profiles took place during 2017. This has now been updated in line with current class lists (as at November 2020) for the 2021/22 financial year funding.
These band classifications have been recorded against our pupil records, and will be continuously updated as a result of any further agreed changes in need.  Guidance has been distributed to assist schools in understanding the special school placement process, including details of the band descriptors, and how to request a change to a pupil band through the Annual Review meeting. To ensure pupil-led funding continues to reflect pupils needs in the school and are updated on an annual basis, a pupil data snapshot will then take place in the autumn term, which will determine the banding funding in the school for the following financial year's budget share. This is a move away from undertaking a pupil moderation process every year. 
</t>
    </r>
    <r>
      <rPr>
        <b/>
        <sz val="12"/>
        <rFont val="Calibri"/>
        <family val="2"/>
        <scheme val="minor"/>
      </rPr>
      <t>Maintained Schools’ Budget Shares</t>
    </r>
    <r>
      <rPr>
        <sz val="12"/>
        <rFont val="Calibri"/>
        <family val="2"/>
        <scheme val="minor"/>
      </rPr>
      <t xml:space="preserve">
Maintained special schools place funding will be transferred as a virement, whereas the top up element of funding will be actioned via a recharge code in monthly instalments. Any in-year adjustments will be adjusted on a termly basis to reflect pupil number changes (based on the school's completed return, see top up section above for more information), and these will also be made via a recharge code.  Payment profiles will be issued to maintained schools in April 2021 to assist with their budget planning
</t>
    </r>
    <r>
      <rPr>
        <b/>
        <sz val="12"/>
        <rFont val="Calibri"/>
        <family val="2"/>
        <scheme val="minor"/>
      </rPr>
      <t>Special School Academies</t>
    </r>
    <r>
      <rPr>
        <sz val="12"/>
        <rFont val="Calibri"/>
        <family val="2"/>
        <scheme val="minor"/>
      </rPr>
      <t xml:space="preserve">
Special school academies will receive their place funding direct from the ESFA – this funding is recouped from Lincolnshire’s DSG.  The top up funding is paid by the commissioning LA directly to the school.  Top up allocations will be made on a monthly basis based on the school's academic year place numbers and applying a 1/12th methodology, subject to the termly reconciliation process. Payment profiles will be issued to Academies in April 2021 to assist with their budget planning.
</t>
    </r>
    <r>
      <rPr>
        <b/>
        <sz val="12"/>
        <rFont val="Calibri"/>
        <family val="2"/>
        <scheme val="minor"/>
      </rPr>
      <t>Special Schools with Residential Provision</t>
    </r>
    <r>
      <rPr>
        <sz val="12"/>
        <rFont val="Calibri"/>
        <family val="2"/>
        <scheme val="minor"/>
      </rPr>
      <t xml:space="preserve">
The current arrangements for St Bernard's will continue in 2021/22 (£536,951). St Francis residential arrangements are subject to a formal decision by the Council - funding will be confirmed based on the outcome of the decision.
</t>
    </r>
    <r>
      <rPr>
        <b/>
        <sz val="12"/>
        <rFont val="Calibri"/>
        <family val="2"/>
        <scheme val="minor"/>
      </rPr>
      <t>Outreach</t>
    </r>
    <r>
      <rPr>
        <sz val="12"/>
        <rFont val="Calibri"/>
        <family val="2"/>
        <scheme val="minor"/>
      </rPr>
      <t xml:space="preserve">
Contracts have been established for the two schools commissioned to undertake outreach arrangements. These run from September 2020 – August 2021, therefore a 5 month allocation has been factored into the 2021/22 budget share to cover the period April 2021 - August 2021. It has been recommended to extend these for a further year, therefore in-year adjustments will be allocated once the agreement to continue has been confirmed
Gosberton House (Learning Difficulties) - £257,292 (Annual cost is £617,500)
St Francis (Physical Difficulties) - £58,515 (Annual cost is £140,436)
</t>
    </r>
    <r>
      <rPr>
        <b/>
        <sz val="12"/>
        <rFont val="Calibri"/>
        <family val="2"/>
        <scheme val="minor"/>
      </rPr>
      <t>Portage</t>
    </r>
    <r>
      <rPr>
        <sz val="12"/>
        <rFont val="Calibri"/>
        <family val="2"/>
        <scheme val="minor"/>
      </rPr>
      <t xml:space="preserve">
The current level of funding for each special school commissioned to undertake portage work is £35,258, however this service is currently under review. The agreement currently runs until August 2021 only, therefore funding has been included to cover April 2021 - August 2021, and will be subject to mid-year adjustments pending the outcome of the review.
</t>
    </r>
  </si>
  <si>
    <t>5. Monetary MFG Funding adjustment for 2021/22. This value has been adjusted to reflect the MFG entitlements for Bands A - F. This compares the level of MFG funding the school received per band in 2020/21 against what they will receive in 2021/22. The MFG continues to be established at 0% in line with the DfE regulations. In accordance with the DfE High Needs Operational Guidance on MFG arrangements, schools are protected by the MFG when numbers and complexity of pupil needs remains the same (i.e. comparing like with like), therefore MFG comparisons have been made to each band to ensure schools subject to MFG are protected on the lower of the two years band pupil numbers between 2020/21 and 2021/22, e.g. protection of existing pupils with the same needs still within the school. The LA has increased the band values for teaching assistant costs from 2021/22, and these band increases are deducted from each bands monetary protection (if applicable), before determining the school protection per band. See tab 'MFG'.</t>
  </si>
  <si>
    <t>4. MFG Per Pupil. This reflects the value of the MFG per pupil that the school were in receipt of in 2020/21. It takes the total MFG allocation from 2020/21 (cell P6), and divides it by the total 2020/21 place numbers (less Band G.). If the resulting MFG per pupil value is negative (i.e. receiving a greater level of pupil funding) it means that no MFG is applicable, resulting in no further allocations due in 2021/22. If the value is positive, the figure is used to determine the level of MFG protection across the schools band profile.</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</si>
</sst>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quot;£&quot;#,##0;\-&quot;£&quot;#,##0"/>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0"/>
    <numFmt numFmtId="165" formatCode="0.0"/>
    <numFmt numFmtId="166" formatCode="&quot;£&quot;#,##0.00"/>
    <numFmt numFmtId="167" formatCode="0.0%"/>
    <numFmt numFmtId="168" formatCode="_(&quot;$&quot;* #,##0.00_);_(&quot;$&quot;* \(#,##0.00\);_(&quot;$&quot;* &quot;-&quot;??_);_(@_)"/>
    <numFmt numFmtId="169" formatCode="0_)"/>
    <numFmt numFmtId="170" formatCode="0.00_)"/>
    <numFmt numFmtId="171" formatCode="#,##0.0"/>
    <numFmt numFmtId="172" formatCode="0000"/>
    <numFmt numFmtId="173" formatCode="0.000000"/>
    <numFmt numFmtId="174" formatCode="0.000"/>
    <numFmt numFmtId="175" formatCode="0.0000_)"/>
    <numFmt numFmtId="176" formatCode="General_)"/>
    <numFmt numFmtId="177" formatCode="_-* #,##0_-;\-* #,##0_-;_-* &quot;-&quot;??_-;_-@_-"/>
    <numFmt numFmtId="178" formatCode="#,##0.00%"/>
    <numFmt numFmtId="179" formatCode="0.0000%"/>
  </numFmts>
  <fonts count="1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name val="Arial"/>
      <family val="2"/>
    </font>
    <font>
      <sz val="10"/>
      <name val="Arial"/>
      <family val="2"/>
    </font>
    <font>
      <sz val="16"/>
      <name val="Arial"/>
      <family val="2"/>
    </font>
    <font>
      <b/>
      <sz val="10"/>
      <name val="Arial"/>
      <family val="2"/>
    </font>
    <font>
      <b/>
      <u/>
      <sz val="10"/>
      <name val="Arial"/>
      <family val="2"/>
    </font>
    <font>
      <b/>
      <sz val="8"/>
      <name val="Arial"/>
      <family val="2"/>
    </font>
    <font>
      <sz val="8"/>
      <name val="Arial"/>
      <family val="2"/>
    </font>
    <font>
      <sz val="10"/>
      <name val="Times New Roman"/>
      <family val="1"/>
    </font>
    <font>
      <b/>
      <sz val="10"/>
      <color indexed="8"/>
      <name val="Times New Roman"/>
      <family val="1"/>
    </font>
    <font>
      <b/>
      <sz val="10"/>
      <name val="Times New Roman"/>
      <family val="1"/>
    </font>
    <font>
      <i/>
      <sz val="10"/>
      <name val="Times New Roman"/>
      <family val="1"/>
    </font>
    <font>
      <sz val="19"/>
      <name val="Times New Roman"/>
      <family val="1"/>
    </font>
    <font>
      <u/>
      <sz val="10"/>
      <name val="Arial"/>
      <family val="2"/>
    </font>
    <font>
      <b/>
      <i/>
      <sz val="10"/>
      <name val="Arial"/>
      <family val="2"/>
    </font>
    <font>
      <i/>
      <sz val="10"/>
      <name val="Arial"/>
      <family val="2"/>
    </font>
    <font>
      <sz val="11"/>
      <name val="Arial"/>
      <family val="2"/>
    </font>
    <font>
      <sz val="14"/>
      <name val="Arial"/>
      <family val="2"/>
    </font>
    <font>
      <sz val="9"/>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8"/>
      <name val="Arial"/>
      <family val="2"/>
    </font>
    <font>
      <sz val="10"/>
      <color indexed="8"/>
      <name val="Arial"/>
      <family val="2"/>
    </font>
    <font>
      <sz val="10"/>
      <color indexed="21"/>
      <name val="System"/>
      <family val="2"/>
    </font>
    <font>
      <sz val="9"/>
      <color indexed="18"/>
      <name val="Arial"/>
      <family val="2"/>
    </font>
    <font>
      <sz val="10"/>
      <color indexed="18"/>
      <name val="System"/>
      <family val="2"/>
    </font>
    <font>
      <i/>
      <sz val="10"/>
      <color indexed="17"/>
      <name val="System"/>
      <family val="2"/>
    </font>
    <font>
      <sz val="10"/>
      <color indexed="14"/>
      <name val="System"/>
      <family val="2"/>
    </font>
    <font>
      <sz val="9"/>
      <name val="Arial"/>
      <family val="2"/>
    </font>
    <font>
      <sz val="10"/>
      <color indexed="17"/>
      <name val="System"/>
      <family val="2"/>
    </font>
    <font>
      <u/>
      <sz val="12"/>
      <name val="Arial"/>
      <family val="2"/>
    </font>
    <font>
      <sz val="12"/>
      <name val="Arial"/>
      <family val="2"/>
    </font>
    <font>
      <b/>
      <sz val="9"/>
      <color indexed="8"/>
      <name val="Arial"/>
      <family val="2"/>
    </font>
    <font>
      <sz val="10"/>
      <name val="MS Sans Serif"/>
      <family val="2"/>
    </font>
    <font>
      <b/>
      <sz val="14"/>
      <name val="Arial"/>
      <family val="2"/>
    </font>
    <font>
      <b/>
      <sz val="11"/>
      <name val="Arial"/>
      <family val="2"/>
    </font>
    <font>
      <b/>
      <sz val="10"/>
      <color indexed="9"/>
      <name val="Arial"/>
      <family val="2"/>
    </font>
    <font>
      <b/>
      <sz val="10"/>
      <color indexed="12"/>
      <name val="Arial"/>
      <family val="2"/>
    </font>
    <font>
      <sz val="12"/>
      <name val="Calibri"/>
      <family val="2"/>
    </font>
    <font>
      <sz val="10"/>
      <name val="Calibri"/>
      <family val="2"/>
    </font>
    <font>
      <sz val="10"/>
      <color indexed="10"/>
      <name val="Arial"/>
      <family val="2"/>
    </font>
    <font>
      <sz val="8"/>
      <name val="Arial"/>
      <family val="2"/>
    </font>
    <font>
      <sz val="11"/>
      <color theme="1"/>
      <name val="Calibri"/>
      <family val="2"/>
      <scheme val="minor"/>
    </font>
    <font>
      <b/>
      <sz val="10"/>
      <color rgb="FF000000"/>
      <name val="Arial"/>
      <family val="2"/>
    </font>
    <font>
      <sz val="10"/>
      <color theme="1"/>
      <name val="Arial"/>
      <family val="2"/>
    </font>
    <font>
      <sz val="10"/>
      <color rgb="FFFF0000"/>
      <name val="Arial"/>
      <family val="2"/>
    </font>
    <font>
      <u/>
      <sz val="10"/>
      <color rgb="FFFF0000"/>
      <name val="Arial"/>
      <family val="2"/>
    </font>
    <font>
      <b/>
      <sz val="10"/>
      <color theme="4" tint="-0.249977111117893"/>
      <name val="Arial"/>
      <family val="2"/>
    </font>
    <font>
      <sz val="9"/>
      <color indexed="81"/>
      <name val="Tahoma"/>
      <family val="2"/>
    </font>
    <font>
      <b/>
      <sz val="9"/>
      <color indexed="81"/>
      <name val="Tahoma"/>
      <family val="2"/>
    </font>
    <font>
      <b/>
      <u/>
      <sz val="8"/>
      <name val="Arial"/>
      <family val="2"/>
    </font>
    <font>
      <sz val="8"/>
      <color theme="1"/>
      <name val="Calibri"/>
      <family val="2"/>
      <scheme val="minor"/>
    </font>
    <font>
      <b/>
      <sz val="8"/>
      <color indexed="8"/>
      <name val="Arial"/>
      <family val="2"/>
    </font>
    <font>
      <sz val="8"/>
      <color indexed="8"/>
      <name val="Arial"/>
      <family val="2"/>
    </font>
    <font>
      <u/>
      <sz val="8"/>
      <name val="Arial"/>
      <family val="2"/>
    </font>
    <font>
      <b/>
      <sz val="12"/>
      <name val="Arial"/>
      <family val="2"/>
    </font>
    <font>
      <sz val="10"/>
      <name val="Arial"/>
      <family val="2"/>
    </font>
    <font>
      <b/>
      <sz val="10"/>
      <color theme="1"/>
      <name val="Arial"/>
      <family val="2"/>
    </font>
    <font>
      <b/>
      <sz val="8"/>
      <color indexed="81"/>
      <name val="Tahoma"/>
      <family val="2"/>
    </font>
    <font>
      <sz val="8"/>
      <color indexed="81"/>
      <name val="Tahoma"/>
      <family val="2"/>
    </font>
    <font>
      <b/>
      <sz val="11"/>
      <color theme="0"/>
      <name val="Arial"/>
      <family val="2"/>
    </font>
    <font>
      <b/>
      <sz val="10"/>
      <name val="Courier"/>
      <family val="3"/>
    </font>
    <font>
      <sz val="8"/>
      <name val="Arial Black"/>
      <family val="2"/>
    </font>
    <font>
      <sz val="10"/>
      <name val="Arial Black"/>
      <family val="2"/>
    </font>
    <font>
      <sz val="12"/>
      <color theme="1"/>
      <name val="Arial"/>
      <family val="2"/>
    </font>
    <font>
      <sz val="12"/>
      <color rgb="FFFF0000"/>
      <name val="Arial"/>
      <family val="2"/>
    </font>
    <font>
      <sz val="12"/>
      <name val="Courier"/>
      <family val="3"/>
    </font>
    <font>
      <sz val="10"/>
      <name val="Courier"/>
      <family val="3"/>
    </font>
    <font>
      <b/>
      <sz val="16"/>
      <name val="Arial"/>
      <family val="2"/>
    </font>
    <font>
      <sz val="12"/>
      <name val="Arial Black"/>
      <family val="2"/>
    </font>
    <font>
      <b/>
      <sz val="18"/>
      <name val="Arial"/>
      <family val="2"/>
    </font>
    <font>
      <sz val="12"/>
      <color indexed="50"/>
      <name val="Arial"/>
      <family val="2"/>
    </font>
    <font>
      <i/>
      <sz val="16"/>
      <name val="Arial"/>
      <family val="2"/>
    </font>
    <font>
      <sz val="12"/>
      <color indexed="13"/>
      <name val="Arial"/>
      <family val="2"/>
    </font>
    <font>
      <b/>
      <sz val="16"/>
      <name val="Arial Black"/>
      <family val="2"/>
    </font>
    <font>
      <b/>
      <sz val="12"/>
      <name val="Arial Black"/>
      <family val="2"/>
    </font>
    <font>
      <b/>
      <sz val="10"/>
      <name val="Arial Black"/>
      <family val="2"/>
    </font>
    <font>
      <sz val="12"/>
      <color indexed="10"/>
      <name val="Arial"/>
      <family val="2"/>
    </font>
    <font>
      <sz val="12"/>
      <color rgb="FF00B050"/>
      <name val="Arial"/>
      <family val="2"/>
    </font>
    <font>
      <i/>
      <sz val="12"/>
      <name val="Arial"/>
      <family val="2"/>
    </font>
    <font>
      <u/>
      <sz val="10"/>
      <color theme="1"/>
      <name val="Arial"/>
      <family val="2"/>
    </font>
    <font>
      <b/>
      <sz val="11"/>
      <color theme="1"/>
      <name val="Calibri"/>
      <family val="2"/>
      <scheme val="minor"/>
    </font>
    <font>
      <i/>
      <sz val="11"/>
      <color theme="1"/>
      <name val="Calibri"/>
      <family val="2"/>
      <scheme val="minor"/>
    </font>
    <font>
      <b/>
      <u/>
      <sz val="11"/>
      <color theme="1"/>
      <name val="Calibri"/>
      <family val="2"/>
      <scheme val="minor"/>
    </font>
    <font>
      <b/>
      <sz val="11"/>
      <color rgb="FFFF0000"/>
      <name val="Calibri"/>
      <family val="2"/>
      <scheme val="minor"/>
    </font>
    <font>
      <i/>
      <sz val="10"/>
      <color rgb="FFFF0000"/>
      <name val="Arial"/>
      <family val="2"/>
    </font>
    <font>
      <sz val="14"/>
      <color rgb="FFFF0000"/>
      <name val="Arial"/>
      <family val="2"/>
    </font>
    <font>
      <b/>
      <i/>
      <sz val="10"/>
      <color rgb="FFFF0000"/>
      <name val="Arial"/>
      <family val="2"/>
    </font>
    <font>
      <sz val="10"/>
      <name val="Arial"/>
      <family val="2"/>
    </font>
    <font>
      <b/>
      <sz val="10"/>
      <color rgb="FFFF0000"/>
      <name val="Arial"/>
      <family val="2"/>
    </font>
    <font>
      <i/>
      <sz val="10"/>
      <color rgb="FF00B050"/>
      <name val="Arial"/>
      <family val="2"/>
    </font>
    <font>
      <sz val="11"/>
      <name val="Calibri"/>
      <family val="2"/>
      <scheme val="minor"/>
    </font>
    <font>
      <b/>
      <sz val="9"/>
      <color rgb="FF000000"/>
      <name val="Arial"/>
      <family val="2"/>
    </font>
    <font>
      <sz val="9"/>
      <color rgb="FF000000"/>
      <name val="Arial"/>
      <family val="2"/>
    </font>
    <font>
      <sz val="12"/>
      <name val="Calibri"/>
      <family val="2"/>
      <scheme val="minor"/>
    </font>
    <font>
      <b/>
      <sz val="12"/>
      <name val="Calibri"/>
      <family val="2"/>
      <scheme val="minor"/>
    </font>
    <font>
      <b/>
      <u/>
      <sz val="12"/>
      <name val="Calibri"/>
      <family val="2"/>
      <scheme val="minor"/>
    </font>
    <font>
      <sz val="12"/>
      <color rgb="FFFF0000"/>
      <name val="Calibri"/>
      <family val="2"/>
      <scheme val="minor"/>
    </font>
    <font>
      <sz val="12"/>
      <color indexed="10"/>
      <name val="Calibri"/>
      <family val="2"/>
      <scheme val="minor"/>
    </font>
    <font>
      <u/>
      <sz val="12"/>
      <name val="Calibri"/>
      <family val="2"/>
      <scheme val="minor"/>
    </font>
    <font>
      <b/>
      <sz val="12"/>
      <color indexed="9"/>
      <name val="Calibri"/>
      <family val="2"/>
      <scheme val="minor"/>
    </font>
    <font>
      <b/>
      <sz val="12"/>
      <color indexed="12"/>
      <name val="Calibri"/>
      <family val="2"/>
      <scheme val="minor"/>
    </font>
    <font>
      <i/>
      <sz val="12"/>
      <name val="Calibri"/>
      <family val="2"/>
      <scheme val="minor"/>
    </font>
    <font>
      <i/>
      <u/>
      <sz val="12"/>
      <name val="Calibri"/>
      <family val="2"/>
      <scheme val="minor"/>
    </font>
    <font>
      <i/>
      <sz val="12"/>
      <color rgb="FFFF0000"/>
      <name val="Calibri"/>
      <family val="2"/>
      <scheme val="minor"/>
    </font>
    <font>
      <i/>
      <sz val="12"/>
      <color theme="1"/>
      <name val="Calibri"/>
      <family val="2"/>
      <scheme val="minor"/>
    </font>
    <font>
      <sz val="12"/>
      <color theme="1"/>
      <name val="Calibri"/>
      <family val="2"/>
      <scheme val="minor"/>
    </font>
    <font>
      <b/>
      <i/>
      <sz val="12"/>
      <color rgb="FFFF0000"/>
      <name val="Calibri"/>
      <family val="2"/>
      <scheme val="minor"/>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22"/>
        <bgColor indexed="64"/>
      </patternFill>
    </fill>
    <fill>
      <patternFill patternType="solid">
        <fgColor indexed="13"/>
        <bgColor indexed="64"/>
      </patternFill>
    </fill>
    <fill>
      <patternFill patternType="solid">
        <fgColor indexed="40"/>
        <bgColor indexed="64"/>
      </patternFill>
    </fill>
    <fill>
      <patternFill patternType="solid">
        <fgColor indexed="50"/>
        <bgColor indexed="64"/>
      </patternFill>
    </fill>
    <fill>
      <patternFill patternType="solid">
        <fgColor indexed="11"/>
        <bgColor indexed="64"/>
      </patternFill>
    </fill>
    <fill>
      <patternFill patternType="solid">
        <fgColor indexed="9"/>
        <bgColor indexed="9"/>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C0C0C0"/>
        <bgColor rgb="FFC0C0C0"/>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FF66FF"/>
        <bgColor indexed="64"/>
      </patternFill>
    </fill>
    <fill>
      <patternFill patternType="solid">
        <fgColor rgb="FF0070C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indexed="42"/>
        <bgColor indexed="64"/>
      </patternFill>
    </fill>
    <fill>
      <patternFill patternType="solid">
        <fgColor theme="5" tint="0.39997558519241921"/>
        <bgColor indexed="64"/>
      </patternFill>
    </fill>
    <fill>
      <patternFill patternType="solid">
        <fgColor rgb="FF99CC00"/>
        <bgColor rgb="FFFFFFFF"/>
      </patternFill>
    </fill>
    <fill>
      <patternFill patternType="solid">
        <fgColor theme="6" tint="0.59999389629810485"/>
        <bgColor rgb="FFFFFFFF"/>
      </patternFill>
    </fill>
    <fill>
      <patternFill patternType="solid">
        <fgColor rgb="FFFFFFFF"/>
        <bgColor rgb="FFFFFFFF"/>
      </patternFill>
    </fill>
    <fill>
      <patternFill patternType="solid">
        <fgColor rgb="FFFF9900"/>
        <bgColor rgb="FFFFFFFF"/>
      </patternFill>
    </fill>
    <fill>
      <patternFill patternType="solid">
        <fgColor rgb="FFF0F0F4"/>
        <bgColor rgb="FFFFFFFF"/>
      </patternFill>
    </fill>
    <fill>
      <patternFill patternType="solid">
        <fgColor theme="6" tint="0.59999389629810485"/>
        <bgColor indexed="64"/>
      </patternFill>
    </fill>
    <fill>
      <patternFill patternType="solid">
        <fgColor rgb="FFFF0000"/>
        <bgColor rgb="FFFFFFFF"/>
      </patternFill>
    </fill>
    <fill>
      <patternFill patternType="solid">
        <fgColor rgb="FFFFFF00"/>
        <bgColor rgb="FFFFFFFF"/>
      </patternFill>
    </fill>
    <fill>
      <patternFill patternType="solid">
        <fgColor theme="5" tint="0.59999389629810485"/>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13"/>
      </top>
      <bottom style="thin">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33"/>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style="medium">
        <color indexed="64"/>
      </left>
      <right/>
      <top style="thick">
        <color indexed="64"/>
      </top>
      <bottom/>
      <diagonal/>
    </border>
    <border>
      <left style="medium">
        <color indexed="64"/>
      </left>
      <right/>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01">
    <xf numFmtId="0" fontId="0" fillId="0" borderId="0"/>
    <xf numFmtId="0" fontId="4" fillId="0" borderId="0"/>
    <xf numFmtId="0" fontId="7" fillId="0" borderId="0"/>
    <xf numFmtId="0" fontId="4" fillId="0" borderId="0"/>
    <xf numFmtId="0" fontId="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43" fontId="13" fillId="0" borderId="0" applyFont="0" applyFill="0" applyBorder="0" applyAlignment="0" applyProtection="0"/>
    <xf numFmtId="44" fontId="24" fillId="0" borderId="0" applyFont="0" applyFill="0" applyBorder="0" applyAlignment="0" applyProtection="0"/>
    <xf numFmtId="0" fontId="43" fillId="0" borderId="0" applyNumberFormat="0" applyFill="0" applyBorder="0" applyAlignment="0" applyProtection="0">
      <protection locked="0"/>
    </xf>
    <xf numFmtId="0" fontId="29" fillId="0" borderId="0" applyNumberFormat="0" applyFill="0" applyBorder="0" applyAlignment="0" applyProtection="0"/>
    <xf numFmtId="1" fontId="44" fillId="0" borderId="0" applyNumberFormat="0" applyFill="0" applyBorder="0" applyAlignment="0" applyProtection="0"/>
    <xf numFmtId="0" fontId="30" fillId="4" borderId="0" applyNumberFormat="0" applyBorder="0" applyAlignment="0" applyProtection="0"/>
    <xf numFmtId="0" fontId="9" fillId="0" borderId="0">
      <alignment horizontal="right" vertical="top"/>
    </xf>
    <xf numFmtId="0" fontId="11" fillId="0" borderId="0">
      <alignment horizontal="center" vertical="center" wrapText="1"/>
    </xf>
    <xf numFmtId="0" fontId="12" fillId="0" borderId="3">
      <alignment horizontal="center" vertical="center" wrapText="1"/>
    </xf>
    <xf numFmtId="0" fontId="11" fillId="0" borderId="0">
      <alignment horizontal="left" wrapText="1"/>
    </xf>
    <xf numFmtId="0" fontId="31" fillId="0" borderId="4"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33" fillId="0" borderId="0" applyNumberFormat="0" applyFill="0" applyBorder="0" applyAlignment="0" applyProtection="0"/>
    <xf numFmtId="1" fontId="45" fillId="0" borderId="0" applyNumberFormat="0" applyFill="0" applyBorder="0" applyAlignment="0" applyProtection="0"/>
    <xf numFmtId="0" fontId="34" fillId="7" borderId="1" applyNumberFormat="0" applyAlignment="0" applyProtection="0"/>
    <xf numFmtId="0" fontId="12" fillId="0" borderId="0">
      <alignment horizontal="left" vertical="center"/>
    </xf>
    <xf numFmtId="0" fontId="12" fillId="0" borderId="0">
      <alignment horizontal="center" vertical="center"/>
    </xf>
    <xf numFmtId="0" fontId="35" fillId="0" borderId="7" applyNumberFormat="0" applyFill="0" applyAlignment="0" applyProtection="0"/>
    <xf numFmtId="10" fontId="46" fillId="0" borderId="8" applyFill="0" applyAlignment="0" applyProtection="0">
      <protection locked="0"/>
    </xf>
    <xf numFmtId="0" fontId="36" fillId="22" borderId="0" applyNumberFormat="0" applyBorder="0" applyAlignment="0" applyProtection="0"/>
    <xf numFmtId="0" fontId="13" fillId="0" borderId="0"/>
    <xf numFmtId="0" fontId="7" fillId="0" borderId="0" applyNumberFormat="0" applyFill="0" applyBorder="0" applyAlignment="0" applyProtection="0"/>
    <xf numFmtId="0" fontId="7" fillId="0" borderId="0"/>
    <xf numFmtId="0" fontId="62" fillId="0" borderId="0"/>
    <xf numFmtId="0" fontId="24" fillId="0" borderId="0"/>
    <xf numFmtId="0" fontId="21" fillId="0" borderId="0"/>
    <xf numFmtId="0" fontId="53" fillId="0" borderId="0"/>
    <xf numFmtId="0" fontId="24" fillId="0" borderId="0"/>
    <xf numFmtId="0" fontId="21" fillId="0" borderId="0"/>
    <xf numFmtId="0" fontId="21" fillId="0" borderId="0"/>
    <xf numFmtId="0" fontId="24" fillId="23" borderId="9" applyNumberFormat="0" applyFont="0" applyAlignment="0" applyProtection="0"/>
    <xf numFmtId="3" fontId="12" fillId="0" borderId="0">
      <alignment horizontal="right"/>
    </xf>
    <xf numFmtId="0" fontId="37" fillId="20" borderId="10" applyNumberFormat="0" applyAlignment="0" applyProtection="0"/>
    <xf numFmtId="1" fontId="47" fillId="0" borderId="11" applyNumberFormat="0" applyFill="0" applyBorder="0" applyAlignment="0" applyProtection="0"/>
    <xf numFmtId="4" fontId="14" fillId="0" borderId="12" applyNumberFormat="0" applyProtection="0">
      <alignment vertical="center"/>
    </xf>
    <xf numFmtId="4" fontId="14" fillId="0" borderId="13" applyNumberFormat="0" applyProtection="0">
      <alignment horizontal="centerContinuous" vertical="center"/>
    </xf>
    <xf numFmtId="0" fontId="15" fillId="0" borderId="14" applyNumberFormat="0" applyProtection="0">
      <alignment vertical="center"/>
    </xf>
    <xf numFmtId="0" fontId="15" fillId="0" borderId="15" applyNumberFormat="0" applyProtection="0">
      <alignment horizontal="left" vertical="center" indent="1"/>
    </xf>
    <xf numFmtId="0" fontId="16" fillId="0" borderId="15" applyNumberFormat="0" applyProtection="0">
      <alignment horizontal="left" vertical="center" indent="1"/>
    </xf>
    <xf numFmtId="0" fontId="14" fillId="0" borderId="16" applyNumberFormat="0" applyProtection="0">
      <alignment horizontal="right" vertical="top" wrapText="1"/>
    </xf>
    <xf numFmtId="4" fontId="17" fillId="0" borderId="17" applyNumberFormat="0" applyProtection="0">
      <alignment horizontal="left" vertical="center" indent="1"/>
    </xf>
    <xf numFmtId="0" fontId="4" fillId="0" borderId="0"/>
    <xf numFmtId="0" fontId="5" fillId="0" borderId="18" applyBorder="0">
      <alignment horizontal="right"/>
    </xf>
    <xf numFmtId="168" fontId="4" fillId="0" borderId="0"/>
    <xf numFmtId="168" fontId="4" fillId="0" borderId="0"/>
    <xf numFmtId="168" fontId="4" fillId="0" borderId="0"/>
    <xf numFmtId="0" fontId="38" fillId="0" borderId="0" applyNumberFormat="0" applyFill="0" applyBorder="0" applyAlignment="0" applyProtection="0"/>
    <xf numFmtId="0" fontId="39" fillId="0" borderId="19" applyNumberFormat="0" applyFill="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0" fillId="0" borderId="0" applyNumberFormat="0" applyFill="0" applyBorder="0" applyAlignment="0" applyProtection="0"/>
    <xf numFmtId="0" fontId="3" fillId="0" borderId="0"/>
    <xf numFmtId="43" fontId="3" fillId="0" borderId="0" applyFont="0" applyFill="0" applyBorder="0" applyAlignment="0" applyProtection="0"/>
    <xf numFmtId="0" fontId="4" fillId="0" borderId="0"/>
    <xf numFmtId="0" fontId="4" fillId="0" borderId="0"/>
    <xf numFmtId="4" fontId="42" fillId="0" borderId="0" applyNumberFormat="0" applyProtection="0">
      <alignment horizontal="left" vertical="center" indent="1"/>
    </xf>
    <xf numFmtId="43" fontId="76" fillId="0" borderId="0" applyFont="0" applyFill="0" applyBorder="0" applyAlignment="0" applyProtection="0"/>
    <xf numFmtId="0" fontId="4" fillId="0" borderId="0"/>
    <xf numFmtId="0" fontId="4" fillId="0" borderId="0"/>
    <xf numFmtId="0" fontId="5" fillId="0" borderId="3">
      <alignment horizontal="center" vertical="center" wrapText="1"/>
    </xf>
    <xf numFmtId="0" fontId="5" fillId="0" borderId="0">
      <alignment horizontal="left" vertical="center"/>
    </xf>
    <xf numFmtId="0" fontId="5" fillId="0" borderId="0">
      <alignment horizontal="center" vertical="center"/>
    </xf>
    <xf numFmtId="0" fontId="4" fillId="0" borderId="0" applyNumberFormat="0" applyFill="0" applyBorder="0" applyAlignment="0" applyProtection="0"/>
    <xf numFmtId="0" fontId="4" fillId="0" borderId="0"/>
    <xf numFmtId="0" fontId="2" fillId="0" borderId="0"/>
    <xf numFmtId="3" fontId="5" fillId="0" borderId="0">
      <alignment horizontal="right"/>
    </xf>
    <xf numFmtId="0" fontId="4" fillId="0" borderId="0"/>
    <xf numFmtId="9" fontId="108" fillId="0" borderId="0" applyFont="0" applyFill="0" applyBorder="0" applyAlignment="0" applyProtection="0"/>
  </cellStyleXfs>
  <cellXfs count="2053">
    <xf numFmtId="0" fontId="0" fillId="0" borderId="0" xfId="0"/>
    <xf numFmtId="0" fontId="6" fillId="0" borderId="0" xfId="0" applyFont="1"/>
    <xf numFmtId="0" fontId="0" fillId="0" borderId="0" xfId="0" applyAlignment="1">
      <alignment horizontal="center"/>
    </xf>
    <xf numFmtId="0" fontId="0" fillId="0" borderId="0" xfId="0" applyAlignment="1">
      <alignment horizontal="right"/>
    </xf>
    <xf numFmtId="0" fontId="8" fillId="0" borderId="0" xfId="0" applyFont="1"/>
    <xf numFmtId="0" fontId="9" fillId="0" borderId="0" xfId="0" applyFont="1" applyAlignment="1">
      <alignment horizontal="center"/>
    </xf>
    <xf numFmtId="0" fontId="7" fillId="0" borderId="0" xfId="0" applyFont="1"/>
    <xf numFmtId="0" fontId="10" fillId="0" borderId="0" xfId="0" applyFont="1"/>
    <xf numFmtId="0" fontId="0" fillId="0" borderId="12" xfId="0" applyBorder="1" applyAlignment="1">
      <alignment horizontal="center"/>
    </xf>
    <xf numFmtId="0" fontId="0" fillId="0" borderId="20" xfId="0" applyBorder="1" applyAlignment="1">
      <alignment horizontal="center"/>
    </xf>
    <xf numFmtId="0" fontId="0" fillId="24" borderId="20" xfId="0" applyFill="1" applyBorder="1" applyAlignment="1">
      <alignment horizontal="center"/>
    </xf>
    <xf numFmtId="0" fontId="9" fillId="24" borderId="20" xfId="0" applyFont="1" applyFill="1" applyBorder="1" applyAlignment="1">
      <alignment horizontal="center" wrapText="1"/>
    </xf>
    <xf numFmtId="0" fontId="9" fillId="24" borderId="12" xfId="0" applyFont="1" applyFill="1" applyBorder="1" applyAlignment="1">
      <alignment horizontal="right"/>
    </xf>
    <xf numFmtId="0" fontId="9" fillId="0" borderId="12" xfId="0" applyFont="1" applyBorder="1" applyAlignment="1">
      <alignment horizontal="center"/>
    </xf>
    <xf numFmtId="0" fontId="9" fillId="0" borderId="20" xfId="0" applyFont="1" applyBorder="1" applyAlignment="1">
      <alignment horizontal="center" wrapText="1"/>
    </xf>
    <xf numFmtId="0" fontId="9" fillId="0" borderId="12" xfId="0" applyFont="1" applyBorder="1" applyAlignment="1">
      <alignment horizontal="center" wrapText="1"/>
    </xf>
    <xf numFmtId="164" fontId="0" fillId="0" borderId="0" xfId="0" applyNumberFormat="1" applyAlignment="1">
      <alignment horizontal="center"/>
    </xf>
    <xf numFmtId="164" fontId="0" fillId="24" borderId="12" xfId="0" applyNumberFormat="1" applyFill="1" applyBorder="1" applyAlignment="1">
      <alignment horizontal="center"/>
    </xf>
    <xf numFmtId="164" fontId="0" fillId="0" borderId="12" xfId="0" applyNumberFormat="1" applyBorder="1" applyAlignment="1">
      <alignment horizontal="center"/>
    </xf>
    <xf numFmtId="0" fontId="0" fillId="0" borderId="0" xfId="0" applyFill="1"/>
    <xf numFmtId="0" fontId="0" fillId="0" borderId="0" xfId="0" applyBorder="1"/>
    <xf numFmtId="0" fontId="0" fillId="0" borderId="0" xfId="0" applyFill="1" applyBorder="1"/>
    <xf numFmtId="0" fontId="0" fillId="0" borderId="0" xfId="0" applyBorder="1" applyAlignment="1">
      <alignment horizontal="center"/>
    </xf>
    <xf numFmtId="0" fontId="0" fillId="0" borderId="0" xfId="0" applyBorder="1" applyAlignment="1">
      <alignment horizontal="center" wrapText="1"/>
    </xf>
    <xf numFmtId="0" fontId="0" fillId="24" borderId="21" xfId="0" applyFill="1" applyBorder="1"/>
    <xf numFmtId="0" fontId="0" fillId="24" borderId="22" xfId="0" applyFill="1" applyBorder="1" applyAlignment="1">
      <alignment horizontal="center"/>
    </xf>
    <xf numFmtId="0" fontId="0" fillId="24" borderId="22" xfId="0" applyFill="1" applyBorder="1" applyAlignment="1">
      <alignment horizontal="center" wrapText="1"/>
    </xf>
    <xf numFmtId="0" fontId="6" fillId="0" borderId="23" xfId="0" applyFont="1" applyFill="1" applyBorder="1"/>
    <xf numFmtId="0" fontId="0" fillId="0" borderId="24" xfId="0" applyFill="1" applyBorder="1"/>
    <xf numFmtId="0" fontId="0" fillId="0" borderId="25" xfId="0" applyFill="1" applyBorder="1"/>
    <xf numFmtId="0" fontId="0" fillId="0" borderId="26" xfId="0" applyFill="1" applyBorder="1"/>
    <xf numFmtId="0" fontId="0" fillId="0" borderId="27" xfId="0" applyFill="1" applyBorder="1"/>
    <xf numFmtId="0" fontId="0" fillId="0" borderId="28" xfId="0" applyFill="1" applyBorder="1"/>
    <xf numFmtId="0" fontId="7" fillId="0" borderId="0" xfId="61" applyFont="1" applyAlignment="1"/>
    <xf numFmtId="0" fontId="7" fillId="0" borderId="0" xfId="61" applyFont="1"/>
    <xf numFmtId="0" fontId="7" fillId="0" borderId="18" xfId="61" applyFont="1" applyBorder="1" applyAlignment="1"/>
    <xf numFmtId="0" fontId="7" fillId="0" borderId="12" xfId="61" applyFont="1" applyBorder="1"/>
    <xf numFmtId="0" fontId="7" fillId="0" borderId="12" xfId="61" applyFont="1" applyBorder="1" applyAlignment="1">
      <alignment horizontal="center"/>
    </xf>
    <xf numFmtId="0" fontId="7" fillId="0" borderId="12" xfId="61" applyFont="1" applyFill="1" applyBorder="1"/>
    <xf numFmtId="0" fontId="7" fillId="0" borderId="12" xfId="61" applyFont="1" applyFill="1" applyBorder="1" applyAlignment="1">
      <alignment horizontal="center"/>
    </xf>
    <xf numFmtId="0" fontId="7" fillId="0" borderId="0" xfId="61" applyFont="1" applyFill="1"/>
    <xf numFmtId="0" fontId="7" fillId="0" borderId="0" xfId="61" applyFont="1" applyAlignment="1">
      <alignment horizontal="center"/>
    </xf>
    <xf numFmtId="164" fontId="7" fillId="0" borderId="0" xfId="61" applyNumberFormat="1" applyFont="1" applyAlignment="1">
      <alignment horizontal="center"/>
    </xf>
    <xf numFmtId="0" fontId="20" fillId="0" borderId="12" xfId="61" applyFont="1" applyFill="1" applyBorder="1"/>
    <xf numFmtId="0" fontId="22" fillId="0" borderId="0" xfId="61" applyFont="1" applyAlignment="1"/>
    <xf numFmtId="164" fontId="7" fillId="0" borderId="0" xfId="0" applyNumberFormat="1" applyFont="1" applyAlignment="1">
      <alignment horizontal="center"/>
    </xf>
    <xf numFmtId="0" fontId="7" fillId="0" borderId="0" xfId="0" applyFont="1" applyAlignment="1">
      <alignment horizontal="center"/>
    </xf>
    <xf numFmtId="0" fontId="7" fillId="0" borderId="0" xfId="61" applyFont="1" applyBorder="1" applyAlignment="1"/>
    <xf numFmtId="0" fontId="7" fillId="0" borderId="0" xfId="61" applyFont="1" applyAlignment="1">
      <alignment horizontal="center" wrapText="1"/>
    </xf>
    <xf numFmtId="9" fontId="7" fillId="0" borderId="0" xfId="61" applyNumberFormat="1" applyFont="1" applyAlignment="1">
      <alignment horizontal="center"/>
    </xf>
    <xf numFmtId="0" fontId="7" fillId="0" borderId="0" xfId="61" applyFont="1" applyFill="1" applyBorder="1"/>
    <xf numFmtId="0" fontId="4" fillId="24" borderId="0" xfId="61" applyFont="1" applyFill="1" applyBorder="1"/>
    <xf numFmtId="0" fontId="7" fillId="0" borderId="0" xfId="61" applyFont="1" applyBorder="1"/>
    <xf numFmtId="2" fontId="7" fillId="0" borderId="0" xfId="61" applyNumberFormat="1" applyFont="1" applyAlignment="1">
      <alignment horizontal="center"/>
    </xf>
    <xf numFmtId="0" fontId="4" fillId="0" borderId="0" xfId="61" applyFont="1" applyBorder="1"/>
    <xf numFmtId="0" fontId="21" fillId="0" borderId="0" xfId="61" applyBorder="1"/>
    <xf numFmtId="0" fontId="21" fillId="0" borderId="0" xfId="61" applyBorder="1" applyAlignment="1">
      <alignment horizontal="center" wrapText="1"/>
    </xf>
    <xf numFmtId="164" fontId="21" fillId="0" borderId="0" xfId="61" applyNumberFormat="1" applyAlignment="1">
      <alignment horizontal="center"/>
    </xf>
    <xf numFmtId="2" fontId="7" fillId="0" borderId="0" xfId="61" applyNumberFormat="1" applyFont="1" applyFill="1" applyAlignment="1">
      <alignment horizontal="center"/>
    </xf>
    <xf numFmtId="0" fontId="21" fillId="24" borderId="0" xfId="61" applyFill="1" applyBorder="1"/>
    <xf numFmtId="0" fontId="21" fillId="24" borderId="0" xfId="61" applyFill="1" applyBorder="1" applyAlignment="1">
      <alignment horizontal="center" wrapText="1"/>
    </xf>
    <xf numFmtId="0" fontId="7" fillId="0" borderId="0" xfId="61" applyFont="1" applyFill="1" applyBorder="1" applyAlignment="1">
      <alignment horizontal="center"/>
    </xf>
    <xf numFmtId="164" fontId="9" fillId="0" borderId="0" xfId="61" applyNumberFormat="1" applyFont="1" applyAlignment="1">
      <alignment horizontal="center"/>
    </xf>
    <xf numFmtId="0" fontId="18" fillId="0" borderId="0" xfId="61" applyFont="1" applyAlignment="1"/>
    <xf numFmtId="164" fontId="7" fillId="0" borderId="12" xfId="61" applyNumberFormat="1" applyFont="1" applyBorder="1" applyAlignment="1">
      <alignment horizontal="center"/>
    </xf>
    <xf numFmtId="0" fontId="7" fillId="0" borderId="12" xfId="61" applyFont="1" applyBorder="1" applyAlignment="1">
      <alignment horizontal="center" wrapText="1"/>
    </xf>
    <xf numFmtId="2" fontId="7" fillId="0" borderId="0" xfId="61" applyNumberFormat="1" applyFont="1"/>
    <xf numFmtId="0" fontId="0" fillId="0" borderId="17" xfId="0" applyBorder="1"/>
    <xf numFmtId="0" fontId="0" fillId="0" borderId="29" xfId="0" applyBorder="1"/>
    <xf numFmtId="0" fontId="7" fillId="0" borderId="0" xfId="61" applyFont="1" applyAlignment="1">
      <alignment horizontal="left"/>
    </xf>
    <xf numFmtId="164" fontId="7" fillId="0" borderId="30" xfId="61" applyNumberFormat="1" applyFont="1" applyBorder="1" applyAlignment="1">
      <alignment horizontal="center"/>
    </xf>
    <xf numFmtId="164" fontId="7" fillId="0" borderId="20" xfId="61" applyNumberFormat="1" applyFont="1" applyBorder="1" applyAlignment="1">
      <alignment horizontal="center"/>
    </xf>
    <xf numFmtId="164" fontId="7" fillId="0" borderId="31" xfId="61" applyNumberFormat="1" applyFont="1" applyBorder="1" applyAlignment="1">
      <alignment horizontal="center"/>
    </xf>
    <xf numFmtId="164" fontId="7" fillId="0" borderId="0" xfId="61" applyNumberFormat="1" applyFont="1" applyBorder="1" applyAlignment="1">
      <alignment horizontal="center"/>
    </xf>
    <xf numFmtId="164" fontId="7" fillId="24" borderId="32" xfId="61" applyNumberFormat="1" applyFont="1" applyFill="1" applyBorder="1" applyAlignment="1">
      <alignment horizontal="center"/>
    </xf>
    <xf numFmtId="0" fontId="7" fillId="0" borderId="0" xfId="61" applyFont="1" applyBorder="1" applyAlignment="1">
      <alignment horizontal="left"/>
    </xf>
    <xf numFmtId="0" fontId="7" fillId="0" borderId="0" xfId="61" applyFont="1" applyBorder="1" applyAlignment="1">
      <alignment horizontal="center"/>
    </xf>
    <xf numFmtId="0" fontId="18" fillId="0" borderId="0" xfId="61" applyFont="1" applyBorder="1" applyAlignment="1"/>
    <xf numFmtId="3" fontId="7" fillId="0" borderId="0" xfId="0" applyNumberFormat="1" applyFont="1" applyAlignment="1">
      <alignment horizontal="center"/>
    </xf>
    <xf numFmtId="0" fontId="7" fillId="0" borderId="0" xfId="61" applyFont="1" applyFill="1" applyAlignment="1">
      <alignment horizontal="center"/>
    </xf>
    <xf numFmtId="164" fontId="7" fillId="0" borderId="0" xfId="61" applyNumberFormat="1" applyFont="1" applyFill="1" applyAlignment="1">
      <alignment horizontal="center"/>
    </xf>
    <xf numFmtId="0" fontId="0" fillId="0" borderId="0" xfId="0" applyFill="1" applyAlignment="1">
      <alignment horizontal="center"/>
    </xf>
    <xf numFmtId="0" fontId="7" fillId="0" borderId="0" xfId="61" applyFont="1" applyAlignment="1">
      <alignment horizontal="left" wrapText="1"/>
    </xf>
    <xf numFmtId="0" fontId="9" fillId="0" borderId="0" xfId="0" applyFont="1" applyFill="1" applyAlignment="1">
      <alignment horizontal="center"/>
    </xf>
    <xf numFmtId="164" fontId="0" fillId="0" borderId="0" xfId="0" applyNumberFormat="1" applyBorder="1" applyAlignment="1">
      <alignment horizontal="center"/>
    </xf>
    <xf numFmtId="0" fontId="4" fillId="0" borderId="20" xfId="0" applyFont="1" applyFill="1" applyBorder="1" applyAlignment="1">
      <alignment horizontal="center"/>
    </xf>
    <xf numFmtId="164" fontId="4" fillId="0" borderId="12" xfId="0" applyNumberFormat="1" applyFont="1" applyFill="1" applyBorder="1" applyAlignment="1">
      <alignment horizontal="center"/>
    </xf>
    <xf numFmtId="0" fontId="7" fillId="0" borderId="0" xfId="61" applyFont="1" applyFill="1" applyAlignment="1">
      <alignment horizontal="left"/>
    </xf>
    <xf numFmtId="0" fontId="7" fillId="0" borderId="20" xfId="61" applyFont="1" applyBorder="1"/>
    <xf numFmtId="0" fontId="7" fillId="0" borderId="0" xfId="61" applyFont="1" applyAlignment="1">
      <alignment wrapText="1"/>
    </xf>
    <xf numFmtId="0" fontId="18" fillId="0" borderId="0" xfId="0" applyFont="1"/>
    <xf numFmtId="164" fontId="7" fillId="24" borderId="12" xfId="61" applyNumberFormat="1" applyFont="1" applyFill="1" applyBorder="1" applyAlignment="1">
      <alignment horizontal="center"/>
    </xf>
    <xf numFmtId="0" fontId="7" fillId="0" borderId="0" xfId="0" applyFont="1" applyFill="1" applyBorder="1" applyAlignment="1">
      <alignment horizontal="center"/>
    </xf>
    <xf numFmtId="164" fontId="7" fillId="0" borderId="0" xfId="61" applyNumberFormat="1" applyFont="1" applyAlignment="1">
      <alignment horizontal="center" wrapText="1"/>
    </xf>
    <xf numFmtId="164" fontId="7" fillId="0" borderId="12" xfId="61" applyNumberFormat="1" applyFont="1" applyFill="1" applyBorder="1" applyAlignment="1">
      <alignment horizontal="center"/>
    </xf>
    <xf numFmtId="0" fontId="9" fillId="0" borderId="12" xfId="62" applyFont="1" applyBorder="1" applyAlignment="1">
      <alignment vertical="center" wrapText="1"/>
    </xf>
    <xf numFmtId="0" fontId="9" fillId="0" borderId="12" xfId="62" applyFont="1" applyBorder="1" applyAlignment="1">
      <alignment horizontal="center" vertical="center" wrapText="1"/>
    </xf>
    <xf numFmtId="0" fontId="9" fillId="25" borderId="12" xfId="62" applyFont="1" applyFill="1" applyBorder="1" applyAlignment="1">
      <alignment horizontal="center" vertical="center" wrapText="1" shrinkToFit="1"/>
    </xf>
    <xf numFmtId="49" fontId="9" fillId="26" borderId="12" xfId="62" applyNumberFormat="1" applyFont="1" applyFill="1" applyBorder="1" applyAlignment="1">
      <alignment horizontal="center" vertical="center" wrapText="1" shrinkToFit="1"/>
    </xf>
    <xf numFmtId="0" fontId="9" fillId="27" borderId="12" xfId="62" applyFont="1" applyFill="1" applyBorder="1" applyAlignment="1">
      <alignment horizontal="center" vertical="center" wrapText="1" shrinkToFit="1"/>
    </xf>
    <xf numFmtId="0" fontId="41" fillId="26" borderId="12" xfId="60" applyFont="1" applyFill="1" applyBorder="1" applyAlignment="1">
      <alignment horizontal="center" vertical="center" wrapText="1"/>
    </xf>
    <xf numFmtId="9" fontId="41" fillId="27" borderId="12" xfId="60" applyNumberFormat="1" applyFont="1" applyFill="1" applyBorder="1" applyAlignment="1">
      <alignment horizontal="center" vertical="center" wrapText="1"/>
    </xf>
    <xf numFmtId="0" fontId="7" fillId="0" borderId="12" xfId="62" applyFont="1" applyFill="1" applyBorder="1" applyAlignment="1">
      <alignment wrapText="1"/>
    </xf>
    <xf numFmtId="0" fontId="7" fillId="0" borderId="12" xfId="62" applyFont="1" applyFill="1" applyBorder="1" applyAlignment="1">
      <alignment vertical="center" wrapText="1"/>
    </xf>
    <xf numFmtId="0" fontId="7" fillId="0" borderId="12" xfId="62" applyFont="1" applyFill="1" applyBorder="1" applyAlignment="1">
      <alignment horizontal="center" wrapText="1"/>
    </xf>
    <xf numFmtId="1" fontId="7" fillId="25" borderId="12" xfId="62" applyNumberFormat="1" applyFont="1" applyFill="1" applyBorder="1" applyAlignment="1">
      <alignment horizontal="center" wrapText="1"/>
    </xf>
    <xf numFmtId="1" fontId="7" fillId="26" borderId="12" xfId="62" applyNumberFormat="1" applyFont="1" applyFill="1" applyBorder="1" applyAlignment="1">
      <alignment horizontal="center" wrapText="1"/>
    </xf>
    <xf numFmtId="167" fontId="7" fillId="27" borderId="12" xfId="62" applyNumberFormat="1" applyFont="1" applyFill="1" applyBorder="1" applyAlignment="1">
      <alignment horizontal="center" wrapText="1"/>
    </xf>
    <xf numFmtId="0" fontId="7" fillId="26" borderId="12" xfId="62" applyNumberFormat="1" applyFont="1" applyFill="1" applyBorder="1" applyAlignment="1">
      <alignment horizontal="center" wrapText="1"/>
    </xf>
    <xf numFmtId="1" fontId="42" fillId="26" borderId="12" xfId="60" applyNumberFormat="1" applyFont="1" applyFill="1" applyBorder="1" applyAlignment="1">
      <alignment horizontal="center" wrapText="1"/>
    </xf>
    <xf numFmtId="167" fontId="42" fillId="27" borderId="12" xfId="60" applyNumberFormat="1" applyFont="1" applyFill="1" applyBorder="1" applyAlignment="1">
      <alignment horizontal="center" wrapText="1"/>
    </xf>
    <xf numFmtId="0" fontId="7" fillId="26" borderId="12" xfId="62" applyNumberFormat="1" applyFont="1" applyFill="1" applyBorder="1" applyAlignment="1">
      <alignment horizontal="center" vertical="center" wrapText="1"/>
    </xf>
    <xf numFmtId="1" fontId="7" fillId="26" borderId="12" xfId="60" applyNumberFormat="1" applyFont="1" applyFill="1" applyBorder="1" applyAlignment="1">
      <alignment horizontal="center" wrapText="1"/>
    </xf>
    <xf numFmtId="49" fontId="7" fillId="26" borderId="12" xfId="62" applyNumberFormat="1" applyFont="1" applyFill="1" applyBorder="1" applyAlignment="1">
      <alignment horizontal="center" wrapText="1"/>
    </xf>
    <xf numFmtId="0" fontId="7" fillId="28" borderId="12" xfId="62" applyFont="1" applyFill="1" applyBorder="1" applyAlignment="1">
      <alignment wrapText="1"/>
    </xf>
    <xf numFmtId="1" fontId="9" fillId="25" borderId="12" xfId="62" applyNumberFormat="1" applyFont="1" applyFill="1" applyBorder="1" applyAlignment="1">
      <alignment horizontal="center" wrapText="1"/>
    </xf>
    <xf numFmtId="1" fontId="9" fillId="26" borderId="12" xfId="62" applyNumberFormat="1" applyFont="1" applyFill="1" applyBorder="1" applyAlignment="1">
      <alignment horizontal="center" wrapText="1"/>
    </xf>
    <xf numFmtId="1" fontId="7" fillId="27" borderId="12" xfId="62" applyNumberFormat="1" applyFont="1" applyFill="1" applyBorder="1" applyAlignment="1">
      <alignment horizontal="center" wrapText="1"/>
    </xf>
    <xf numFmtId="165" fontId="7" fillId="27" borderId="12" xfId="62" applyNumberFormat="1" applyFont="1" applyFill="1" applyBorder="1" applyAlignment="1">
      <alignment horizontal="center" wrapText="1"/>
    </xf>
    <xf numFmtId="1" fontId="41" fillId="26" borderId="12" xfId="60" applyNumberFormat="1" applyFont="1" applyFill="1" applyBorder="1" applyAlignment="1">
      <alignment horizontal="center" wrapText="1"/>
    </xf>
    <xf numFmtId="9" fontId="42" fillId="27" borderId="12" xfId="60" applyNumberFormat="1" applyFont="1" applyFill="1" applyBorder="1" applyAlignment="1">
      <alignment horizontal="center" wrapText="1"/>
    </xf>
    <xf numFmtId="0" fontId="7" fillId="25" borderId="12" xfId="62" applyFont="1" applyFill="1" applyBorder="1" applyAlignment="1">
      <alignment horizontal="center" wrapText="1"/>
    </xf>
    <xf numFmtId="167" fontId="7" fillId="26" borderId="12" xfId="62" applyNumberFormat="1" applyFont="1" applyFill="1" applyBorder="1" applyAlignment="1">
      <alignment horizontal="center" wrapText="1"/>
    </xf>
    <xf numFmtId="167" fontId="42" fillId="26" borderId="12" xfId="60" applyNumberFormat="1" applyFont="1" applyFill="1" applyBorder="1" applyAlignment="1">
      <alignment horizontal="center" wrapText="1"/>
    </xf>
    <xf numFmtId="164" fontId="7" fillId="0" borderId="0" xfId="61" applyNumberFormat="1" applyFont="1" applyAlignment="1">
      <alignment wrapText="1"/>
    </xf>
    <xf numFmtId="164" fontId="7" fillId="0" borderId="0" xfId="61" applyNumberFormat="1" applyFont="1"/>
    <xf numFmtId="164" fontId="7" fillId="0" borderId="0" xfId="61" applyNumberFormat="1" applyFont="1" applyBorder="1" applyAlignment="1">
      <alignment wrapText="1"/>
    </xf>
    <xf numFmtId="0" fontId="7" fillId="0" borderId="0" xfId="61" applyFont="1" applyFill="1" applyBorder="1" applyAlignment="1">
      <alignment horizontal="left"/>
    </xf>
    <xf numFmtId="164" fontId="7" fillId="0" borderId="0" xfId="61" applyNumberFormat="1" applyFont="1" applyFill="1" applyBorder="1" applyAlignment="1">
      <alignment horizontal="center"/>
    </xf>
    <xf numFmtId="164" fontId="7" fillId="0" borderId="0" xfId="0" applyNumberFormat="1" applyFont="1" applyBorder="1" applyAlignment="1">
      <alignment horizontal="left"/>
    </xf>
    <xf numFmtId="9" fontId="7" fillId="0" borderId="12" xfId="61" applyNumberFormat="1" applyFont="1" applyBorder="1" applyAlignment="1">
      <alignment horizontal="center"/>
    </xf>
    <xf numFmtId="0" fontId="7" fillId="0" borderId="12" xfId="61" applyFont="1" applyFill="1" applyBorder="1" applyAlignment="1">
      <alignment horizontal="left"/>
    </xf>
    <xf numFmtId="164" fontId="18" fillId="0" borderId="0" xfId="61" applyNumberFormat="1" applyFont="1" applyBorder="1" applyAlignment="1">
      <alignment horizontal="left"/>
    </xf>
    <xf numFmtId="164" fontId="7" fillId="0" borderId="0" xfId="61" applyNumberFormat="1" applyFont="1" applyBorder="1"/>
    <xf numFmtId="164" fontId="7" fillId="0" borderId="12" xfId="61" applyNumberFormat="1" applyFont="1" applyBorder="1"/>
    <xf numFmtId="0" fontId="18" fillId="0" borderId="0" xfId="61" applyFont="1" applyAlignment="1">
      <alignment wrapText="1"/>
    </xf>
    <xf numFmtId="164" fontId="7" fillId="0" borderId="30" xfId="61" applyNumberFormat="1" applyFont="1" applyFill="1" applyBorder="1" applyAlignment="1">
      <alignment horizontal="center"/>
    </xf>
    <xf numFmtId="3" fontId="7" fillId="0" borderId="12" xfId="61" applyNumberFormat="1" applyFont="1" applyBorder="1" applyAlignment="1">
      <alignment horizontal="center"/>
    </xf>
    <xf numFmtId="164" fontId="7" fillId="0" borderId="3" xfId="61" applyNumberFormat="1" applyFont="1" applyBorder="1" applyAlignment="1">
      <alignment horizontal="center" wrapText="1"/>
    </xf>
    <xf numFmtId="2" fontId="0" fillId="0" borderId="0" xfId="0" applyNumberFormat="1" applyFill="1" applyAlignment="1">
      <alignment horizontal="center"/>
    </xf>
    <xf numFmtId="0" fontId="7" fillId="0" borderId="12" xfId="0" applyFont="1" applyFill="1" applyBorder="1" applyAlignment="1">
      <alignment horizontal="center"/>
    </xf>
    <xf numFmtId="0" fontId="7" fillId="0" borderId="12" xfId="0" applyFont="1" applyFill="1" applyBorder="1" applyAlignment="1">
      <alignment horizontal="center" wrapText="1"/>
    </xf>
    <xf numFmtId="0" fontId="7" fillId="0" borderId="0" xfId="61" applyFont="1" applyFill="1" applyAlignment="1">
      <alignment horizontal="center" wrapText="1"/>
    </xf>
    <xf numFmtId="5" fontId="7" fillId="0" borderId="0" xfId="61" applyNumberFormat="1" applyFont="1" applyAlignment="1">
      <alignment horizontal="center"/>
    </xf>
    <xf numFmtId="0" fontId="18" fillId="0" borderId="0" xfId="61" applyFont="1" applyAlignment="1">
      <alignment horizontal="left"/>
    </xf>
    <xf numFmtId="5" fontId="18" fillId="0" borderId="0" xfId="61" applyNumberFormat="1" applyFont="1" applyAlignment="1">
      <alignment horizontal="left"/>
    </xf>
    <xf numFmtId="164" fontId="7" fillId="0" borderId="0" xfId="61" applyNumberFormat="1" applyFont="1" applyAlignment="1">
      <alignment horizontal="left"/>
    </xf>
    <xf numFmtId="0" fontId="20" fillId="0" borderId="0" xfId="61" applyFont="1" applyBorder="1"/>
    <xf numFmtId="166" fontId="20" fillId="0" borderId="0" xfId="61" applyNumberFormat="1" applyFont="1" applyBorder="1" applyAlignment="1">
      <alignment horizontal="center"/>
    </xf>
    <xf numFmtId="0" fontId="50" fillId="0" borderId="0" xfId="61" applyFont="1" applyAlignment="1"/>
    <xf numFmtId="164" fontId="7" fillId="0" borderId="12" xfId="61" applyNumberFormat="1" applyFont="1" applyBorder="1" applyAlignment="1">
      <alignment horizontal="center" wrapText="1"/>
    </xf>
    <xf numFmtId="5" fontId="7" fillId="0" borderId="12" xfId="61" applyNumberFormat="1" applyFont="1" applyBorder="1" applyAlignment="1">
      <alignment horizontal="center"/>
    </xf>
    <xf numFmtId="0" fontId="50" fillId="0" borderId="0" xfId="61" applyFont="1" applyAlignment="1">
      <alignment horizontal="left"/>
    </xf>
    <xf numFmtId="0" fontId="18" fillId="0" borderId="0" xfId="61" applyFont="1"/>
    <xf numFmtId="3" fontId="7" fillId="0" borderId="0" xfId="61" applyNumberFormat="1" applyFont="1" applyBorder="1" applyAlignment="1">
      <alignment horizontal="center"/>
    </xf>
    <xf numFmtId="0" fontId="51" fillId="0" borderId="0" xfId="61" applyFont="1"/>
    <xf numFmtId="164" fontId="9" fillId="0" borderId="12" xfId="61" applyNumberFormat="1" applyFont="1" applyBorder="1" applyAlignment="1">
      <alignment horizontal="center"/>
    </xf>
    <xf numFmtId="0" fontId="7" fillId="0" borderId="12" xfId="61" applyFont="1" applyFill="1" applyBorder="1" applyAlignment="1">
      <alignment horizontal="center" wrapText="1"/>
    </xf>
    <xf numFmtId="164" fontId="20" fillId="0" borderId="12" xfId="61" applyNumberFormat="1" applyFont="1" applyFill="1" applyBorder="1" applyAlignment="1">
      <alignment horizontal="center"/>
    </xf>
    <xf numFmtId="164" fontId="7" fillId="0" borderId="23" xfId="61" applyNumberFormat="1" applyFont="1" applyBorder="1" applyAlignment="1">
      <alignment horizontal="center"/>
    </xf>
    <xf numFmtId="0" fontId="7" fillId="0" borderId="26" xfId="61" applyFont="1" applyBorder="1" applyAlignment="1">
      <alignment horizontal="center"/>
    </xf>
    <xf numFmtId="0" fontId="7" fillId="0" borderId="28" xfId="61" applyFont="1" applyBorder="1" applyAlignment="1">
      <alignment horizontal="center"/>
    </xf>
    <xf numFmtId="164" fontId="7" fillId="0" borderId="25" xfId="61" applyNumberFormat="1" applyFont="1" applyBorder="1" applyAlignment="1">
      <alignment horizontal="center"/>
    </xf>
    <xf numFmtId="164" fontId="7" fillId="0" borderId="27" xfId="61" applyNumberFormat="1" applyFont="1" applyBorder="1" applyAlignment="1">
      <alignment horizontal="center"/>
    </xf>
    <xf numFmtId="164" fontId="7" fillId="0" borderId="29" xfId="61" applyNumberFormat="1" applyFont="1" applyBorder="1" applyAlignment="1">
      <alignment horizontal="center"/>
    </xf>
    <xf numFmtId="3" fontId="7" fillId="0" borderId="0" xfId="61" applyNumberFormat="1" applyFont="1" applyAlignment="1">
      <alignment horizontal="center"/>
    </xf>
    <xf numFmtId="3" fontId="7" fillId="0" borderId="30" xfId="61" applyNumberFormat="1" applyFont="1" applyFill="1" applyBorder="1" applyAlignment="1">
      <alignment horizontal="center"/>
    </xf>
    <xf numFmtId="164" fontId="7" fillId="0" borderId="33" xfId="61" applyNumberFormat="1" applyFont="1" applyBorder="1" applyAlignment="1">
      <alignment horizontal="center"/>
    </xf>
    <xf numFmtId="1" fontId="7" fillId="0" borderId="0" xfId="61" applyNumberFormat="1" applyFont="1" applyAlignment="1">
      <alignment horizontal="center"/>
    </xf>
    <xf numFmtId="1" fontId="7" fillId="0" borderId="0" xfId="0" applyNumberFormat="1" applyFont="1" applyFill="1" applyBorder="1" applyAlignment="1">
      <alignment horizontal="center"/>
    </xf>
    <xf numFmtId="0" fontId="18" fillId="0" borderId="0" xfId="61" applyFont="1" applyFill="1"/>
    <xf numFmtId="0" fontId="23" fillId="0" borderId="0" xfId="0" applyFont="1" applyFill="1" applyBorder="1" applyAlignment="1">
      <alignment horizontal="left"/>
    </xf>
    <xf numFmtId="3" fontId="7" fillId="0" borderId="0" xfId="0" applyNumberFormat="1" applyFont="1" applyFill="1" applyBorder="1" applyAlignment="1">
      <alignment horizontal="center"/>
    </xf>
    <xf numFmtId="0" fontId="9" fillId="0" borderId="0" xfId="61" applyFont="1" applyFill="1" applyAlignment="1">
      <alignment horizontal="center" wrapText="1"/>
    </xf>
    <xf numFmtId="164" fontId="9" fillId="0" borderId="0" xfId="0" applyNumberFormat="1" applyFont="1" applyFill="1" applyBorder="1" applyAlignment="1">
      <alignment horizontal="center"/>
    </xf>
    <xf numFmtId="0" fontId="9" fillId="0" borderId="0" xfId="61" applyFont="1" applyFill="1" applyAlignment="1">
      <alignment horizontal="center"/>
    </xf>
    <xf numFmtId="0" fontId="10" fillId="0" borderId="0" xfId="61" applyFont="1" applyFill="1" applyAlignment="1">
      <alignment horizontal="center"/>
    </xf>
    <xf numFmtId="164" fontId="9" fillId="0" borderId="0" xfId="61" applyNumberFormat="1" applyFont="1" applyFill="1" applyAlignment="1">
      <alignment horizontal="center"/>
    </xf>
    <xf numFmtId="0" fontId="9" fillId="0" borderId="0" xfId="61" applyFont="1" applyFill="1" applyBorder="1" applyAlignment="1">
      <alignment horizontal="center"/>
    </xf>
    <xf numFmtId="0" fontId="52" fillId="0" borderId="0" xfId="0" applyFont="1" applyFill="1" applyBorder="1" applyAlignment="1">
      <alignment horizontal="center"/>
    </xf>
    <xf numFmtId="0" fontId="7" fillId="29" borderId="12" xfId="61" applyFont="1" applyFill="1" applyBorder="1" applyAlignment="1">
      <alignment horizontal="center"/>
    </xf>
    <xf numFmtId="164" fontId="7" fillId="29" borderId="12" xfId="61" applyNumberFormat="1" applyFont="1" applyFill="1" applyBorder="1" applyAlignment="1">
      <alignment horizontal="center"/>
    </xf>
    <xf numFmtId="1" fontId="7" fillId="0" borderId="12" xfId="61" applyNumberFormat="1" applyFont="1" applyBorder="1" applyAlignment="1">
      <alignment horizontal="center"/>
    </xf>
    <xf numFmtId="0" fontId="7" fillId="0" borderId="12" xfId="61" applyFont="1" applyBorder="1" applyAlignment="1">
      <alignment wrapText="1"/>
    </xf>
    <xf numFmtId="0" fontId="7" fillId="0" borderId="12" xfId="61" applyFont="1" applyBorder="1" applyAlignment="1">
      <alignment horizontal="left" wrapText="1"/>
    </xf>
    <xf numFmtId="0" fontId="7" fillId="0" borderId="12" xfId="61" applyFont="1" applyBorder="1" applyAlignment="1">
      <alignment horizontal="left"/>
    </xf>
    <xf numFmtId="0" fontId="10" fillId="0" borderId="0" xfId="58" applyFont="1"/>
    <xf numFmtId="0" fontId="7" fillId="0" borderId="0" xfId="58" applyFont="1"/>
    <xf numFmtId="0" fontId="7" fillId="0" borderId="0" xfId="58" applyFont="1" applyAlignment="1">
      <alignment horizontal="center"/>
    </xf>
    <xf numFmtId="0" fontId="58" fillId="0" borderId="0" xfId="58" applyFont="1"/>
    <xf numFmtId="0" fontId="59" fillId="0" borderId="0" xfId="58" applyFont="1"/>
    <xf numFmtId="0" fontId="7" fillId="0" borderId="12" xfId="58" applyFont="1" applyBorder="1" applyAlignment="1">
      <alignment horizontal="center"/>
    </xf>
    <xf numFmtId="3" fontId="7" fillId="0" borderId="12" xfId="58" applyNumberFormat="1" applyFont="1" applyBorder="1" applyAlignment="1" applyProtection="1">
      <alignment horizontal="center" vertical="top"/>
      <protection hidden="1"/>
    </xf>
    <xf numFmtId="171" fontId="7" fillId="0" borderId="12" xfId="58" applyNumberFormat="1" applyFont="1" applyBorder="1" applyAlignment="1" applyProtection="1">
      <alignment horizontal="center" vertical="top"/>
      <protection hidden="1"/>
    </xf>
    <xf numFmtId="164" fontId="7" fillId="0" borderId="12" xfId="58" applyNumberFormat="1" applyFont="1" applyBorder="1" applyAlignment="1">
      <alignment horizontal="center"/>
    </xf>
    <xf numFmtId="171" fontId="7" fillId="30" borderId="12" xfId="58" applyNumberFormat="1" applyFont="1" applyFill="1" applyBorder="1" applyAlignment="1" applyProtection="1">
      <alignment horizontal="center" vertical="top"/>
      <protection hidden="1"/>
    </xf>
    <xf numFmtId="164" fontId="7" fillId="0" borderId="12" xfId="58" applyNumberFormat="1" applyFont="1" applyBorder="1" applyAlignment="1" applyProtection="1">
      <alignment horizontal="center" vertical="top"/>
      <protection hidden="1"/>
    </xf>
    <xf numFmtId="164" fontId="9" fillId="0" borderId="12" xfId="58" applyNumberFormat="1" applyFont="1" applyBorder="1" applyAlignment="1" applyProtection="1">
      <alignment horizontal="center" vertical="center"/>
      <protection hidden="1"/>
    </xf>
    <xf numFmtId="3" fontId="9" fillId="0" borderId="12" xfId="58" applyNumberFormat="1" applyFont="1" applyBorder="1" applyAlignment="1" applyProtection="1">
      <alignment horizontal="center" vertical="center"/>
      <protection hidden="1"/>
    </xf>
    <xf numFmtId="0" fontId="6" fillId="0" borderId="0" xfId="58" applyFont="1"/>
    <xf numFmtId="0" fontId="19" fillId="0" borderId="0" xfId="58" applyFont="1"/>
    <xf numFmtId="0" fontId="7" fillId="0" borderId="0" xfId="58" applyFont="1" applyAlignment="1">
      <alignment wrapText="1"/>
    </xf>
    <xf numFmtId="0" fontId="7" fillId="0" borderId="0" xfId="58" applyFont="1" applyAlignment="1">
      <alignment horizontal="center" wrapText="1"/>
    </xf>
    <xf numFmtId="0" fontId="7" fillId="0" borderId="0" xfId="58" applyFont="1" applyAlignment="1">
      <alignment horizontal="left"/>
    </xf>
    <xf numFmtId="0" fontId="7" fillId="0" borderId="0" xfId="58" applyFont="1" applyAlignment="1"/>
    <xf numFmtId="0" fontId="58" fillId="0" borderId="0" xfId="58" applyFont="1" applyAlignment="1"/>
    <xf numFmtId="0" fontId="19" fillId="0" borderId="0" xfId="58" applyFont="1" applyAlignment="1">
      <alignment horizontal="left"/>
    </xf>
    <xf numFmtId="164" fontId="60" fillId="0" borderId="12" xfId="58" applyNumberFormat="1" applyFont="1" applyBorder="1" applyAlignment="1">
      <alignment horizontal="center"/>
    </xf>
    <xf numFmtId="164" fontId="7" fillId="0" borderId="0" xfId="58" applyNumberFormat="1" applyFont="1"/>
    <xf numFmtId="0" fontId="7" fillId="0" borderId="12" xfId="58" applyFont="1" applyBorder="1"/>
    <xf numFmtId="164" fontId="9" fillId="0" borderId="12" xfId="58" applyNumberFormat="1" applyFont="1" applyBorder="1"/>
    <xf numFmtId="0" fontId="9" fillId="0" borderId="12" xfId="58" applyFont="1" applyBorder="1" applyAlignment="1">
      <alignment horizontal="center"/>
    </xf>
    <xf numFmtId="164" fontId="9" fillId="0" borderId="12" xfId="58" applyNumberFormat="1" applyFont="1" applyBorder="1" applyAlignment="1">
      <alignment horizontal="center"/>
    </xf>
    <xf numFmtId="0" fontId="42" fillId="0" borderId="0" xfId="60" applyNumberFormat="1" applyFont="1" applyFill="1" applyBorder="1" applyAlignment="1">
      <alignment horizontal="left"/>
    </xf>
    <xf numFmtId="0" fontId="42" fillId="0" borderId="0" xfId="60" applyFont="1" applyFill="1" applyBorder="1" applyAlignment="1">
      <alignment horizontal="left"/>
    </xf>
    <xf numFmtId="2" fontId="7" fillId="0" borderId="0" xfId="61" applyNumberFormat="1" applyFont="1" applyBorder="1" applyAlignment="1">
      <alignment horizontal="center"/>
    </xf>
    <xf numFmtId="0" fontId="0" fillId="0" borderId="0" xfId="0" applyBorder="1" applyAlignment="1">
      <alignment horizontal="left"/>
    </xf>
    <xf numFmtId="2" fontId="7" fillId="0" borderId="0" xfId="61" applyNumberFormat="1" applyFont="1" applyBorder="1"/>
    <xf numFmtId="164" fontId="7" fillId="31" borderId="12" xfId="61" applyNumberFormat="1" applyFont="1" applyFill="1" applyBorder="1" applyAlignment="1">
      <alignment horizontal="center"/>
    </xf>
    <xf numFmtId="164" fontId="0" fillId="0" borderId="39" xfId="0" applyNumberFormat="1" applyBorder="1" applyAlignment="1" applyProtection="1">
      <alignment horizontal="center"/>
      <protection hidden="1"/>
    </xf>
    <xf numFmtId="1" fontId="7" fillId="0" borderId="12" xfId="58" applyNumberFormat="1" applyFont="1" applyBorder="1" applyAlignment="1">
      <alignment horizontal="center"/>
    </xf>
    <xf numFmtId="0" fontId="7" fillId="29" borderId="12" xfId="62" applyFont="1" applyFill="1" applyBorder="1" applyAlignment="1">
      <alignment horizontal="center" wrapText="1"/>
    </xf>
    <xf numFmtId="167" fontId="7" fillId="0" borderId="0" xfId="0" applyNumberFormat="1" applyFont="1" applyAlignment="1">
      <alignment horizontal="center"/>
    </xf>
    <xf numFmtId="0" fontId="7" fillId="0" borderId="0" xfId="0" applyFont="1" applyAlignment="1">
      <alignment horizontal="center" wrapText="1"/>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center" vertical="center" wrapText="1"/>
    </xf>
    <xf numFmtId="3" fontId="7" fillId="0" borderId="0" xfId="0" applyNumberFormat="1" applyFont="1"/>
    <xf numFmtId="9" fontId="7" fillId="27" borderId="12" xfId="62" applyNumberFormat="1" applyFont="1" applyFill="1" applyBorder="1" applyAlignment="1">
      <alignment horizontal="center" wrapText="1"/>
    </xf>
    <xf numFmtId="164" fontId="7" fillId="0" borderId="30" xfId="0" applyNumberFormat="1" applyFont="1" applyBorder="1" applyAlignment="1">
      <alignment horizontal="center"/>
    </xf>
    <xf numFmtId="0" fontId="10" fillId="0" borderId="0" xfId="61" applyFont="1" applyBorder="1" applyAlignment="1"/>
    <xf numFmtId="0" fontId="6" fillId="0" borderId="0" xfId="61" applyFont="1"/>
    <xf numFmtId="9" fontId="7" fillId="0" borderId="0" xfId="61" applyNumberFormat="1" applyFont="1" applyFill="1" applyAlignment="1">
      <alignment horizontal="center"/>
    </xf>
    <xf numFmtId="1" fontId="7" fillId="0" borderId="0" xfId="61" applyNumberFormat="1" applyFont="1" applyFill="1" applyAlignment="1">
      <alignment horizontal="center"/>
    </xf>
    <xf numFmtId="0" fontId="7" fillId="31" borderId="12" xfId="61" applyFont="1" applyFill="1" applyBorder="1" applyAlignment="1">
      <alignment horizontal="left"/>
    </xf>
    <xf numFmtId="0" fontId="7" fillId="31" borderId="12" xfId="61" applyFont="1" applyFill="1" applyBorder="1"/>
    <xf numFmtId="0" fontId="7" fillId="31" borderId="12" xfId="61" applyFont="1" applyFill="1" applyBorder="1" applyAlignment="1">
      <alignment horizontal="center"/>
    </xf>
    <xf numFmtId="0" fontId="7" fillId="0" borderId="20" xfId="61" applyFont="1" applyBorder="1" applyAlignment="1">
      <alignment horizontal="center"/>
    </xf>
    <xf numFmtId="0" fontId="7" fillId="0" borderId="20" xfId="61" applyFont="1" applyFill="1" applyBorder="1" applyAlignment="1">
      <alignment horizontal="center"/>
    </xf>
    <xf numFmtId="0" fontId="7" fillId="0" borderId="33" xfId="61" applyFont="1" applyBorder="1" applyAlignment="1">
      <alignment horizontal="center"/>
    </xf>
    <xf numFmtId="0" fontId="9" fillId="0" borderId="33" xfId="61" applyFont="1" applyBorder="1" applyAlignment="1">
      <alignment horizontal="center"/>
    </xf>
    <xf numFmtId="0" fontId="9" fillId="0" borderId="12" xfId="61" applyFont="1" applyBorder="1" applyAlignment="1">
      <alignment horizontal="center" wrapText="1"/>
    </xf>
    <xf numFmtId="0" fontId="7" fillId="31" borderId="20" xfId="61" applyFont="1" applyFill="1" applyBorder="1" applyAlignment="1">
      <alignment horizontal="center"/>
    </xf>
    <xf numFmtId="164" fontId="9" fillId="31" borderId="12" xfId="61" applyNumberFormat="1" applyFont="1" applyFill="1" applyBorder="1" applyAlignment="1">
      <alignment horizontal="center"/>
    </xf>
    <xf numFmtId="0" fontId="7" fillId="30" borderId="12" xfId="61" applyFont="1" applyFill="1" applyBorder="1" applyAlignment="1">
      <alignment horizontal="center"/>
    </xf>
    <xf numFmtId="0" fontId="60" fillId="0" borderId="0" xfId="0" applyFont="1"/>
    <xf numFmtId="3" fontId="7" fillId="0" borderId="12" xfId="61" applyNumberFormat="1" applyFont="1" applyFill="1" applyBorder="1" applyAlignment="1">
      <alignment horizontal="center"/>
    </xf>
    <xf numFmtId="164" fontId="7" fillId="0" borderId="12" xfId="61" applyNumberFormat="1" applyFont="1" applyFill="1" applyBorder="1" applyAlignment="1">
      <alignment horizontal="center" wrapText="1"/>
    </xf>
    <xf numFmtId="12" fontId="7" fillId="31" borderId="12" xfId="61" applyNumberFormat="1" applyFont="1" applyFill="1" applyBorder="1" applyAlignment="1">
      <alignment horizontal="center"/>
    </xf>
    <xf numFmtId="0" fontId="7" fillId="30" borderId="0" xfId="61" applyFont="1" applyFill="1" applyAlignment="1">
      <alignment horizontal="center"/>
    </xf>
    <xf numFmtId="3" fontId="7" fillId="0" borderId="30" xfId="61" applyNumberFormat="1" applyFont="1" applyBorder="1" applyAlignment="1">
      <alignment horizontal="center"/>
    </xf>
    <xf numFmtId="0" fontId="7" fillId="32" borderId="12" xfId="61" applyFont="1" applyFill="1" applyBorder="1" applyAlignment="1">
      <alignment horizontal="center" wrapText="1"/>
    </xf>
    <xf numFmtId="1" fontId="7" fillId="0" borderId="0" xfId="61" applyNumberFormat="1" applyFont="1" applyAlignment="1">
      <alignment horizontal="center" wrapText="1"/>
    </xf>
    <xf numFmtId="0" fontId="7" fillId="0" borderId="33" xfId="61" applyFont="1" applyBorder="1" applyAlignment="1">
      <alignment horizontal="center" wrapText="1"/>
    </xf>
    <xf numFmtId="0" fontId="9" fillId="0" borderId="33" xfId="61" applyFont="1" applyBorder="1" applyAlignment="1">
      <alignment horizontal="center" wrapText="1"/>
    </xf>
    <xf numFmtId="0" fontId="9" fillId="0" borderId="0" xfId="2" applyFont="1" applyBorder="1" applyAlignment="1">
      <alignment horizontal="left"/>
    </xf>
    <xf numFmtId="0" fontId="7" fillId="0" borderId="0" xfId="55"/>
    <xf numFmtId="2" fontId="7" fillId="0" borderId="0" xfId="55" applyNumberFormat="1"/>
    <xf numFmtId="0" fontId="7" fillId="0" borderId="0" xfId="55" applyAlignment="1">
      <alignment horizontal="center"/>
    </xf>
    <xf numFmtId="0" fontId="7" fillId="0" borderId="38" xfId="55" applyBorder="1"/>
    <xf numFmtId="0" fontId="7" fillId="0" borderId="31" xfId="55" applyBorder="1" applyAlignment="1">
      <alignment horizontal="center"/>
    </xf>
    <xf numFmtId="0" fontId="7" fillId="0" borderId="34" xfId="55" applyBorder="1"/>
    <xf numFmtId="0" fontId="7" fillId="0" borderId="15" xfId="55" applyBorder="1" applyAlignment="1">
      <alignment horizontal="center"/>
    </xf>
    <xf numFmtId="0" fontId="7" fillId="0" borderId="33" xfId="55" applyBorder="1"/>
    <xf numFmtId="0" fontId="7" fillId="0" borderId="33" xfId="55" applyBorder="1" applyAlignment="1">
      <alignment horizontal="center"/>
    </xf>
    <xf numFmtId="0" fontId="42" fillId="33" borderId="12" xfId="2" applyFont="1" applyFill="1" applyBorder="1" applyAlignment="1">
      <alignment horizontal="left"/>
    </xf>
    <xf numFmtId="0" fontId="7" fillId="0" borderId="12" xfId="2" applyFont="1" applyBorder="1" applyAlignment="1">
      <alignment horizontal="center"/>
    </xf>
    <xf numFmtId="0" fontId="7" fillId="0" borderId="0" xfId="0" applyFont="1" applyBorder="1" applyAlignment="1">
      <alignment horizontal="center"/>
    </xf>
    <xf numFmtId="0" fontId="0" fillId="0" borderId="0" xfId="0" applyBorder="1" applyAlignment="1">
      <alignment horizontal="right"/>
    </xf>
    <xf numFmtId="0" fontId="0" fillId="0" borderId="0" xfId="0" applyAlignment="1" applyProtection="1">
      <alignment horizontal="center"/>
    </xf>
    <xf numFmtId="0" fontId="7" fillId="0" borderId="0" xfId="59" applyFont="1" applyAlignment="1" applyProtection="1">
      <alignment horizontal="center"/>
    </xf>
    <xf numFmtId="0" fontId="54" fillId="0" borderId="0" xfId="59" applyFont="1" applyProtection="1"/>
    <xf numFmtId="0" fontId="9" fillId="0" borderId="0" xfId="59" applyFont="1" applyProtection="1"/>
    <xf numFmtId="0" fontId="9" fillId="0" borderId="0" xfId="59" applyFont="1" applyAlignment="1" applyProtection="1">
      <alignment horizontal="center"/>
    </xf>
    <xf numFmtId="0" fontId="7" fillId="0" borderId="0" xfId="59" applyFont="1" applyBorder="1" applyAlignment="1" applyProtection="1">
      <alignment horizontal="center"/>
    </xf>
    <xf numFmtId="0" fontId="7" fillId="0" borderId="0" xfId="59" applyFont="1" applyBorder="1" applyProtection="1"/>
    <xf numFmtId="0" fontId="0" fillId="0" borderId="0" xfId="0" applyProtection="1"/>
    <xf numFmtId="0" fontId="55" fillId="0" borderId="0" xfId="59" applyFont="1" applyProtection="1"/>
    <xf numFmtId="0" fontId="56" fillId="0" borderId="0" xfId="59" applyFont="1" applyBorder="1" applyAlignment="1" applyProtection="1">
      <alignment horizontal="center"/>
    </xf>
    <xf numFmtId="0" fontId="55" fillId="0" borderId="0" xfId="59" applyFont="1" applyBorder="1" applyProtection="1"/>
    <xf numFmtId="169" fontId="7" fillId="0" borderId="0" xfId="0" applyNumberFormat="1" applyFont="1" applyBorder="1" applyAlignment="1" applyProtection="1">
      <alignment horizontal="center"/>
    </xf>
    <xf numFmtId="172" fontId="9" fillId="0" borderId="0" xfId="59" applyNumberFormat="1" applyFont="1" applyFill="1" applyBorder="1" applyAlignment="1" applyProtection="1">
      <alignment horizontal="center"/>
    </xf>
    <xf numFmtId="0" fontId="9" fillId="0" borderId="0" xfId="59" applyFont="1" applyBorder="1" applyProtection="1"/>
    <xf numFmtId="170" fontId="9" fillId="0" borderId="0" xfId="0" applyNumberFormat="1" applyFont="1" applyAlignment="1" applyProtection="1">
      <alignment horizontal="center"/>
    </xf>
    <xf numFmtId="0" fontId="7" fillId="0" borderId="0" xfId="59" applyFont="1" applyFill="1" applyAlignment="1" applyProtection="1">
      <alignment horizontal="center"/>
    </xf>
    <xf numFmtId="0" fontId="9" fillId="0" borderId="0" xfId="59" applyFont="1" applyFill="1" applyAlignment="1" applyProtection="1">
      <alignment horizontal="center"/>
    </xf>
    <xf numFmtId="170" fontId="57" fillId="0" borderId="0" xfId="0" applyNumberFormat="1" applyFont="1" applyAlignment="1" applyProtection="1">
      <alignment horizontal="center"/>
    </xf>
    <xf numFmtId="164" fontId="7" fillId="0" borderId="12" xfId="55" applyNumberFormat="1" applyFill="1" applyBorder="1" applyAlignment="1">
      <alignment horizontal="center"/>
    </xf>
    <xf numFmtId="164" fontId="9" fillId="32" borderId="12" xfId="61" applyNumberFormat="1" applyFont="1" applyFill="1" applyBorder="1" applyAlignment="1">
      <alignment horizontal="center"/>
    </xf>
    <xf numFmtId="3" fontId="7" fillId="0" borderId="0" xfId="61" applyNumberFormat="1" applyFont="1"/>
    <xf numFmtId="164" fontId="7" fillId="32" borderId="12" xfId="61" applyNumberFormat="1" applyFont="1" applyFill="1" applyBorder="1" applyAlignment="1">
      <alignment horizontal="center"/>
    </xf>
    <xf numFmtId="3" fontId="7" fillId="0" borderId="0" xfId="0" applyNumberFormat="1" applyFont="1" applyFill="1" applyAlignment="1">
      <alignment horizontal="center"/>
    </xf>
    <xf numFmtId="164" fontId="7" fillId="0" borderId="12" xfId="58" applyNumberFormat="1" applyFont="1" applyFill="1" applyBorder="1" applyAlignment="1">
      <alignment horizontal="center"/>
    </xf>
    <xf numFmtId="3" fontId="0" fillId="0" borderId="0" xfId="0" applyNumberFormat="1" applyFill="1" applyAlignment="1">
      <alignment horizontal="center"/>
    </xf>
    <xf numFmtId="164" fontId="7" fillId="0" borderId="0" xfId="59" applyNumberFormat="1" applyFont="1" applyFill="1" applyAlignment="1" applyProtection="1">
      <alignment horizontal="center"/>
      <protection hidden="1"/>
    </xf>
    <xf numFmtId="0" fontId="7" fillId="0" borderId="0" xfId="59" applyFont="1" applyProtection="1">
      <protection hidden="1"/>
    </xf>
    <xf numFmtId="0" fontId="9" fillId="0" borderId="0" xfId="59" applyFont="1" applyAlignment="1" applyProtection="1">
      <alignment horizontal="center"/>
      <protection hidden="1"/>
    </xf>
    <xf numFmtId="0" fontId="7" fillId="0" borderId="0" xfId="59" applyFont="1" applyBorder="1" applyAlignment="1" applyProtection="1">
      <alignment horizontal="center"/>
      <protection hidden="1"/>
    </xf>
    <xf numFmtId="0" fontId="9" fillId="0" borderId="0" xfId="59" applyFont="1" applyBorder="1" applyAlignment="1" applyProtection="1">
      <alignment horizontal="center"/>
      <protection hidden="1"/>
    </xf>
    <xf numFmtId="3" fontId="7" fillId="0" borderId="0" xfId="59" applyNumberFormat="1" applyFont="1" applyBorder="1" applyProtection="1">
      <protection hidden="1"/>
    </xf>
    <xf numFmtId="0" fontId="7" fillId="0" borderId="0" xfId="59" applyFont="1" applyBorder="1" applyProtection="1">
      <protection hidden="1"/>
    </xf>
    <xf numFmtId="0" fontId="0" fillId="0" borderId="0" xfId="0" applyProtection="1">
      <protection hidden="1"/>
    </xf>
    <xf numFmtId="0" fontId="6" fillId="0" borderId="0" xfId="59" applyFont="1" applyProtection="1">
      <protection hidden="1"/>
    </xf>
    <xf numFmtId="0" fontId="7" fillId="0" borderId="0" xfId="59" applyFont="1" applyAlignment="1" applyProtection="1">
      <alignment horizontal="center"/>
      <protection hidden="1"/>
    </xf>
    <xf numFmtId="0" fontId="9" fillId="0" borderId="0" xfId="59" applyFont="1" applyFill="1" applyAlignment="1" applyProtection="1">
      <alignment horizontal="center"/>
      <protection hidden="1"/>
    </xf>
    <xf numFmtId="164" fontId="7" fillId="0" borderId="0" xfId="59" applyNumberFormat="1" applyFont="1" applyAlignment="1" applyProtection="1">
      <alignment horizontal="center"/>
      <protection hidden="1"/>
    </xf>
    <xf numFmtId="0" fontId="0" fillId="0" borderId="0" xfId="0" applyBorder="1" applyAlignment="1" applyProtection="1">
      <alignment horizontal="center"/>
      <protection hidden="1"/>
    </xf>
    <xf numFmtId="3" fontId="7" fillId="0" borderId="0" xfId="59" applyNumberFormat="1" applyFont="1" applyAlignment="1" applyProtection="1">
      <alignment horizontal="left"/>
      <protection hidden="1"/>
    </xf>
    <xf numFmtId="0" fontId="9" fillId="0" borderId="0" xfId="0" applyFont="1" applyFill="1" applyAlignment="1" applyProtection="1">
      <alignment horizontal="center"/>
      <protection hidden="1"/>
    </xf>
    <xf numFmtId="3" fontId="7" fillId="0" borderId="0" xfId="59" applyNumberFormat="1" applyFont="1" applyAlignment="1" applyProtection="1">
      <alignment horizontal="center"/>
      <protection hidden="1"/>
    </xf>
    <xf numFmtId="164" fontId="20" fillId="0" borderId="0" xfId="59" applyNumberFormat="1" applyFont="1" applyAlignment="1" applyProtection="1">
      <alignment horizontal="center"/>
      <protection hidden="1"/>
    </xf>
    <xf numFmtId="0" fontId="0" fillId="0" borderId="0" xfId="0" applyAlignment="1" applyProtection="1">
      <alignment horizontal="center"/>
      <protection hidden="1"/>
    </xf>
    <xf numFmtId="0" fontId="9" fillId="0" borderId="40" xfId="59" applyFont="1" applyFill="1" applyBorder="1" applyAlignment="1" applyProtection="1">
      <alignment horizontal="left"/>
      <protection hidden="1"/>
    </xf>
    <xf numFmtId="0" fontId="10" fillId="0" borderId="23" xfId="0" applyFont="1" applyBorder="1" applyProtection="1">
      <protection hidden="1"/>
    </xf>
    <xf numFmtId="0" fontId="0" fillId="0" borderId="0" xfId="0" applyAlignment="1" applyProtection="1">
      <alignment horizontal="left"/>
      <protection hidden="1"/>
    </xf>
    <xf numFmtId="0" fontId="0" fillId="0" borderId="0" xfId="0" applyBorder="1" applyProtection="1">
      <protection hidden="1"/>
    </xf>
    <xf numFmtId="0" fontId="9" fillId="24" borderId="41" xfId="0" applyFont="1" applyFill="1" applyBorder="1" applyAlignment="1" applyProtection="1">
      <alignment horizontal="left" wrapText="1"/>
      <protection hidden="1"/>
    </xf>
    <xf numFmtId="0" fontId="0" fillId="24" borderId="41" xfId="0" applyFill="1" applyBorder="1" applyAlignment="1" applyProtection="1">
      <alignment horizontal="left"/>
      <protection hidden="1"/>
    </xf>
    <xf numFmtId="0" fontId="0" fillId="24" borderId="41" xfId="0" applyFill="1" applyBorder="1" applyProtection="1">
      <protection hidden="1"/>
    </xf>
    <xf numFmtId="0" fontId="0" fillId="0" borderId="41" xfId="0" applyBorder="1" applyProtection="1">
      <protection hidden="1"/>
    </xf>
    <xf numFmtId="0" fontId="4" fillId="0" borderId="41" xfId="0" applyFont="1" applyFill="1" applyBorder="1" applyAlignment="1" applyProtection="1">
      <alignment horizontal="left"/>
      <protection hidden="1"/>
    </xf>
    <xf numFmtId="0" fontId="0" fillId="0" borderId="0" xfId="0" applyBorder="1" applyAlignment="1" applyProtection="1">
      <alignment horizontal="right"/>
      <protection hidden="1"/>
    </xf>
    <xf numFmtId="0" fontId="7" fillId="0" borderId="0" xfId="0" applyFont="1" applyAlignment="1" applyProtection="1">
      <alignment horizontal="left" wrapText="1"/>
      <protection hidden="1"/>
    </xf>
    <xf numFmtId="0" fontId="7" fillId="0" borderId="0" xfId="0" applyFont="1" applyFill="1" applyBorder="1" applyAlignment="1" applyProtection="1">
      <alignment horizontal="left" wrapText="1"/>
      <protection hidden="1"/>
    </xf>
    <xf numFmtId="0" fontId="7" fillId="0" borderId="0" xfId="0" applyFont="1" applyProtection="1">
      <protection hidden="1"/>
    </xf>
    <xf numFmtId="0" fontId="7" fillId="0" borderId="0" xfId="0" applyFont="1" applyFill="1" applyBorder="1" applyAlignment="1" applyProtection="1">
      <alignment horizontal="left"/>
      <protection hidden="1"/>
    </xf>
    <xf numFmtId="0" fontId="7" fillId="0" borderId="0" xfId="0" applyFont="1" applyAlignment="1" applyProtection="1">
      <alignment vertical="center" wrapText="1"/>
      <protection hidden="1"/>
    </xf>
    <xf numFmtId="0" fontId="7" fillId="0" borderId="0" xfId="0" applyFont="1" applyAlignment="1" applyProtection="1">
      <alignment horizontal="left" vertical="center" wrapText="1"/>
      <protection hidden="1"/>
    </xf>
    <xf numFmtId="164" fontId="7" fillId="0" borderId="0" xfId="59" applyNumberFormat="1" applyFont="1" applyFill="1" applyBorder="1" applyAlignment="1" applyProtection="1">
      <alignment horizontal="center"/>
      <protection hidden="1"/>
    </xf>
    <xf numFmtId="0" fontId="0" fillId="0" borderId="0" xfId="0" applyFill="1" applyAlignment="1" applyProtection="1">
      <alignment horizontal="center"/>
      <protection hidden="1"/>
    </xf>
    <xf numFmtId="164" fontId="0" fillId="0" borderId="0" xfId="0" applyNumberFormat="1" applyFill="1" applyAlignment="1" applyProtection="1">
      <alignment horizontal="center"/>
      <protection hidden="1"/>
    </xf>
    <xf numFmtId="0" fontId="7" fillId="0" borderId="0" xfId="0" applyFont="1" applyAlignment="1" applyProtection="1">
      <alignment wrapText="1"/>
      <protection hidden="1"/>
    </xf>
    <xf numFmtId="0" fontId="9" fillId="0" borderId="0" xfId="61" applyFont="1"/>
    <xf numFmtId="164" fontId="7" fillId="34" borderId="12" xfId="61" applyNumberFormat="1" applyFont="1" applyFill="1" applyBorder="1" applyAlignment="1">
      <alignment horizontal="center"/>
    </xf>
    <xf numFmtId="1" fontId="7" fillId="34" borderId="12" xfId="61" applyNumberFormat="1" applyFont="1" applyFill="1" applyBorder="1" applyAlignment="1">
      <alignment horizontal="center"/>
    </xf>
    <xf numFmtId="0" fontId="7" fillId="34" borderId="12" xfId="61" applyFont="1" applyFill="1" applyBorder="1" applyAlignment="1">
      <alignment horizontal="center"/>
    </xf>
    <xf numFmtId="0" fontId="7" fillId="35" borderId="12" xfId="61" applyFont="1" applyFill="1" applyBorder="1" applyAlignment="1">
      <alignment horizontal="center"/>
    </xf>
    <xf numFmtId="0" fontId="7" fillId="37" borderId="12" xfId="61" applyFont="1" applyFill="1" applyBorder="1" applyAlignment="1">
      <alignment horizontal="center"/>
    </xf>
    <xf numFmtId="0" fontId="7" fillId="34" borderId="12" xfId="61" applyFont="1" applyFill="1" applyBorder="1"/>
    <xf numFmtId="0" fontId="7" fillId="36" borderId="12" xfId="61" applyFont="1" applyFill="1" applyBorder="1"/>
    <xf numFmtId="0" fontId="7" fillId="37" borderId="12" xfId="61" applyFont="1" applyFill="1" applyBorder="1"/>
    <xf numFmtId="0" fontId="7" fillId="35" borderId="12" xfId="61" applyFont="1" applyFill="1" applyBorder="1"/>
    <xf numFmtId="0" fontId="9" fillId="0" borderId="0" xfId="0" applyFont="1" applyBorder="1" applyAlignment="1">
      <alignment horizontal="center"/>
    </xf>
    <xf numFmtId="0" fontId="9"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Border="1" applyAlignment="1">
      <alignment horizontal="right"/>
    </xf>
    <xf numFmtId="164" fontId="0" fillId="0" borderId="0" xfId="0" applyNumberFormat="1" applyFill="1" applyBorder="1" applyAlignment="1">
      <alignment horizontal="center"/>
    </xf>
    <xf numFmtId="1" fontId="7" fillId="0" borderId="0" xfId="61" applyNumberFormat="1" applyFont="1"/>
    <xf numFmtId="166" fontId="7" fillId="0" borderId="0" xfId="61" applyNumberFormat="1" applyFont="1"/>
    <xf numFmtId="0" fontId="63" fillId="39" borderId="40" xfId="0" applyFont="1" applyFill="1" applyBorder="1" applyAlignment="1" applyProtection="1">
      <alignment horizontal="center" vertical="center"/>
    </xf>
    <xf numFmtId="0" fontId="63" fillId="39" borderId="42" xfId="0" applyFont="1" applyFill="1" applyBorder="1" applyAlignment="1" applyProtection="1">
      <alignment horizontal="center" vertical="center"/>
    </xf>
    <xf numFmtId="0" fontId="63" fillId="39" borderId="43" xfId="0" applyFont="1" applyFill="1" applyBorder="1" applyAlignment="1" applyProtection="1">
      <alignment horizontal="center" vertical="center"/>
    </xf>
    <xf numFmtId="0" fontId="64" fillId="0" borderId="12" xfId="0" applyFont="1" applyFill="1" applyBorder="1"/>
    <xf numFmtId="0" fontId="64" fillId="0" borderId="20" xfId="0" applyFont="1" applyFill="1" applyBorder="1" applyAlignment="1">
      <alignment horizontal="center"/>
    </xf>
    <xf numFmtId="164" fontId="64" fillId="0" borderId="39" xfId="0" applyNumberFormat="1" applyFont="1" applyBorder="1" applyAlignment="1">
      <alignment horizontal="center"/>
    </xf>
    <xf numFmtId="0" fontId="64" fillId="0" borderId="44" xfId="0" applyFont="1" applyFill="1" applyBorder="1"/>
    <xf numFmtId="0" fontId="64" fillId="0" borderId="45" xfId="0" applyFont="1" applyFill="1" applyBorder="1" applyAlignment="1">
      <alignment horizontal="center"/>
    </xf>
    <xf numFmtId="164" fontId="64" fillId="0" borderId="46" xfId="0" applyNumberFormat="1" applyFont="1" applyBorder="1" applyAlignment="1">
      <alignment horizontal="center"/>
    </xf>
    <xf numFmtId="0" fontId="64" fillId="0" borderId="0" xfId="0" applyFont="1" applyAlignment="1">
      <alignment horizontal="center"/>
    </xf>
    <xf numFmtId="0" fontId="64" fillId="0" borderId="0" xfId="0" applyFont="1"/>
    <xf numFmtId="164" fontId="64" fillId="0" borderId="0" xfId="0" applyNumberFormat="1" applyFont="1"/>
    <xf numFmtId="0" fontId="64" fillId="0" borderId="0" xfId="0" applyFont="1" applyAlignment="1">
      <alignment horizontal="right"/>
    </xf>
    <xf numFmtId="8" fontId="64" fillId="0" borderId="0" xfId="0" applyNumberFormat="1" applyFont="1" applyAlignment="1">
      <alignment horizontal="center"/>
    </xf>
    <xf numFmtId="164" fontId="64" fillId="0" borderId="30" xfId="0" applyNumberFormat="1" applyFont="1" applyBorder="1" applyAlignment="1">
      <alignment horizontal="center"/>
    </xf>
    <xf numFmtId="0" fontId="64" fillId="0" borderId="41" xfId="0" applyFont="1" applyFill="1" applyBorder="1" applyAlignment="1">
      <alignment horizontal="center"/>
    </xf>
    <xf numFmtId="0" fontId="64" fillId="0" borderId="47" xfId="0" applyFont="1" applyFill="1" applyBorder="1" applyAlignment="1">
      <alignment horizontal="center"/>
    </xf>
    <xf numFmtId="164" fontId="7" fillId="0" borderId="0" xfId="58" applyNumberFormat="1" applyFont="1" applyAlignment="1">
      <alignment horizontal="center"/>
    </xf>
    <xf numFmtId="164" fontId="58" fillId="0" borderId="12" xfId="58" applyNumberFormat="1" applyFont="1" applyBorder="1" applyAlignment="1">
      <alignment horizontal="center"/>
    </xf>
    <xf numFmtId="0" fontId="65" fillId="0" borderId="0" xfId="58" applyFont="1"/>
    <xf numFmtId="0" fontId="7" fillId="0" borderId="0" xfId="2" applyFont="1" applyBorder="1" applyAlignment="1">
      <alignment horizontal="center"/>
    </xf>
    <xf numFmtId="0" fontId="42" fillId="33" borderId="0" xfId="2" applyFont="1" applyFill="1" applyBorder="1" applyAlignment="1">
      <alignment horizontal="left"/>
    </xf>
    <xf numFmtId="164" fontId="7" fillId="0" borderId="0" xfId="55" applyNumberFormat="1" applyFill="1" applyBorder="1" applyAlignment="1">
      <alignment horizontal="center"/>
    </xf>
    <xf numFmtId="164" fontId="7" fillId="0" borderId="0" xfId="55" applyNumberFormat="1" applyAlignment="1">
      <alignment horizontal="center"/>
    </xf>
    <xf numFmtId="0" fontId="7" fillId="0" borderId="0" xfId="55" applyAlignment="1">
      <alignment horizontal="right"/>
    </xf>
    <xf numFmtId="0" fontId="7" fillId="0" borderId="12" xfId="55" applyBorder="1" applyAlignment="1">
      <alignment horizontal="center"/>
    </xf>
    <xf numFmtId="164" fontId="7" fillId="0" borderId="12" xfId="55" applyNumberFormat="1" applyBorder="1" applyAlignment="1">
      <alignment horizontal="center"/>
    </xf>
    <xf numFmtId="0" fontId="7" fillId="0" borderId="12" xfId="55" applyBorder="1"/>
    <xf numFmtId="0" fontId="42" fillId="0" borderId="12" xfId="2" applyFont="1" applyFill="1" applyBorder="1" applyAlignment="1">
      <alignment horizontal="left"/>
    </xf>
    <xf numFmtId="164" fontId="42" fillId="0" borderId="12" xfId="2" applyNumberFormat="1" applyFont="1" applyFill="1" applyBorder="1" applyAlignment="1">
      <alignment horizontal="center"/>
    </xf>
    <xf numFmtId="10" fontId="7" fillId="0" borderId="0" xfId="55" applyNumberFormat="1" applyAlignment="1">
      <alignment horizontal="center"/>
    </xf>
    <xf numFmtId="164" fontId="7" fillId="0" borderId="30" xfId="55" applyNumberFormat="1" applyFill="1" applyBorder="1" applyAlignment="1">
      <alignment horizontal="center"/>
    </xf>
    <xf numFmtId="164" fontId="7" fillId="0" borderId="30" xfId="55" applyNumberFormat="1" applyBorder="1" applyAlignment="1">
      <alignment horizontal="center"/>
    </xf>
    <xf numFmtId="164" fontId="7" fillId="40" borderId="0" xfId="59" applyNumberFormat="1" applyFont="1" applyFill="1" applyAlignment="1" applyProtection="1">
      <alignment horizontal="center"/>
      <protection hidden="1"/>
    </xf>
    <xf numFmtId="0" fontId="7" fillId="24" borderId="41" xfId="0" applyFont="1" applyFill="1" applyBorder="1" applyAlignment="1" applyProtection="1">
      <alignment horizontal="left"/>
      <protection hidden="1"/>
    </xf>
    <xf numFmtId="0" fontId="7" fillId="0" borderId="0" xfId="61" applyFont="1" applyFill="1" applyBorder="1" applyAlignment="1">
      <alignment horizontal="center" wrapText="1"/>
    </xf>
    <xf numFmtId="0" fontId="7" fillId="0" borderId="0" xfId="61" applyFont="1" applyBorder="1" applyAlignment="1">
      <alignment horizontal="center" wrapText="1"/>
    </xf>
    <xf numFmtId="0" fontId="9" fillId="0" borderId="0" xfId="61" applyFont="1" applyBorder="1" applyAlignment="1">
      <alignment horizontal="center" wrapText="1"/>
    </xf>
    <xf numFmtId="164" fontId="9" fillId="0" borderId="0" xfId="61" applyNumberFormat="1" applyFont="1" applyBorder="1" applyAlignment="1">
      <alignment horizontal="center"/>
    </xf>
    <xf numFmtId="0" fontId="7" fillId="0" borderId="31" xfId="61" applyFont="1" applyBorder="1" applyAlignment="1">
      <alignment wrapText="1"/>
    </xf>
    <xf numFmtId="0" fontId="7" fillId="0" borderId="31" xfId="61" applyFont="1" applyBorder="1"/>
    <xf numFmtId="0" fontId="9" fillId="0" borderId="31" xfId="61" applyFont="1" applyBorder="1" applyAlignment="1">
      <alignment horizontal="center"/>
    </xf>
    <xf numFmtId="0" fontId="9" fillId="0" borderId="38" xfId="61" applyFont="1" applyBorder="1" applyAlignment="1"/>
    <xf numFmtId="0" fontId="9" fillId="0" borderId="48" xfId="61" applyFont="1" applyBorder="1" applyAlignment="1"/>
    <xf numFmtId="0" fontId="9" fillId="0" borderId="35" xfId="61" applyFont="1" applyBorder="1" applyAlignment="1"/>
    <xf numFmtId="0" fontId="7" fillId="34" borderId="12" xfId="61" applyFont="1" applyFill="1" applyBorder="1" applyAlignment="1">
      <alignment horizontal="center" wrapText="1"/>
    </xf>
    <xf numFmtId="0" fontId="7" fillId="0" borderId="0" xfId="59" applyFont="1" applyFill="1" applyBorder="1" applyAlignment="1" applyProtection="1">
      <alignment horizontal="right"/>
      <protection hidden="1"/>
    </xf>
    <xf numFmtId="0" fontId="0" fillId="0" borderId="0" xfId="0" applyBorder="1" applyAlignment="1" applyProtection="1">
      <alignment horizontal="left"/>
      <protection hidden="1"/>
    </xf>
    <xf numFmtId="0" fontId="0" fillId="0" borderId="0" xfId="0" applyFill="1" applyBorder="1" applyAlignment="1" applyProtection="1">
      <alignment horizontal="right"/>
      <protection hidden="1"/>
    </xf>
    <xf numFmtId="0" fontId="9" fillId="0" borderId="0" xfId="0" applyFont="1" applyFill="1" applyBorder="1" applyAlignment="1" applyProtection="1">
      <alignment horizontal="center" wrapText="1"/>
      <protection hidden="1"/>
    </xf>
    <xf numFmtId="0" fontId="0" fillId="0" borderId="0" xfId="0" applyFill="1" applyBorder="1" applyAlignment="1" applyProtection="1">
      <alignment horizontal="left"/>
      <protection hidden="1"/>
    </xf>
    <xf numFmtId="164" fontId="0" fillId="0" borderId="0" xfId="0" applyNumberFormat="1" applyFill="1" applyBorder="1" applyAlignment="1" applyProtection="1">
      <alignment horizontal="center"/>
      <protection hidden="1"/>
    </xf>
    <xf numFmtId="164" fontId="4" fillId="0" borderId="0" xfId="0" applyNumberFormat="1" applyFont="1" applyFill="1" applyBorder="1" applyAlignment="1" applyProtection="1">
      <alignment horizontal="center"/>
      <protection hidden="1"/>
    </xf>
    <xf numFmtId="0" fontId="0" fillId="0" borderId="0" xfId="0" applyFill="1" applyBorder="1" applyAlignment="1" applyProtection="1">
      <alignment horizontal="center"/>
      <protection hidden="1"/>
    </xf>
    <xf numFmtId="0" fontId="0" fillId="24" borderId="47" xfId="0" applyFill="1" applyBorder="1" applyProtection="1">
      <protection hidden="1"/>
    </xf>
    <xf numFmtId="0" fontId="10" fillId="41" borderId="23" xfId="0" applyFont="1" applyFill="1" applyBorder="1" applyProtection="1">
      <protection hidden="1"/>
    </xf>
    <xf numFmtId="0" fontId="9" fillId="41" borderId="26" xfId="0" applyFont="1" applyFill="1" applyBorder="1" applyProtection="1">
      <protection hidden="1"/>
    </xf>
    <xf numFmtId="0" fontId="0" fillId="41" borderId="26" xfId="0" applyFill="1" applyBorder="1" applyProtection="1">
      <protection hidden="1"/>
    </xf>
    <xf numFmtId="0" fontId="7" fillId="0" borderId="0" xfId="59" applyFont="1" applyFill="1" applyAlignment="1" applyProtection="1">
      <alignment horizontal="left"/>
      <protection hidden="1"/>
    </xf>
    <xf numFmtId="0" fontId="9" fillId="0" borderId="39" xfId="0" applyFont="1" applyFill="1" applyBorder="1" applyAlignment="1" applyProtection="1">
      <alignment horizontal="center"/>
      <protection hidden="1"/>
    </xf>
    <xf numFmtId="0" fontId="4" fillId="0" borderId="47" xfId="0" applyFont="1" applyFill="1" applyBorder="1" applyAlignment="1" applyProtection="1">
      <alignment horizontal="left"/>
      <protection hidden="1"/>
    </xf>
    <xf numFmtId="0" fontId="65" fillId="0" borderId="0" xfId="0" applyFont="1"/>
    <xf numFmtId="0" fontId="7" fillId="0" borderId="0" xfId="0" applyFont="1" applyFill="1" applyAlignment="1" applyProtection="1">
      <alignment horizontal="left" vertical="center" wrapText="1"/>
      <protection hidden="1"/>
    </xf>
    <xf numFmtId="0" fontId="0" fillId="0" borderId="12" xfId="0" applyFill="1" applyBorder="1" applyAlignment="1" applyProtection="1">
      <alignment horizontal="left"/>
      <protection hidden="1"/>
    </xf>
    <xf numFmtId="0" fontId="7" fillId="42" borderId="0" xfId="61" applyFont="1" applyFill="1" applyAlignment="1">
      <alignment horizontal="center" wrapText="1"/>
    </xf>
    <xf numFmtId="164" fontId="7" fillId="42" borderId="0" xfId="61" applyNumberFormat="1" applyFont="1" applyFill="1" applyAlignment="1">
      <alignment horizontal="center"/>
    </xf>
    <xf numFmtId="0" fontId="7" fillId="0" borderId="0" xfId="0" applyFont="1" applyFill="1" applyBorder="1"/>
    <xf numFmtId="0" fontId="9" fillId="0" borderId="0" xfId="0" applyFont="1" applyFill="1" applyBorder="1"/>
    <xf numFmtId="164" fontId="9" fillId="0" borderId="0" xfId="0" applyNumberFormat="1" applyFont="1" applyBorder="1" applyAlignment="1">
      <alignment horizontal="center"/>
    </xf>
    <xf numFmtId="164" fontId="0" fillId="0" borderId="0" xfId="0" applyNumberFormat="1" applyFill="1" applyAlignment="1">
      <alignment horizontal="center"/>
    </xf>
    <xf numFmtId="164" fontId="9" fillId="0" borderId="0" xfId="0" applyNumberFormat="1" applyFont="1" applyAlignment="1">
      <alignment horizontal="center"/>
    </xf>
    <xf numFmtId="0" fontId="9" fillId="0" borderId="0" xfId="0" applyFont="1"/>
    <xf numFmtId="0" fontId="20" fillId="0" borderId="0" xfId="0" applyFont="1" applyAlignment="1">
      <alignment horizontal="left"/>
    </xf>
    <xf numFmtId="0" fontId="7" fillId="0" borderId="0" xfId="58" applyFont="1" applyAlignment="1">
      <alignment horizontal="right"/>
    </xf>
    <xf numFmtId="0" fontId="9" fillId="0" borderId="0" xfId="0" applyFont="1" applyBorder="1"/>
    <xf numFmtId="49" fontId="9" fillId="0" borderId="0" xfId="0" applyNumberFormat="1" applyFont="1" applyAlignment="1">
      <alignment horizontal="left"/>
    </xf>
    <xf numFmtId="164" fontId="7" fillId="0" borderId="0" xfId="0" applyNumberFormat="1" applyFont="1" applyFill="1" applyBorder="1" applyAlignment="1">
      <alignment horizontal="center"/>
    </xf>
    <xf numFmtId="0" fontId="7" fillId="0" borderId="0" xfId="0" applyFont="1" applyAlignment="1">
      <alignment horizontal="left"/>
    </xf>
    <xf numFmtId="0" fontId="7" fillId="0" borderId="0" xfId="0" applyFont="1" applyAlignment="1">
      <alignment horizontal="left" wrapText="1"/>
    </xf>
    <xf numFmtId="0" fontId="7" fillId="0" borderId="0" xfId="59" applyFont="1" applyFill="1" applyProtection="1">
      <protection hidden="1"/>
    </xf>
    <xf numFmtId="164" fontId="0" fillId="0" borderId="3" xfId="0" applyNumberFormat="1" applyFill="1" applyBorder="1" applyAlignment="1" applyProtection="1">
      <alignment horizontal="center"/>
      <protection hidden="1"/>
    </xf>
    <xf numFmtId="164" fontId="7" fillId="0" borderId="3" xfId="59" applyNumberFormat="1" applyFont="1" applyFill="1" applyBorder="1" applyAlignment="1" applyProtection="1">
      <alignment horizontal="center"/>
      <protection hidden="1"/>
    </xf>
    <xf numFmtId="1" fontId="7" fillId="0" borderId="0" xfId="59" applyNumberFormat="1" applyFont="1" applyFill="1" applyBorder="1" applyAlignment="1" applyProtection="1">
      <alignment horizontal="center"/>
      <protection hidden="1"/>
    </xf>
    <xf numFmtId="0" fontId="7" fillId="0" borderId="0" xfId="59" applyFont="1" applyFill="1" applyBorder="1" applyAlignment="1" applyProtection="1">
      <alignment horizontal="center"/>
      <protection hidden="1"/>
    </xf>
    <xf numFmtId="164" fontId="9" fillId="0" borderId="0" xfId="59" applyNumberFormat="1" applyFont="1" applyFill="1" applyBorder="1" applyAlignment="1" applyProtection="1">
      <alignment horizontal="center"/>
      <protection hidden="1"/>
    </xf>
    <xf numFmtId="164" fontId="9" fillId="0" borderId="0" xfId="59" applyNumberFormat="1" applyFont="1" applyFill="1" applyAlignment="1" applyProtection="1">
      <alignment horizontal="center"/>
      <protection hidden="1"/>
    </xf>
    <xf numFmtId="164" fontId="6" fillId="0" borderId="0" xfId="0" applyNumberFormat="1" applyFont="1" applyFill="1" applyBorder="1" applyAlignment="1" applyProtection="1">
      <protection hidden="1"/>
    </xf>
    <xf numFmtId="164" fontId="20" fillId="0" borderId="0" xfId="0" applyNumberFormat="1" applyFont="1" applyFill="1" applyBorder="1" applyAlignment="1" applyProtection="1">
      <protection hidden="1"/>
    </xf>
    <xf numFmtId="164" fontId="7" fillId="0" borderId="0" xfId="0" applyNumberFormat="1" applyFont="1" applyFill="1" applyBorder="1" applyAlignment="1" applyProtection="1">
      <protection hidden="1"/>
    </xf>
    <xf numFmtId="164" fontId="7" fillId="0" borderId="0" xfId="0" applyNumberFormat="1" applyFont="1" applyFill="1" applyBorder="1" applyAlignment="1" applyProtection="1">
      <alignment horizontal="left"/>
      <protection hidden="1"/>
    </xf>
    <xf numFmtId="0" fontId="7" fillId="0" borderId="0" xfId="0" applyFont="1" applyFill="1" applyAlignment="1" applyProtection="1">
      <alignment horizontal="left"/>
      <protection hidden="1"/>
    </xf>
    <xf numFmtId="164" fontId="9" fillId="0" borderId="0" xfId="0" applyNumberFormat="1" applyFont="1" applyFill="1" applyBorder="1" applyAlignment="1" applyProtection="1">
      <alignment horizontal="left"/>
      <protection hidden="1"/>
    </xf>
    <xf numFmtId="0" fontId="7" fillId="34" borderId="0" xfId="59" applyFont="1" applyFill="1" applyAlignment="1" applyProtection="1">
      <alignment horizontal="center"/>
      <protection locked="0"/>
    </xf>
    <xf numFmtId="0" fontId="7" fillId="0" borderId="0" xfId="59" applyFont="1" applyFill="1" applyBorder="1" applyAlignment="1" applyProtection="1">
      <alignment horizontal="left"/>
      <protection hidden="1"/>
    </xf>
    <xf numFmtId="4" fontId="7" fillId="0" borderId="0" xfId="59" applyNumberFormat="1" applyFont="1" applyFill="1" applyAlignment="1" applyProtection="1">
      <alignment horizontal="center"/>
      <protection hidden="1"/>
    </xf>
    <xf numFmtId="166" fontId="7" fillId="0" borderId="0" xfId="59" applyNumberFormat="1" applyFont="1" applyFill="1" applyAlignment="1" applyProtection="1">
      <alignment horizontal="center"/>
      <protection hidden="1"/>
    </xf>
    <xf numFmtId="164" fontId="20" fillId="0" borderId="0" xfId="59" applyNumberFormat="1" applyFont="1" applyFill="1" applyAlignment="1" applyProtection="1">
      <alignment horizontal="center"/>
      <protection hidden="1"/>
    </xf>
    <xf numFmtId="6" fontId="7" fillId="0" borderId="0" xfId="59" applyNumberFormat="1" applyFont="1" applyFill="1" applyAlignment="1" applyProtection="1">
      <alignment horizontal="center"/>
      <protection hidden="1"/>
    </xf>
    <xf numFmtId="166" fontId="7" fillId="0" borderId="0" xfId="59" applyNumberFormat="1" applyFont="1" applyFill="1" applyBorder="1" applyAlignment="1" applyProtection="1">
      <alignment horizontal="center"/>
      <protection hidden="1"/>
    </xf>
    <xf numFmtId="1" fontId="7" fillId="0" borderId="0" xfId="59" applyNumberFormat="1" applyFont="1" applyFill="1" applyBorder="1" applyAlignment="1" applyProtection="1">
      <alignment horizontal="left"/>
      <protection hidden="1"/>
    </xf>
    <xf numFmtId="0" fontId="9" fillId="0" borderId="43" xfId="0" applyFont="1" applyFill="1" applyBorder="1" applyAlignment="1" applyProtection="1">
      <alignment horizontal="center"/>
      <protection hidden="1"/>
    </xf>
    <xf numFmtId="0" fontId="65" fillId="0" borderId="0" xfId="59" applyFont="1" applyFill="1" applyBorder="1" applyAlignment="1" applyProtection="1">
      <alignment horizontal="left"/>
      <protection hidden="1"/>
    </xf>
    <xf numFmtId="0" fontId="0" fillId="0" borderId="41" xfId="0" applyFill="1" applyBorder="1" applyProtection="1">
      <protection hidden="1"/>
    </xf>
    <xf numFmtId="0" fontId="0" fillId="0" borderId="39" xfId="0" applyFill="1" applyBorder="1" applyAlignment="1" applyProtection="1">
      <alignment horizontal="center"/>
      <protection hidden="1"/>
    </xf>
    <xf numFmtId="0" fontId="0" fillId="0" borderId="39" xfId="0" applyFill="1" applyBorder="1" applyProtection="1">
      <protection hidden="1"/>
    </xf>
    <xf numFmtId="0" fontId="7" fillId="0" borderId="41" xfId="59" applyFont="1" applyFill="1" applyBorder="1" applyAlignment="1" applyProtection="1">
      <alignment horizontal="left"/>
      <protection hidden="1"/>
    </xf>
    <xf numFmtId="3" fontId="7" fillId="0" borderId="39" xfId="59" applyNumberFormat="1" applyFont="1" applyFill="1" applyBorder="1" applyAlignment="1" applyProtection="1">
      <alignment horizontal="center"/>
      <protection hidden="1"/>
    </xf>
    <xf numFmtId="0" fontId="7" fillId="0" borderId="47" xfId="59" applyFont="1" applyFill="1" applyBorder="1" applyAlignment="1" applyProtection="1">
      <alignment horizontal="left"/>
      <protection hidden="1"/>
    </xf>
    <xf numFmtId="3" fontId="7" fillId="0" borderId="46" xfId="59" applyNumberFormat="1" applyFont="1" applyFill="1" applyBorder="1" applyAlignment="1" applyProtection="1">
      <alignment horizontal="center"/>
      <protection hidden="1"/>
    </xf>
    <xf numFmtId="0" fontId="0" fillId="0" borderId="24" xfId="0" applyFill="1" applyBorder="1" applyAlignment="1" applyProtection="1">
      <alignment horizontal="left"/>
      <protection hidden="1"/>
    </xf>
    <xf numFmtId="0" fontId="0" fillId="0" borderId="0" xfId="0" applyFill="1" applyAlignment="1" applyProtection="1">
      <alignment horizontal="left"/>
      <protection hidden="1"/>
    </xf>
    <xf numFmtId="0" fontId="0" fillId="0" borderId="24" xfId="0" applyFill="1" applyBorder="1" applyAlignment="1" applyProtection="1">
      <alignment horizontal="center"/>
      <protection hidden="1"/>
    </xf>
    <xf numFmtId="0" fontId="0" fillId="0" borderId="25" xfId="0" applyFill="1" applyBorder="1" applyAlignment="1" applyProtection="1">
      <alignment horizontal="center"/>
      <protection hidden="1"/>
    </xf>
    <xf numFmtId="0" fontId="9" fillId="0" borderId="12" xfId="0" applyFont="1" applyFill="1" applyBorder="1" applyAlignment="1" applyProtection="1">
      <alignment horizontal="left"/>
      <protection hidden="1"/>
    </xf>
    <xf numFmtId="164" fontId="7" fillId="0" borderId="39" xfId="61" applyNumberFormat="1" applyFont="1" applyFill="1" applyBorder="1" applyAlignment="1" applyProtection="1">
      <alignment horizontal="center"/>
      <protection hidden="1"/>
    </xf>
    <xf numFmtId="0" fontId="0" fillId="0" borderId="27" xfId="0" applyFill="1" applyBorder="1" applyAlignment="1" applyProtection="1">
      <alignment horizontal="center"/>
      <protection hidden="1"/>
    </xf>
    <xf numFmtId="0" fontId="0" fillId="0" borderId="17" xfId="0" applyFill="1" applyBorder="1" applyAlignment="1" applyProtection="1">
      <alignment horizontal="left"/>
      <protection hidden="1"/>
    </xf>
    <xf numFmtId="0" fontId="0" fillId="0" borderId="17" xfId="0" applyFill="1" applyBorder="1" applyAlignment="1" applyProtection="1">
      <alignment horizontal="center"/>
      <protection hidden="1"/>
    </xf>
    <xf numFmtId="0" fontId="0" fillId="0" borderId="29" xfId="0" applyFill="1" applyBorder="1" applyAlignment="1" applyProtection="1">
      <alignment horizontal="center"/>
      <protection hidden="1"/>
    </xf>
    <xf numFmtId="0" fontId="9" fillId="0" borderId="40" xfId="59" applyFont="1" applyFill="1" applyBorder="1" applyProtection="1">
      <protection hidden="1"/>
    </xf>
    <xf numFmtId="164" fontId="7" fillId="0" borderId="42" xfId="59" applyNumberFormat="1" applyFont="1" applyFill="1" applyBorder="1" applyAlignment="1" applyProtection="1">
      <alignment horizontal="center"/>
      <protection hidden="1"/>
    </xf>
    <xf numFmtId="164" fontId="9" fillId="0" borderId="43" xfId="59" applyNumberFormat="1" applyFont="1" applyFill="1" applyBorder="1" applyAlignment="1" applyProtection="1">
      <alignment horizontal="center"/>
      <protection hidden="1"/>
    </xf>
    <xf numFmtId="164" fontId="7" fillId="0" borderId="41" xfId="59" applyNumberFormat="1" applyFont="1" applyFill="1" applyBorder="1" applyAlignment="1" applyProtection="1">
      <alignment horizontal="left"/>
      <protection hidden="1"/>
    </xf>
    <xf numFmtId="164" fontId="7" fillId="0" borderId="12" xfId="59" applyNumberFormat="1" applyFont="1" applyFill="1" applyBorder="1" applyAlignment="1" applyProtection="1">
      <alignment horizontal="center"/>
      <protection hidden="1"/>
    </xf>
    <xf numFmtId="9" fontId="9" fillId="0" borderId="39" xfId="59" applyNumberFormat="1" applyFont="1" applyFill="1" applyBorder="1" applyAlignment="1" applyProtection="1">
      <alignment horizontal="center"/>
      <protection hidden="1"/>
    </xf>
    <xf numFmtId="164" fontId="7" fillId="0" borderId="47" xfId="59" applyNumberFormat="1" applyFont="1" applyFill="1" applyBorder="1" applyAlignment="1" applyProtection="1">
      <alignment horizontal="left"/>
      <protection hidden="1"/>
    </xf>
    <xf numFmtId="164" fontId="7" fillId="0" borderId="44" xfId="59" applyNumberFormat="1" applyFont="1" applyFill="1" applyBorder="1" applyAlignment="1" applyProtection="1">
      <alignment horizontal="center"/>
      <protection hidden="1"/>
    </xf>
    <xf numFmtId="164" fontId="7" fillId="0" borderId="0" xfId="59" applyNumberFormat="1" applyFont="1" applyFill="1" applyBorder="1" applyAlignment="1" applyProtection="1">
      <alignment horizontal="left"/>
      <protection hidden="1"/>
    </xf>
    <xf numFmtId="9" fontId="9" fillId="0" borderId="0" xfId="59" applyNumberFormat="1" applyFont="1" applyFill="1" applyBorder="1" applyAlignment="1" applyProtection="1">
      <alignment horizontal="center"/>
      <protection hidden="1"/>
    </xf>
    <xf numFmtId="164" fontId="9" fillId="0" borderId="40" xfId="59" applyNumberFormat="1" applyFont="1" applyFill="1" applyBorder="1" applyAlignment="1" applyProtection="1">
      <alignment horizontal="left"/>
      <protection hidden="1"/>
    </xf>
    <xf numFmtId="9" fontId="9" fillId="0" borderId="43" xfId="59" applyNumberFormat="1" applyFont="1" applyFill="1" applyBorder="1" applyAlignment="1" applyProtection="1">
      <alignment horizontal="center"/>
      <protection hidden="1"/>
    </xf>
    <xf numFmtId="164" fontId="9" fillId="0" borderId="46" xfId="59" applyNumberFormat="1" applyFont="1" applyFill="1" applyBorder="1" applyAlignment="1" applyProtection="1">
      <alignment horizontal="center"/>
      <protection hidden="1"/>
    </xf>
    <xf numFmtId="164" fontId="7" fillId="0" borderId="0" xfId="59" applyNumberFormat="1" applyFont="1" applyFill="1" applyProtection="1">
      <protection hidden="1"/>
    </xf>
    <xf numFmtId="0" fontId="0" fillId="0" borderId="51" xfId="0" applyFill="1" applyBorder="1" applyProtection="1">
      <protection hidden="1"/>
    </xf>
    <xf numFmtId="0" fontId="0" fillId="0" borderId="51" xfId="0" applyFill="1" applyBorder="1" applyAlignment="1" applyProtection="1">
      <alignment horizontal="center"/>
      <protection hidden="1"/>
    </xf>
    <xf numFmtId="0" fontId="9" fillId="0" borderId="15" xfId="0" applyFont="1" applyFill="1" applyBorder="1" applyAlignment="1" applyProtection="1">
      <alignment horizontal="center"/>
      <protection hidden="1"/>
    </xf>
    <xf numFmtId="0" fontId="0" fillId="0" borderId="15" xfId="0" applyFill="1" applyBorder="1" applyProtection="1">
      <protection hidden="1"/>
    </xf>
    <xf numFmtId="0" fontId="0" fillId="0" borderId="33" xfId="0" applyFill="1" applyBorder="1" applyAlignment="1" applyProtection="1">
      <alignment horizontal="center"/>
      <protection hidden="1"/>
    </xf>
    <xf numFmtId="0" fontId="0" fillId="0" borderId="33" xfId="0" applyFill="1" applyBorder="1" applyAlignment="1" applyProtection="1">
      <alignment horizontal="right"/>
      <protection hidden="1"/>
    </xf>
    <xf numFmtId="0" fontId="0" fillId="0" borderId="20" xfId="0" applyFill="1" applyBorder="1" applyAlignment="1" applyProtection="1">
      <alignment horizontal="center"/>
      <protection hidden="1"/>
    </xf>
    <xf numFmtId="0" fontId="0" fillId="0" borderId="12" xfId="0" applyFill="1" applyBorder="1" applyProtection="1">
      <protection hidden="1"/>
    </xf>
    <xf numFmtId="164" fontId="0" fillId="0" borderId="12" xfId="0" applyNumberFormat="1" applyFill="1" applyBorder="1" applyAlignment="1" applyProtection="1">
      <alignment horizontal="center"/>
      <protection hidden="1"/>
    </xf>
    <xf numFmtId="0" fontId="0" fillId="0" borderId="12" xfId="0" applyFill="1" applyBorder="1" applyAlignment="1" applyProtection="1">
      <alignment horizontal="center"/>
      <protection hidden="1"/>
    </xf>
    <xf numFmtId="0" fontId="0" fillId="0" borderId="12" xfId="0" applyFill="1" applyBorder="1" applyAlignment="1" applyProtection="1">
      <alignment horizontal="center" wrapText="1"/>
      <protection hidden="1"/>
    </xf>
    <xf numFmtId="0" fontId="0" fillId="0" borderId="44" xfId="0" applyFill="1" applyBorder="1" applyAlignment="1" applyProtection="1">
      <alignment horizontal="center" wrapText="1"/>
      <protection hidden="1"/>
    </xf>
    <xf numFmtId="0" fontId="0" fillId="0" borderId="44" xfId="0" applyFill="1" applyBorder="1" applyProtection="1">
      <protection hidden="1"/>
    </xf>
    <xf numFmtId="164" fontId="0" fillId="0" borderId="44" xfId="0" applyNumberFormat="1" applyFill="1" applyBorder="1" applyAlignment="1" applyProtection="1">
      <alignment horizontal="center"/>
      <protection hidden="1"/>
    </xf>
    <xf numFmtId="0" fontId="0" fillId="0" borderId="0" xfId="0" applyFill="1" applyBorder="1" applyProtection="1">
      <protection hidden="1"/>
    </xf>
    <xf numFmtId="0" fontId="0" fillId="0" borderId="24" xfId="0" applyFill="1" applyBorder="1" applyAlignment="1" applyProtection="1">
      <alignment horizontal="right"/>
      <protection hidden="1"/>
    </xf>
    <xf numFmtId="0" fontId="9" fillId="0" borderId="12" xfId="0" applyFont="1" applyFill="1" applyBorder="1" applyAlignment="1" applyProtection="1">
      <alignment horizontal="center"/>
      <protection hidden="1"/>
    </xf>
    <xf numFmtId="0" fontId="9" fillId="0" borderId="12" xfId="0" applyFont="1" applyFill="1" applyBorder="1" applyAlignment="1" applyProtection="1">
      <alignment horizontal="center" wrapText="1"/>
      <protection hidden="1"/>
    </xf>
    <xf numFmtId="164" fontId="4" fillId="0" borderId="12" xfId="0" applyNumberFormat="1" applyFont="1" applyFill="1" applyBorder="1" applyAlignment="1" applyProtection="1">
      <alignment horizontal="center"/>
      <protection hidden="1"/>
    </xf>
    <xf numFmtId="164" fontId="4" fillId="0" borderId="44" xfId="0" applyNumberFormat="1" applyFont="1" applyFill="1" applyBorder="1" applyAlignment="1" applyProtection="1">
      <alignment horizontal="center"/>
      <protection hidden="1"/>
    </xf>
    <xf numFmtId="164" fontId="0" fillId="0" borderId="0" xfId="0" applyNumberFormat="1"/>
    <xf numFmtId="49" fontId="9" fillId="0" borderId="0" xfId="0" applyNumberFormat="1" applyFont="1" applyAlignment="1">
      <alignment horizontal="center"/>
    </xf>
    <xf numFmtId="49" fontId="9" fillId="0" borderId="0" xfId="0" applyNumberFormat="1" applyFont="1"/>
    <xf numFmtId="0" fontId="7" fillId="0" borderId="0" xfId="0" applyFont="1" applyBorder="1"/>
    <xf numFmtId="0" fontId="7" fillId="0" borderId="0" xfId="61" applyFont="1" applyAlignment="1">
      <alignment horizontal="center"/>
    </xf>
    <xf numFmtId="0" fontId="7" fillId="0" borderId="0" xfId="61" applyFont="1" applyAlignment="1">
      <alignment horizontal="center" wrapText="1"/>
    </xf>
    <xf numFmtId="0" fontId="7" fillId="0" borderId="12" xfId="61" applyFont="1" applyBorder="1" applyAlignment="1">
      <alignment horizontal="center"/>
    </xf>
    <xf numFmtId="0" fontId="9" fillId="0" borderId="12" xfId="61" applyFont="1" applyBorder="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9" fillId="0" borderId="0" xfId="0" applyFont="1"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0" borderId="24" xfId="0" applyFill="1" applyBorder="1" applyAlignment="1" applyProtection="1">
      <alignment horizontal="left"/>
      <protection hidden="1"/>
    </xf>
    <xf numFmtId="0" fontId="0" fillId="0" borderId="12" xfId="0" applyFill="1" applyBorder="1" applyAlignment="1" applyProtection="1">
      <alignment horizontal="left"/>
      <protection hidden="1"/>
    </xf>
    <xf numFmtId="0" fontId="9" fillId="0" borderId="0" xfId="59" applyFont="1" applyAlignment="1" applyProtection="1">
      <alignment horizontal="center"/>
      <protection hidden="1"/>
    </xf>
    <xf numFmtId="0" fontId="9" fillId="0" borderId="0" xfId="59" applyFont="1" applyBorder="1" applyAlignment="1" applyProtection="1">
      <alignment horizontal="center"/>
      <protection hidden="1"/>
    </xf>
    <xf numFmtId="0" fontId="7" fillId="0" borderId="0" xfId="0" applyFont="1" applyFill="1" applyAlignment="1" applyProtection="1">
      <alignment horizontal="left" vertical="center" wrapText="1"/>
      <protection hidden="1"/>
    </xf>
    <xf numFmtId="0" fontId="9"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58" applyFont="1" applyAlignment="1">
      <alignment horizontal="center" wrapText="1"/>
    </xf>
    <xf numFmtId="1" fontId="7" fillId="41" borderId="0" xfId="61" applyNumberFormat="1" applyFont="1" applyFill="1" applyAlignment="1">
      <alignment horizontal="center"/>
    </xf>
    <xf numFmtId="1" fontId="65" fillId="0" borderId="0" xfId="61" applyNumberFormat="1" applyFont="1" applyFill="1" applyAlignment="1">
      <alignment horizontal="center"/>
    </xf>
    <xf numFmtId="164" fontId="7" fillId="41" borderId="0" xfId="61" applyNumberFormat="1" applyFont="1" applyFill="1" applyAlignment="1">
      <alignment horizontal="center"/>
    </xf>
    <xf numFmtId="0" fontId="4" fillId="0" borderId="0" xfId="61" applyFont="1"/>
    <xf numFmtId="0" fontId="4" fillId="0" borderId="0" xfId="61" applyFont="1" applyAlignment="1"/>
    <xf numFmtId="0" fontId="4" fillId="0" borderId="0" xfId="61" applyFont="1" applyAlignment="1">
      <alignment horizontal="center"/>
    </xf>
    <xf numFmtId="0" fontId="4" fillId="0" borderId="0" xfId="61" applyFont="1" applyFill="1"/>
    <xf numFmtId="164" fontId="4" fillId="0" borderId="0" xfId="61" applyNumberFormat="1" applyFont="1" applyFill="1" applyAlignment="1">
      <alignment horizontal="center"/>
    </xf>
    <xf numFmtId="0" fontId="4" fillId="0" borderId="0" xfId="61" applyFont="1" applyBorder="1" applyAlignment="1"/>
    <xf numFmtId="0" fontId="4" fillId="0" borderId="0" xfId="61" applyFont="1" applyBorder="1" applyAlignment="1">
      <alignment horizontal="center"/>
    </xf>
    <xf numFmtId="164" fontId="4" fillId="0" borderId="0" xfId="61" applyNumberFormat="1" applyFont="1" applyAlignment="1">
      <alignment horizontal="center"/>
    </xf>
    <xf numFmtId="0" fontId="4" fillId="0" borderId="12" xfId="61" applyFont="1" applyBorder="1" applyAlignment="1">
      <alignment horizontal="left" wrapText="1"/>
    </xf>
    <xf numFmtId="0" fontId="4" fillId="0" borderId="12" xfId="61" applyFont="1" applyBorder="1"/>
    <xf numFmtId="0" fontId="4" fillId="0" borderId="12" xfId="61" applyFont="1" applyFill="1" applyBorder="1" applyAlignment="1">
      <alignment horizontal="center"/>
    </xf>
    <xf numFmtId="0" fontId="4" fillId="0" borderId="12" xfId="0" applyFont="1" applyFill="1" applyBorder="1" applyAlignment="1">
      <alignment horizontal="center"/>
    </xf>
    <xf numFmtId="0" fontId="4" fillId="0" borderId="12" xfId="0" applyFont="1" applyFill="1" applyBorder="1" applyAlignment="1">
      <alignment horizontal="center" wrapText="1"/>
    </xf>
    <xf numFmtId="0" fontId="4" fillId="0" borderId="12" xfId="61" applyFont="1" applyBorder="1" applyAlignment="1">
      <alignment horizontal="center"/>
    </xf>
    <xf numFmtId="0" fontId="4" fillId="0" borderId="12" xfId="61" applyFont="1" applyBorder="1" applyAlignment="1">
      <alignment horizontal="center" wrapText="1"/>
    </xf>
    <xf numFmtId="0" fontId="4" fillId="0" borderId="12" xfId="61" applyFont="1" applyFill="1" applyBorder="1" applyAlignment="1">
      <alignment horizontal="center" wrapText="1"/>
    </xf>
    <xf numFmtId="164" fontId="4" fillId="0" borderId="12" xfId="61" applyNumberFormat="1" applyFont="1" applyBorder="1" applyAlignment="1">
      <alignment horizontal="center" wrapText="1"/>
    </xf>
    <xf numFmtId="0" fontId="4" fillId="0" borderId="0" xfId="61" applyFont="1" applyBorder="1" applyAlignment="1">
      <alignment horizontal="center" wrapText="1"/>
    </xf>
    <xf numFmtId="0" fontId="4" fillId="0" borderId="12" xfId="61" applyFont="1" applyBorder="1" applyAlignment="1">
      <alignment horizontal="left"/>
    </xf>
    <xf numFmtId="0" fontId="4" fillId="0" borderId="12" xfId="61" applyFont="1" applyFill="1" applyBorder="1"/>
    <xf numFmtId="164" fontId="4" fillId="0" borderId="12" xfId="61" applyNumberFormat="1" applyFont="1" applyFill="1" applyBorder="1" applyAlignment="1">
      <alignment horizontal="center"/>
    </xf>
    <xf numFmtId="164" fontId="4" fillId="0" borderId="12" xfId="61" applyNumberFormat="1" applyFont="1" applyBorder="1" applyAlignment="1">
      <alignment horizontal="center"/>
    </xf>
    <xf numFmtId="3" fontId="4" fillId="0" borderId="12" xfId="61" applyNumberFormat="1" applyFont="1" applyBorder="1" applyAlignment="1">
      <alignment horizontal="center"/>
    </xf>
    <xf numFmtId="164" fontId="4" fillId="0" borderId="0" xfId="61" applyNumberFormat="1" applyFont="1" applyBorder="1" applyAlignment="1">
      <alignment horizontal="center"/>
    </xf>
    <xf numFmtId="164" fontId="4" fillId="0" borderId="0" xfId="61" applyNumberFormat="1" applyFont="1"/>
    <xf numFmtId="164" fontId="4" fillId="34" borderId="12" xfId="61" applyNumberFormat="1" applyFont="1" applyFill="1" applyBorder="1" applyAlignment="1">
      <alignment horizontal="center"/>
    </xf>
    <xf numFmtId="0" fontId="4" fillId="0" borderId="12" xfId="61" applyFont="1" applyFill="1" applyBorder="1" applyAlignment="1">
      <alignment horizontal="left"/>
    </xf>
    <xf numFmtId="164" fontId="4" fillId="0" borderId="12" xfId="61" applyNumberFormat="1" applyFont="1" applyFill="1" applyBorder="1" applyAlignment="1">
      <alignment horizontal="center" wrapText="1"/>
    </xf>
    <xf numFmtId="0" fontId="4" fillId="0" borderId="0" xfId="61" applyFont="1" applyFill="1" applyBorder="1" applyAlignment="1">
      <alignment horizontal="center"/>
    </xf>
    <xf numFmtId="0" fontId="4" fillId="0" borderId="0" xfId="61" applyFont="1" applyAlignment="1">
      <alignment horizontal="left"/>
    </xf>
    <xf numFmtId="0" fontId="4" fillId="0" borderId="0" xfId="61" applyFont="1" applyFill="1" applyBorder="1"/>
    <xf numFmtId="164" fontId="4" fillId="0" borderId="30" xfId="61" applyNumberFormat="1" applyFont="1" applyFill="1" applyBorder="1" applyAlignment="1">
      <alignment horizontal="center"/>
    </xf>
    <xf numFmtId="3" fontId="4" fillId="0" borderId="30" xfId="61" applyNumberFormat="1" applyFont="1" applyFill="1" applyBorder="1" applyAlignment="1">
      <alignment horizontal="center"/>
    </xf>
    <xf numFmtId="0" fontId="4" fillId="0" borderId="0" xfId="61" applyFont="1" applyBorder="1" applyAlignment="1">
      <alignment horizontal="left"/>
    </xf>
    <xf numFmtId="0" fontId="4" fillId="0" borderId="0" xfId="61" applyFont="1" applyFill="1" applyAlignment="1">
      <alignment horizontal="center"/>
    </xf>
    <xf numFmtId="164" fontId="4" fillId="0" borderId="0" xfId="61" applyNumberFormat="1" applyFont="1" applyAlignment="1">
      <alignment wrapText="1"/>
    </xf>
    <xf numFmtId="3" fontId="4" fillId="0" borderId="0" xfId="61" applyNumberFormat="1" applyFont="1" applyAlignment="1">
      <alignment horizontal="center"/>
    </xf>
    <xf numFmtId="0" fontId="4" fillId="0" borderId="0" xfId="61" applyFont="1" applyAlignment="1">
      <alignment horizontal="center" wrapText="1"/>
    </xf>
    <xf numFmtId="0" fontId="4" fillId="0" borderId="0" xfId="59" applyFont="1" applyProtection="1">
      <protection hidden="1"/>
    </xf>
    <xf numFmtId="164" fontId="4" fillId="0" borderId="12" xfId="58" applyNumberFormat="1" applyFont="1" applyBorder="1" applyAlignment="1">
      <alignment horizontal="center"/>
    </xf>
    <xf numFmtId="0" fontId="4" fillId="0" borderId="41" xfId="0" applyFont="1" applyFill="1" applyBorder="1" applyProtection="1">
      <protection hidden="1"/>
    </xf>
    <xf numFmtId="0" fontId="4" fillId="0" borderId="41" xfId="59" applyFont="1" applyFill="1" applyBorder="1" applyAlignment="1" applyProtection="1">
      <alignment horizontal="left"/>
      <protection hidden="1"/>
    </xf>
    <xf numFmtId="0" fontId="4" fillId="0" borderId="47" xfId="59" applyFont="1" applyFill="1" applyBorder="1" applyAlignment="1" applyProtection="1">
      <alignment horizontal="left"/>
      <protection hidden="1"/>
    </xf>
    <xf numFmtId="164" fontId="4" fillId="0" borderId="0" xfId="0" applyNumberFormat="1" applyFont="1" applyFill="1" applyBorder="1" applyAlignment="1" applyProtection="1">
      <protection hidden="1"/>
    </xf>
    <xf numFmtId="0" fontId="9" fillId="0" borderId="12" xfId="61" applyFont="1" applyBorder="1" applyAlignment="1">
      <alignment horizontal="center" wrapText="1"/>
    </xf>
    <xf numFmtId="0" fontId="4" fillId="0" borderId="0" xfId="61" applyFont="1" applyAlignment="1">
      <alignment horizontal="center"/>
    </xf>
    <xf numFmtId="0" fontId="4" fillId="0" borderId="0" xfId="61" applyFont="1" applyAlignment="1">
      <alignment horizontal="center" wrapText="1"/>
    </xf>
    <xf numFmtId="0" fontId="7" fillId="0" borderId="0" xfId="0" applyFont="1" applyAlignment="1">
      <alignment horizontal="left" wrapText="1"/>
    </xf>
    <xf numFmtId="0" fontId="6" fillId="0" borderId="0" xfId="61" applyFont="1" applyAlignment="1"/>
    <xf numFmtId="0" fontId="4" fillId="34" borderId="12" xfId="61" applyFont="1" applyFill="1" applyBorder="1"/>
    <xf numFmtId="0" fontId="4" fillId="36" borderId="12" xfId="61" applyFont="1" applyFill="1" applyBorder="1"/>
    <xf numFmtId="0" fontId="4" fillId="37" borderId="12" xfId="61" applyFont="1" applyFill="1" applyBorder="1"/>
    <xf numFmtId="0" fontId="4" fillId="0" borderId="18" xfId="61" applyFont="1" applyBorder="1" applyAlignment="1"/>
    <xf numFmtId="0" fontId="4" fillId="35" borderId="12" xfId="61" applyFont="1" applyFill="1" applyBorder="1"/>
    <xf numFmtId="0" fontId="4" fillId="0" borderId="12" xfId="61" applyFont="1" applyBorder="1" applyAlignment="1">
      <alignment wrapText="1"/>
    </xf>
    <xf numFmtId="0" fontId="4" fillId="42" borderId="0" xfId="61" applyFont="1" applyFill="1" applyAlignment="1">
      <alignment horizontal="center" wrapText="1"/>
    </xf>
    <xf numFmtId="0" fontId="4" fillId="34" borderId="12" xfId="61" applyFont="1" applyFill="1" applyBorder="1" applyAlignment="1">
      <alignment horizontal="center"/>
    </xf>
    <xf numFmtId="9" fontId="4" fillId="0" borderId="0" xfId="61" applyNumberFormat="1" applyFont="1" applyAlignment="1">
      <alignment horizontal="center"/>
    </xf>
    <xf numFmtId="1" fontId="4" fillId="0" borderId="0" xfId="61" applyNumberFormat="1" applyFont="1" applyFill="1" applyAlignment="1">
      <alignment horizontal="center"/>
    </xf>
    <xf numFmtId="1" fontId="4" fillId="0" borderId="0" xfId="61" applyNumberFormat="1" applyFont="1" applyAlignment="1">
      <alignment horizontal="center"/>
    </xf>
    <xf numFmtId="164" fontId="4" fillId="42" borderId="0" xfId="61" applyNumberFormat="1" applyFont="1" applyFill="1" applyAlignment="1">
      <alignment horizontal="center"/>
    </xf>
    <xf numFmtId="0" fontId="4" fillId="36" borderId="12" xfId="61" applyFont="1" applyFill="1" applyBorder="1" applyAlignment="1">
      <alignment horizontal="center"/>
    </xf>
    <xf numFmtId="0" fontId="4" fillId="0" borderId="0" xfId="61" applyFont="1" applyAlignment="1">
      <alignment wrapText="1"/>
    </xf>
    <xf numFmtId="0" fontId="4" fillId="37" borderId="12" xfId="61" applyFont="1" applyFill="1" applyBorder="1" applyAlignment="1">
      <alignment horizontal="center"/>
    </xf>
    <xf numFmtId="0" fontId="4" fillId="35" borderId="12" xfId="61" applyFont="1" applyFill="1" applyBorder="1" applyAlignment="1">
      <alignment horizontal="center"/>
    </xf>
    <xf numFmtId="164" fontId="4" fillId="38" borderId="0" xfId="61" applyNumberFormat="1" applyFont="1" applyFill="1" applyAlignment="1">
      <alignment horizontal="center"/>
    </xf>
    <xf numFmtId="1" fontId="4" fillId="0" borderId="0" xfId="61" applyNumberFormat="1" applyFont="1" applyAlignment="1">
      <alignment horizontal="center" wrapText="1"/>
    </xf>
    <xf numFmtId="164" fontId="4" fillId="0" borderId="0" xfId="61" applyNumberFormat="1" applyFont="1" applyAlignment="1">
      <alignment horizontal="center" wrapText="1"/>
    </xf>
    <xf numFmtId="9" fontId="4" fillId="0" borderId="0" xfId="61" applyNumberFormat="1" applyFont="1" applyFill="1" applyAlignment="1">
      <alignment horizontal="center"/>
    </xf>
    <xf numFmtId="1" fontId="4" fillId="37" borderId="0" xfId="61" applyNumberFormat="1" applyFont="1" applyFill="1" applyAlignment="1">
      <alignment horizontal="center"/>
    </xf>
    <xf numFmtId="1" fontId="4" fillId="38" borderId="0" xfId="61" applyNumberFormat="1" applyFont="1" applyFill="1" applyAlignment="1">
      <alignment horizontal="center"/>
    </xf>
    <xf numFmtId="166" fontId="4" fillId="0" borderId="0" xfId="61" applyNumberFormat="1" applyFont="1"/>
    <xf numFmtId="2" fontId="4" fillId="0" borderId="0" xfId="61" applyNumberFormat="1" applyFont="1" applyAlignment="1">
      <alignment horizontal="center"/>
    </xf>
    <xf numFmtId="2" fontId="4" fillId="0" borderId="0" xfId="61" applyNumberFormat="1" applyFont="1" applyFill="1" applyAlignment="1">
      <alignment horizontal="center"/>
    </xf>
    <xf numFmtId="2" fontId="4" fillId="0" borderId="0" xfId="61" applyNumberFormat="1" applyFont="1"/>
    <xf numFmtId="0" fontId="4" fillId="0" borderId="31" xfId="61" applyFont="1" applyBorder="1" applyAlignment="1">
      <alignment wrapText="1"/>
    </xf>
    <xf numFmtId="0" fontId="4" fillId="0" borderId="31" xfId="61" applyFont="1" applyBorder="1"/>
    <xf numFmtId="0" fontId="4" fillId="34" borderId="12" xfId="61" applyFont="1" applyFill="1" applyBorder="1" applyAlignment="1">
      <alignment horizontal="center" wrapText="1"/>
    </xf>
    <xf numFmtId="1" fontId="4" fillId="34" borderId="12" xfId="61" applyNumberFormat="1" applyFont="1" applyFill="1" applyBorder="1" applyAlignment="1">
      <alignment horizontal="center"/>
    </xf>
    <xf numFmtId="164" fontId="4" fillId="0" borderId="12" xfId="61" applyNumberFormat="1" applyFont="1" applyBorder="1"/>
    <xf numFmtId="1" fontId="4" fillId="0" borderId="0" xfId="61" applyNumberFormat="1" applyFont="1"/>
    <xf numFmtId="164" fontId="4" fillId="0" borderId="30" xfId="61" applyNumberFormat="1" applyFont="1" applyBorder="1" applyAlignment="1">
      <alignment horizontal="center"/>
    </xf>
    <xf numFmtId="3" fontId="4" fillId="0" borderId="30" xfId="61" applyNumberFormat="1" applyFont="1" applyBorder="1" applyAlignment="1">
      <alignment horizontal="center"/>
    </xf>
    <xf numFmtId="164" fontId="4" fillId="0" borderId="0" xfId="61" applyNumberFormat="1" applyFont="1" applyFill="1" applyBorder="1" applyAlignment="1">
      <alignment horizontal="center"/>
    </xf>
    <xf numFmtId="0" fontId="4" fillId="0" borderId="0" xfId="0" applyFont="1" applyFill="1" applyBorder="1"/>
    <xf numFmtId="0" fontId="4" fillId="0" borderId="0" xfId="0" applyFont="1" applyBorder="1"/>
    <xf numFmtId="0" fontId="4" fillId="0" borderId="0" xfId="0" applyFont="1"/>
    <xf numFmtId="164" fontId="65" fillId="0" borderId="0" xfId="0" applyNumberFormat="1" applyFont="1" applyAlignment="1">
      <alignment horizontal="center"/>
    </xf>
    <xf numFmtId="164" fontId="65" fillId="0" borderId="0" xfId="0" applyNumberFormat="1" applyFont="1" applyFill="1" applyBorder="1" applyAlignment="1">
      <alignment horizontal="center"/>
    </xf>
    <xf numFmtId="164" fontId="9" fillId="0" borderId="0" xfId="0" applyNumberFormat="1" applyFont="1"/>
    <xf numFmtId="0" fontId="7" fillId="0" borderId="0" xfId="61" applyFont="1" applyAlignment="1">
      <alignment horizontal="center"/>
    </xf>
    <xf numFmtId="0" fontId="4" fillId="0" borderId="0" xfId="61" applyFont="1" applyAlignment="1">
      <alignment horizontal="center"/>
    </xf>
    <xf numFmtId="164" fontId="7" fillId="0" borderId="12" xfId="61" applyNumberFormat="1" applyFont="1" applyBorder="1" applyAlignment="1">
      <alignment horizontal="center" wrapText="1"/>
    </xf>
    <xf numFmtId="164" fontId="7" fillId="0" borderId="12" xfId="61" applyNumberFormat="1" applyFont="1" applyBorder="1" applyAlignment="1">
      <alignment horizontal="center"/>
    </xf>
    <xf numFmtId="0" fontId="65" fillId="0" borderId="0" xfId="58" applyFont="1" applyAlignment="1">
      <alignment horizontal="center"/>
    </xf>
    <xf numFmtId="0" fontId="4" fillId="0" borderId="0" xfId="58" applyFont="1" applyAlignment="1">
      <alignment horizontal="center"/>
    </xf>
    <xf numFmtId="164" fontId="65" fillId="0" borderId="0" xfId="58" applyNumberFormat="1" applyFont="1" applyAlignment="1">
      <alignment horizontal="center"/>
    </xf>
    <xf numFmtId="0" fontId="66" fillId="0" borderId="0" xfId="61" applyFont="1"/>
    <xf numFmtId="0" fontId="65" fillId="0" borderId="0" xfId="61" applyFont="1" applyAlignment="1"/>
    <xf numFmtId="0" fontId="65" fillId="0" borderId="0" xfId="61" applyFont="1"/>
    <xf numFmtId="164" fontId="65" fillId="0" borderId="0" xfId="61" applyNumberFormat="1" applyFont="1" applyAlignment="1">
      <alignment horizontal="center"/>
    </xf>
    <xf numFmtId="0" fontId="65" fillId="0" borderId="0" xfId="61" applyFont="1" applyAlignment="1">
      <alignment horizontal="center"/>
    </xf>
    <xf numFmtId="9" fontId="65" fillId="0" borderId="0" xfId="61" applyNumberFormat="1" applyFont="1" applyAlignment="1">
      <alignment horizontal="center"/>
    </xf>
    <xf numFmtId="0" fontId="65" fillId="0" borderId="0" xfId="61" applyFont="1" applyFill="1" applyAlignment="1">
      <alignment horizontal="center"/>
    </xf>
    <xf numFmtId="3" fontId="65" fillId="0" borderId="12" xfId="61" applyNumberFormat="1" applyFont="1" applyBorder="1" applyAlignment="1">
      <alignment horizontal="center"/>
    </xf>
    <xf numFmtId="164" fontId="65" fillId="0" borderId="0" xfId="61" applyNumberFormat="1" applyFont="1" applyBorder="1" applyAlignment="1">
      <alignment horizontal="center" wrapText="1"/>
    </xf>
    <xf numFmtId="164" fontId="65" fillId="0" borderId="12" xfId="61" applyNumberFormat="1" applyFont="1" applyBorder="1" applyAlignment="1">
      <alignment horizontal="center"/>
    </xf>
    <xf numFmtId="164" fontId="65" fillId="0" borderId="0" xfId="61" applyNumberFormat="1" applyFont="1" applyBorder="1" applyAlignment="1">
      <alignment horizontal="center"/>
    </xf>
    <xf numFmtId="9" fontId="9" fillId="0" borderId="46" xfId="59" applyNumberFormat="1" applyFont="1" applyFill="1" applyBorder="1" applyAlignment="1" applyProtection="1">
      <alignment horizontal="center"/>
      <protection hidden="1"/>
    </xf>
    <xf numFmtId="0" fontId="7" fillId="0" borderId="17" xfId="61" applyFont="1" applyBorder="1" applyAlignment="1">
      <alignment horizontal="center"/>
    </xf>
    <xf numFmtId="0" fontId="7" fillId="0" borderId="17" xfId="61" applyFont="1" applyBorder="1"/>
    <xf numFmtId="0" fontId="65" fillId="0" borderId="0" xfId="61" applyFont="1" applyAlignment="1">
      <alignment horizontal="right"/>
    </xf>
    <xf numFmtId="3" fontId="65" fillId="0" borderId="0" xfId="61" applyNumberFormat="1" applyFont="1" applyAlignment="1">
      <alignment horizontal="center"/>
    </xf>
    <xf numFmtId="0" fontId="64"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4" fillId="0" borderId="0" xfId="0" applyFont="1" applyProtection="1">
      <protection hidden="1"/>
    </xf>
    <xf numFmtId="164" fontId="7" fillId="0" borderId="30" xfId="61" applyNumberFormat="1" applyFont="1" applyBorder="1"/>
    <xf numFmtId="0" fontId="64" fillId="0" borderId="0" xfId="0" applyFont="1" applyFill="1" applyBorder="1" applyAlignment="1" applyProtection="1">
      <alignment vertical="center" wrapText="1"/>
      <protection hidden="1"/>
    </xf>
    <xf numFmtId="0" fontId="4" fillId="0" borderId="0" xfId="0" applyFont="1" applyFill="1" applyBorder="1" applyAlignment="1" applyProtection="1">
      <alignment vertical="center" wrapText="1"/>
      <protection hidden="1"/>
    </xf>
    <xf numFmtId="164" fontId="65" fillId="0" borderId="12" xfId="61" applyNumberFormat="1" applyFont="1" applyFill="1" applyBorder="1" applyAlignment="1">
      <alignment horizontal="center"/>
    </xf>
    <xf numFmtId="164" fontId="65" fillId="34" borderId="12" xfId="61" applyNumberFormat="1" applyFont="1" applyFill="1" applyBorder="1" applyAlignment="1">
      <alignment horizontal="center"/>
    </xf>
    <xf numFmtId="0" fontId="7" fillId="0" borderId="0" xfId="0" applyFont="1" applyAlignment="1" applyProtection="1">
      <alignment horizontal="left" vertical="center" wrapText="1"/>
      <protection hidden="1"/>
    </xf>
    <xf numFmtId="0" fontId="9" fillId="0" borderId="0" xfId="59" applyFont="1" applyAlignment="1" applyProtection="1">
      <alignment horizontal="center"/>
      <protection hidden="1"/>
    </xf>
    <xf numFmtId="0" fontId="9" fillId="0" borderId="0" xfId="59" applyFont="1" applyBorder="1" applyAlignment="1" applyProtection="1">
      <alignment horizontal="center"/>
      <protection hidden="1"/>
    </xf>
    <xf numFmtId="0" fontId="0" fillId="0" borderId="24" xfId="0" applyFill="1" applyBorder="1" applyAlignment="1" applyProtection="1">
      <alignment horizontal="left"/>
      <protection hidden="1"/>
    </xf>
    <xf numFmtId="0" fontId="64" fillId="0" borderId="0" xfId="0" applyFont="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64" fillId="0" borderId="0" xfId="0" applyFont="1" applyFill="1" applyBorder="1" applyAlignment="1" applyProtection="1">
      <alignment horizontal="left" wrapText="1"/>
      <protection hidden="1"/>
    </xf>
    <xf numFmtId="0" fontId="4" fillId="0" borderId="0" xfId="0" applyFont="1" applyAlignment="1" applyProtection="1">
      <alignment horizontal="left" vertical="top" wrapText="1"/>
      <protection hidden="1"/>
    </xf>
    <xf numFmtId="0" fontId="7" fillId="0" borderId="0" xfId="0" applyFont="1" applyFill="1" applyAlignment="1" applyProtection="1">
      <alignment horizontal="left" vertical="center" wrapText="1"/>
      <protection hidden="1"/>
    </xf>
    <xf numFmtId="0" fontId="7" fillId="0" borderId="0" xfId="61" applyFont="1" applyBorder="1" applyAlignment="1">
      <alignment horizontal="center"/>
    </xf>
    <xf numFmtId="0" fontId="7" fillId="0" borderId="0" xfId="61" applyFont="1" applyAlignment="1">
      <alignment horizontal="center"/>
    </xf>
    <xf numFmtId="0" fontId="9" fillId="0" borderId="12" xfId="61" applyFont="1" applyBorder="1" applyAlignment="1">
      <alignment horizontal="center" wrapText="1"/>
    </xf>
    <xf numFmtId="0" fontId="7" fillId="0" borderId="12" xfId="61" applyFont="1" applyBorder="1" applyAlignment="1">
      <alignment horizontal="center"/>
    </xf>
    <xf numFmtId="0" fontId="7" fillId="0" borderId="0" xfId="58" applyFont="1" applyAlignment="1">
      <alignment horizontal="center" wrapText="1"/>
    </xf>
    <xf numFmtId="0" fontId="0" fillId="0" borderId="12" xfId="0" applyFill="1" applyBorder="1" applyAlignment="1" applyProtection="1">
      <alignment horizontal="left"/>
      <protection hidden="1"/>
    </xf>
    <xf numFmtId="0" fontId="4" fillId="0" borderId="0" xfId="61" applyFont="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36" borderId="12" xfId="61" applyFont="1" applyFill="1" applyBorder="1" applyAlignment="1">
      <alignment horizontal="center"/>
    </xf>
    <xf numFmtId="0" fontId="0" fillId="24" borderId="12" xfId="0" applyFill="1" applyBorder="1" applyAlignment="1">
      <alignment horizontal="center"/>
    </xf>
    <xf numFmtId="164" fontId="7" fillId="41" borderId="12" xfId="61" applyNumberFormat="1" applyFont="1" applyFill="1" applyBorder="1" applyAlignment="1">
      <alignment horizontal="center"/>
    </xf>
    <xf numFmtId="164" fontId="4" fillId="0" borderId="0" xfId="0" applyNumberFormat="1" applyFont="1" applyFill="1" applyAlignment="1">
      <alignment horizontal="center"/>
    </xf>
    <xf numFmtId="164" fontId="4" fillId="0" borderId="0" xfId="0" applyNumberFormat="1" applyFont="1" applyFill="1" applyBorder="1" applyAlignment="1">
      <alignment horizontal="center"/>
    </xf>
    <xf numFmtId="0" fontId="4" fillId="0" borderId="0" xfId="0" applyFont="1" applyAlignment="1">
      <alignment horizontal="center"/>
    </xf>
    <xf numFmtId="0" fontId="7" fillId="37" borderId="0" xfId="59" applyFont="1" applyFill="1" applyAlignment="1" applyProtection="1">
      <alignment horizontal="center"/>
      <protection locked="0"/>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7" fillId="0" borderId="0" xfId="61" applyFont="1" applyAlignment="1">
      <alignment horizontal="center"/>
    </xf>
    <xf numFmtId="0" fontId="4" fillId="0" borderId="0" xfId="61" applyFont="1" applyAlignment="1">
      <alignment horizontal="center"/>
    </xf>
    <xf numFmtId="164" fontId="7" fillId="0" borderId="12" xfId="61" applyNumberFormat="1" applyFont="1" applyBorder="1" applyAlignment="1">
      <alignment horizontal="center"/>
    </xf>
    <xf numFmtId="0" fontId="64" fillId="0" borderId="0" xfId="0" applyFont="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0" borderId="0" xfId="0" applyFont="1" applyFill="1" applyAlignment="1" applyProtection="1">
      <alignment horizontal="left" vertical="center" wrapText="1"/>
      <protection hidden="1"/>
    </xf>
    <xf numFmtId="0" fontId="7" fillId="0" borderId="0" xfId="61" applyFont="1" applyAlignment="1">
      <alignment horizontal="center"/>
    </xf>
    <xf numFmtId="0" fontId="4" fillId="36" borderId="0" xfId="61" applyFont="1" applyFill="1" applyBorder="1" applyAlignment="1">
      <alignment horizontal="center" wrapText="1"/>
    </xf>
    <xf numFmtId="0" fontId="7" fillId="0" borderId="0" xfId="61" applyFont="1" applyAlignment="1">
      <alignment vertical="center"/>
    </xf>
    <xf numFmtId="0" fontId="4" fillId="36" borderId="0" xfId="61" applyFont="1" applyFill="1" applyBorder="1" applyAlignment="1">
      <alignment horizontal="center" vertical="center" wrapText="1"/>
    </xf>
    <xf numFmtId="0" fontId="4" fillId="36" borderId="0" xfId="61" applyFont="1" applyFill="1" applyAlignment="1">
      <alignment horizontal="center" vertical="center"/>
    </xf>
    <xf numFmtId="0" fontId="4" fillId="36" borderId="0" xfId="61" applyFont="1" applyFill="1" applyAlignment="1">
      <alignment horizontal="center" vertical="center" wrapText="1"/>
    </xf>
    <xf numFmtId="0" fontId="9" fillId="36" borderId="12" xfId="61" applyFont="1" applyFill="1" applyBorder="1" applyAlignment="1">
      <alignment horizontal="center" wrapText="1"/>
    </xf>
    <xf numFmtId="0" fontId="9" fillId="36" borderId="12" xfId="61" applyFont="1" applyFill="1" applyBorder="1" applyAlignment="1">
      <alignment horizontal="center" vertical="center" wrapText="1"/>
    </xf>
    <xf numFmtId="0" fontId="9" fillId="36" borderId="0" xfId="61" applyFont="1" applyFill="1" applyBorder="1" applyAlignment="1">
      <alignment horizontal="center" vertical="center" wrapText="1"/>
    </xf>
    <xf numFmtId="0" fontId="4" fillId="38" borderId="0" xfId="61" applyFont="1" applyFill="1" applyBorder="1" applyAlignment="1">
      <alignment horizontal="center" vertical="center" wrapText="1"/>
    </xf>
    <xf numFmtId="0" fontId="7" fillId="36" borderId="0" xfId="61" applyFont="1" applyFill="1" applyAlignment="1">
      <alignment horizontal="center" wrapText="1"/>
    </xf>
    <xf numFmtId="0" fontId="7" fillId="36" borderId="12" xfId="61" applyFont="1" applyFill="1" applyBorder="1" applyAlignment="1">
      <alignment horizontal="center" wrapText="1"/>
    </xf>
    <xf numFmtId="166" fontId="9" fillId="0" borderId="0" xfId="61" applyNumberFormat="1" applyFont="1" applyBorder="1" applyAlignment="1">
      <alignment horizontal="center"/>
    </xf>
    <xf numFmtId="0" fontId="4" fillId="0" borderId="0" xfId="0" applyFont="1" applyAlignment="1" applyProtection="1">
      <alignment vertical="center"/>
      <protection hidden="1"/>
    </xf>
    <xf numFmtId="0" fontId="4" fillId="0" borderId="0" xfId="0" applyFont="1" applyAlignment="1" applyProtection="1">
      <alignment wrapText="1"/>
      <protection hidden="1"/>
    </xf>
    <xf numFmtId="0" fontId="64" fillId="0" borderId="0" xfId="0" applyFont="1" applyAlignment="1" applyProtection="1">
      <alignment vertical="center"/>
      <protection hidden="1"/>
    </xf>
    <xf numFmtId="0" fontId="0" fillId="0" borderId="20" xfId="0" applyFill="1" applyBorder="1" applyAlignment="1">
      <alignment horizontal="left"/>
    </xf>
    <xf numFmtId="0" fontId="0" fillId="0" borderId="3" xfId="0" applyFill="1" applyBorder="1" applyAlignment="1">
      <alignment horizontal="left"/>
    </xf>
    <xf numFmtId="0" fontId="0" fillId="0" borderId="59" xfId="0" applyFill="1" applyBorder="1" applyAlignment="1">
      <alignment horizontal="left"/>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7" fillId="0" borderId="45" xfId="0" applyFont="1" applyFill="1" applyBorder="1" applyAlignment="1" applyProtection="1">
      <alignment horizontal="left"/>
      <protection hidden="1"/>
    </xf>
    <xf numFmtId="0" fontId="7" fillId="0" borderId="30" xfId="0" applyFont="1" applyFill="1" applyBorder="1" applyAlignment="1" applyProtection="1">
      <alignment horizontal="left"/>
      <protection hidden="1"/>
    </xf>
    <xf numFmtId="0" fontId="7" fillId="0" borderId="58" xfId="0" applyFont="1" applyFill="1" applyBorder="1" applyAlignment="1" applyProtection="1">
      <alignment horizontal="left"/>
      <protection hidden="1"/>
    </xf>
    <xf numFmtId="0" fontId="9" fillId="0" borderId="34" xfId="0" applyFont="1" applyFill="1" applyBorder="1" applyAlignment="1" applyProtection="1">
      <alignment horizontal="left"/>
      <protection hidden="1"/>
    </xf>
    <xf numFmtId="0" fontId="9" fillId="0" borderId="0" xfId="0" applyFont="1" applyFill="1" applyBorder="1" applyAlignment="1" applyProtection="1">
      <alignment horizontal="left"/>
      <protection hidden="1"/>
    </xf>
    <xf numFmtId="0" fontId="9" fillId="0" borderId="27" xfId="0" applyFont="1" applyFill="1" applyBorder="1" applyAlignment="1" applyProtection="1">
      <alignment horizontal="left"/>
      <protection hidden="1"/>
    </xf>
    <xf numFmtId="0" fontId="0" fillId="0" borderId="32" xfId="0" applyFill="1" applyBorder="1" applyAlignment="1" applyProtection="1">
      <alignment horizontal="left"/>
      <protection hidden="1"/>
    </xf>
    <xf numFmtId="0" fontId="0" fillId="0" borderId="18" xfId="0" applyFill="1" applyBorder="1" applyAlignment="1" applyProtection="1">
      <alignment horizontal="left"/>
      <protection hidden="1"/>
    </xf>
    <xf numFmtId="0" fontId="0" fillId="0" borderId="52" xfId="0" applyFill="1" applyBorder="1" applyAlignment="1" applyProtection="1">
      <alignment horizontal="left"/>
      <protection hidden="1"/>
    </xf>
    <xf numFmtId="0" fontId="0" fillId="0" borderId="53" xfId="0" applyFill="1" applyBorder="1" applyAlignment="1" applyProtection="1">
      <alignment horizontal="left"/>
      <protection hidden="1"/>
    </xf>
    <xf numFmtId="0" fontId="0" fillId="0" borderId="24" xfId="0" applyFill="1" applyBorder="1" applyAlignment="1" applyProtection="1">
      <alignment horizontal="left"/>
      <protection hidden="1"/>
    </xf>
    <xf numFmtId="0" fontId="0" fillId="0" borderId="25" xfId="0" applyFill="1" applyBorder="1" applyAlignment="1" applyProtection="1">
      <alignment horizontal="left"/>
      <protection hidden="1"/>
    </xf>
    <xf numFmtId="0" fontId="4" fillId="0" borderId="20" xfId="0" applyFont="1" applyFill="1" applyBorder="1" applyAlignment="1" applyProtection="1">
      <alignment horizontal="left"/>
      <protection hidden="1"/>
    </xf>
    <xf numFmtId="0" fontId="4" fillId="0" borderId="3" xfId="0" applyFont="1" applyFill="1" applyBorder="1" applyAlignment="1" applyProtection="1">
      <alignment horizontal="left"/>
      <protection hidden="1"/>
    </xf>
    <xf numFmtId="0" fontId="4" fillId="0" borderId="59" xfId="0" applyFont="1" applyFill="1" applyBorder="1" applyAlignment="1" applyProtection="1">
      <alignment horizontal="left"/>
      <protection hidden="1"/>
    </xf>
    <xf numFmtId="164" fontId="7" fillId="0" borderId="31" xfId="59" applyNumberFormat="1" applyFont="1" applyFill="1" applyBorder="1" applyAlignment="1" applyProtection="1">
      <alignment horizontal="center"/>
      <protection hidden="1"/>
    </xf>
    <xf numFmtId="164" fontId="4" fillId="0" borderId="60" xfId="59" applyNumberFormat="1" applyFont="1" applyFill="1" applyBorder="1" applyAlignment="1" applyProtection="1">
      <alignment horizontal="left"/>
      <protection hidden="1"/>
    </xf>
    <xf numFmtId="164" fontId="7" fillId="37" borderId="0" xfId="61" applyNumberFormat="1" applyFont="1" applyFill="1" applyBorder="1" applyAlignment="1">
      <alignment horizontal="center"/>
    </xf>
    <xf numFmtId="164" fontId="7" fillId="37" borderId="0" xfId="61" applyNumberFormat="1" applyFont="1" applyFill="1" applyAlignment="1">
      <alignment horizontal="center"/>
    </xf>
    <xf numFmtId="166" fontId="7" fillId="37" borderId="0" xfId="61" applyNumberFormat="1" applyFont="1" applyFill="1" applyBorder="1" applyAlignment="1">
      <alignment horizontal="center"/>
    </xf>
    <xf numFmtId="164" fontId="7" fillId="37" borderId="12" xfId="61" applyNumberFormat="1" applyFont="1" applyFill="1" applyBorder="1" applyAlignment="1">
      <alignment horizontal="center"/>
    </xf>
    <xf numFmtId="164" fontId="9" fillId="37" borderId="12" xfId="61" applyNumberFormat="1" applyFont="1" applyFill="1" applyBorder="1" applyAlignment="1">
      <alignment horizontal="center"/>
    </xf>
    <xf numFmtId="164" fontId="0" fillId="41" borderId="12" xfId="0" applyNumberFormat="1" applyFill="1" applyBorder="1" applyAlignment="1" applyProtection="1">
      <alignment horizontal="center"/>
      <protection hidden="1"/>
    </xf>
    <xf numFmtId="164" fontId="7" fillId="37" borderId="30" xfId="61" applyNumberFormat="1" applyFont="1" applyFill="1" applyBorder="1" applyAlignment="1">
      <alignment horizontal="center"/>
    </xf>
    <xf numFmtId="164" fontId="7" fillId="37" borderId="30" xfId="61" applyNumberFormat="1" applyFont="1" applyFill="1" applyBorder="1"/>
    <xf numFmtId="0" fontId="4" fillId="41" borderId="20" xfId="0" applyFont="1" applyFill="1" applyBorder="1" applyAlignment="1">
      <alignment horizontal="left"/>
    </xf>
    <xf numFmtId="0" fontId="0" fillId="41" borderId="3" xfId="0" applyFill="1" applyBorder="1" applyAlignment="1" applyProtection="1">
      <alignment horizontal="left"/>
      <protection hidden="1"/>
    </xf>
    <xf numFmtId="0" fontId="0" fillId="41" borderId="59" xfId="0" applyFill="1" applyBorder="1" applyAlignment="1" applyProtection="1">
      <alignment horizontal="left"/>
      <protection hidden="1"/>
    </xf>
    <xf numFmtId="0" fontId="9" fillId="0" borderId="0" xfId="0" applyFont="1" applyFill="1" applyAlignment="1" applyProtection="1">
      <alignment horizontal="center"/>
      <protection hidden="1"/>
    </xf>
    <xf numFmtId="9" fontId="9" fillId="0" borderId="61" xfId="59" applyNumberFormat="1" applyFont="1" applyFill="1" applyBorder="1" applyAlignment="1" applyProtection="1">
      <alignment horizontal="center"/>
      <protection hidden="1"/>
    </xf>
    <xf numFmtId="0" fontId="7" fillId="0" borderId="0" xfId="61" applyFont="1" applyBorder="1" applyAlignment="1">
      <alignment horizontal="center"/>
    </xf>
    <xf numFmtId="0" fontId="7" fillId="0" borderId="0" xfId="61" applyFont="1" applyAlignment="1">
      <alignment horizontal="center"/>
    </xf>
    <xf numFmtId="0" fontId="7" fillId="0" borderId="12" xfId="61" applyFont="1" applyBorder="1" applyAlignment="1">
      <alignment horizontal="center"/>
    </xf>
    <xf numFmtId="0" fontId="9" fillId="0" borderId="12" xfId="61" applyFont="1" applyBorder="1" applyAlignment="1">
      <alignment horizontal="center" wrapText="1"/>
    </xf>
    <xf numFmtId="0" fontId="4" fillId="0" borderId="0" xfId="61" applyFont="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0" applyFont="1" applyAlignment="1">
      <alignment horizontal="center" wrapText="1"/>
    </xf>
    <xf numFmtId="0" fontId="4" fillId="36" borderId="0" xfId="61" applyFont="1" applyFill="1" applyBorder="1" applyAlignment="1">
      <alignment horizontal="center" vertical="center" wrapText="1"/>
    </xf>
    <xf numFmtId="0" fontId="9" fillId="43" borderId="12" xfId="62" applyFont="1" applyFill="1" applyBorder="1" applyAlignment="1">
      <alignment horizontal="center" vertical="center" wrapText="1" shrinkToFit="1"/>
    </xf>
    <xf numFmtId="1" fontId="7" fillId="43" borderId="12" xfId="62" applyNumberFormat="1" applyFont="1" applyFill="1" applyBorder="1" applyAlignment="1">
      <alignment horizontal="center" wrapText="1"/>
    </xf>
    <xf numFmtId="1" fontId="9" fillId="43" borderId="12" xfId="62" applyNumberFormat="1" applyFont="1" applyFill="1" applyBorder="1" applyAlignment="1">
      <alignment horizontal="center" wrapText="1"/>
    </xf>
    <xf numFmtId="166" fontId="7" fillId="0" borderId="12" xfId="61" applyNumberFormat="1" applyFont="1" applyBorder="1" applyAlignment="1">
      <alignment horizontal="center"/>
    </xf>
    <xf numFmtId="3" fontId="7" fillId="34" borderId="12" xfId="61" applyNumberFormat="1" applyFont="1" applyFill="1" applyBorder="1" applyAlignment="1">
      <alignment horizontal="center"/>
    </xf>
    <xf numFmtId="166" fontId="7" fillId="37" borderId="0" xfId="61" applyNumberFormat="1" applyFont="1" applyFill="1" applyAlignment="1">
      <alignment horizontal="center"/>
    </xf>
    <xf numFmtId="9" fontId="7" fillId="0" borderId="0" xfId="0" applyNumberFormat="1" applyFont="1" applyAlignment="1">
      <alignment horizontal="center"/>
    </xf>
    <xf numFmtId="0" fontId="7" fillId="0" borderId="12" xfId="62" applyFont="1" applyFill="1" applyBorder="1" applyAlignment="1"/>
    <xf numFmtId="1" fontId="7" fillId="0" borderId="0" xfId="0" applyNumberFormat="1" applyFont="1" applyAlignment="1">
      <alignment horizontal="center"/>
    </xf>
    <xf numFmtId="165" fontId="7" fillId="0" borderId="0" xfId="0" applyNumberFormat="1" applyFont="1" applyAlignment="1">
      <alignment horizontal="center"/>
    </xf>
    <xf numFmtId="173" fontId="7" fillId="0" borderId="0" xfId="0" applyNumberFormat="1" applyFont="1" applyAlignment="1">
      <alignment horizontal="center"/>
    </xf>
    <xf numFmtId="0" fontId="7" fillId="0" borderId="0" xfId="62" applyFont="1" applyFill="1" applyBorder="1" applyAlignment="1">
      <alignment wrapText="1"/>
    </xf>
    <xf numFmtId="0" fontId="7" fillId="0" borderId="0" xfId="61" applyFont="1" applyBorder="1" applyAlignment="1">
      <alignment horizontal="center"/>
    </xf>
    <xf numFmtId="0" fontId="7" fillId="0" borderId="0" xfId="61" applyFont="1" applyAlignment="1">
      <alignment horizontal="center"/>
    </xf>
    <xf numFmtId="0" fontId="7" fillId="0" borderId="12" xfId="61" applyFont="1" applyBorder="1" applyAlignment="1">
      <alignment horizontal="center"/>
    </xf>
    <xf numFmtId="0" fontId="9" fillId="0" borderId="12" xfId="61" applyFont="1" applyBorder="1" applyAlignment="1">
      <alignment horizontal="center" wrapText="1"/>
    </xf>
    <xf numFmtId="0" fontId="4" fillId="0" borderId="0" xfId="61" applyFont="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0" applyFont="1" applyAlignment="1">
      <alignment horizontal="center" wrapText="1"/>
    </xf>
    <xf numFmtId="0" fontId="4" fillId="36" borderId="0" xfId="61" applyFont="1" applyFill="1" applyBorder="1" applyAlignment="1">
      <alignment horizontal="center" vertical="center" wrapText="1"/>
    </xf>
    <xf numFmtId="17" fontId="70" fillId="0" borderId="0" xfId="62" applyNumberFormat="1" applyFont="1" applyFill="1" applyBorder="1" applyAlignment="1"/>
    <xf numFmtId="0" fontId="71" fillId="0" borderId="0" xfId="0" applyFont="1" applyAlignment="1">
      <alignment wrapText="1"/>
    </xf>
    <xf numFmtId="0" fontId="71" fillId="0" borderId="0" xfId="0" applyFont="1"/>
    <xf numFmtId="0" fontId="11" fillId="0" borderId="12" xfId="62" applyFont="1" applyBorder="1" applyAlignment="1">
      <alignment vertical="center" wrapText="1"/>
    </xf>
    <xf numFmtId="0" fontId="11" fillId="0" borderId="12" xfId="62" applyFont="1" applyBorder="1" applyAlignment="1">
      <alignment horizontal="center" vertical="center" wrapText="1"/>
    </xf>
    <xf numFmtId="0" fontId="11" fillId="25" borderId="12" xfId="62" applyFont="1" applyFill="1" applyBorder="1" applyAlignment="1">
      <alignment horizontal="center" vertical="center" wrapText="1" shrinkToFit="1"/>
    </xf>
    <xf numFmtId="49" fontId="11" fillId="26" borderId="12" xfId="62" applyNumberFormat="1" applyFont="1" applyFill="1" applyBorder="1" applyAlignment="1">
      <alignment horizontal="center" vertical="center" wrapText="1" shrinkToFit="1"/>
    </xf>
    <xf numFmtId="0" fontId="11" fillId="27" borderId="12" xfId="62" applyFont="1" applyFill="1" applyBorder="1" applyAlignment="1">
      <alignment horizontal="center" vertical="center" wrapText="1" shrinkToFit="1"/>
    </xf>
    <xf numFmtId="0" fontId="72" fillId="26" borderId="12" xfId="60" applyFont="1" applyFill="1" applyBorder="1" applyAlignment="1">
      <alignment horizontal="center" vertical="center" wrapText="1"/>
    </xf>
    <xf numFmtId="9" fontId="72" fillId="27" borderId="12" xfId="60" applyNumberFormat="1" applyFont="1" applyFill="1" applyBorder="1" applyAlignment="1">
      <alignment horizontal="center" vertical="center" wrapText="1"/>
    </xf>
    <xf numFmtId="0" fontId="5" fillId="0" borderId="12" xfId="62" applyFont="1" applyFill="1" applyBorder="1" applyAlignment="1">
      <alignment wrapText="1"/>
    </xf>
    <xf numFmtId="0" fontId="5" fillId="29" borderId="12" xfId="62" applyFont="1" applyFill="1" applyBorder="1" applyAlignment="1">
      <alignment horizontal="center" wrapText="1"/>
    </xf>
    <xf numFmtId="1" fontId="5" fillId="25" borderId="12" xfId="62" applyNumberFormat="1" applyFont="1" applyFill="1" applyBorder="1" applyAlignment="1">
      <alignment horizontal="center" wrapText="1"/>
    </xf>
    <xf numFmtId="1" fontId="5" fillId="26" borderId="12" xfId="62" applyNumberFormat="1" applyFont="1" applyFill="1" applyBorder="1" applyAlignment="1">
      <alignment horizontal="center" wrapText="1"/>
    </xf>
    <xf numFmtId="167" fontId="5" fillId="27" borderId="12" xfId="62" applyNumberFormat="1" applyFont="1" applyFill="1" applyBorder="1" applyAlignment="1">
      <alignment horizontal="center" wrapText="1"/>
    </xf>
    <xf numFmtId="0" fontId="5" fillId="26" borderId="12" xfId="62" applyNumberFormat="1" applyFont="1" applyFill="1" applyBorder="1" applyAlignment="1">
      <alignment horizontal="center" wrapText="1"/>
    </xf>
    <xf numFmtId="1" fontId="73" fillId="26" borderId="12" xfId="60" applyNumberFormat="1" applyFont="1" applyFill="1" applyBorder="1" applyAlignment="1">
      <alignment horizontal="center" wrapText="1"/>
    </xf>
    <xf numFmtId="167" fontId="73" fillId="27" borderId="12" xfId="60" applyNumberFormat="1" applyFont="1" applyFill="1" applyBorder="1" applyAlignment="1">
      <alignment horizontal="center" wrapText="1"/>
    </xf>
    <xf numFmtId="0" fontId="5" fillId="26" borderId="12" xfId="62" applyNumberFormat="1" applyFont="1" applyFill="1" applyBorder="1" applyAlignment="1">
      <alignment horizontal="center" vertical="center" wrapText="1"/>
    </xf>
    <xf numFmtId="1" fontId="5" fillId="26" borderId="12" xfId="60" applyNumberFormat="1" applyFont="1" applyFill="1" applyBorder="1" applyAlignment="1">
      <alignment horizontal="center" wrapText="1"/>
    </xf>
    <xf numFmtId="9" fontId="4" fillId="0" borderId="0" xfId="0" applyNumberFormat="1" applyFont="1" applyAlignment="1">
      <alignment horizontal="center"/>
    </xf>
    <xf numFmtId="0" fontId="4" fillId="0" borderId="12" xfId="62" applyFont="1" applyFill="1" applyBorder="1" applyAlignment="1">
      <alignment wrapText="1"/>
    </xf>
    <xf numFmtId="1" fontId="4" fillId="0" borderId="0" xfId="0" applyNumberFormat="1" applyFont="1" applyAlignment="1">
      <alignment horizontal="center"/>
    </xf>
    <xf numFmtId="165" fontId="4" fillId="0" borderId="0" xfId="0" applyNumberFormat="1" applyFont="1" applyAlignment="1">
      <alignment horizontal="center"/>
    </xf>
    <xf numFmtId="0" fontId="4" fillId="0" borderId="0" xfId="62" applyFont="1" applyFill="1" applyBorder="1" applyAlignment="1">
      <alignment wrapText="1"/>
    </xf>
    <xf numFmtId="167" fontId="4" fillId="0" borderId="0" xfId="0" applyNumberFormat="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36" borderId="0" xfId="61" applyFont="1" applyFill="1" applyBorder="1" applyAlignment="1">
      <alignment horizontal="center" wrapText="1"/>
    </xf>
    <xf numFmtId="0" fontId="4" fillId="0" borderId="0" xfId="61" applyFont="1" applyBorder="1" applyAlignment="1">
      <alignment horizontal="center"/>
    </xf>
    <xf numFmtId="0" fontId="4" fillId="0" borderId="0" xfId="61" applyFont="1" applyAlignment="1">
      <alignment horizontal="center" wrapText="1"/>
    </xf>
    <xf numFmtId="0" fontId="7" fillId="0" borderId="0" xfId="61" applyFont="1" applyAlignment="1">
      <alignment horizontal="center" wrapText="1"/>
    </xf>
    <xf numFmtId="0" fontId="65" fillId="0" borderId="0" xfId="61" applyFont="1" applyBorder="1" applyAlignment="1">
      <alignment horizontal="center"/>
    </xf>
    <xf numFmtId="0" fontId="65" fillId="0" borderId="0" xfId="61" applyFont="1" applyFill="1" applyBorder="1" applyAlignment="1">
      <alignment horizontal="center"/>
    </xf>
    <xf numFmtId="0" fontId="65" fillId="0" borderId="0" xfId="61" applyFont="1" applyBorder="1" applyAlignment="1">
      <alignment horizontal="right"/>
    </xf>
    <xf numFmtId="0" fontId="65" fillId="0" borderId="0" xfId="61" applyFont="1" applyBorder="1"/>
    <xf numFmtId="3" fontId="65" fillId="0" borderId="0" xfId="61" applyNumberFormat="1" applyFont="1" applyBorder="1" applyAlignment="1">
      <alignment horizontal="center"/>
    </xf>
    <xf numFmtId="167" fontId="7" fillId="0" borderId="0" xfId="0" applyNumberFormat="1" applyFont="1"/>
    <xf numFmtId="0" fontId="65" fillId="0" borderId="0" xfId="61" applyFont="1" applyAlignment="1">
      <alignment wrapText="1"/>
    </xf>
    <xf numFmtId="0" fontId="7" fillId="0" borderId="0" xfId="61" applyFont="1" applyFill="1" applyBorder="1" applyAlignment="1">
      <alignment vertical="center"/>
    </xf>
    <xf numFmtId="0" fontId="7" fillId="0" borderId="0" xfId="61" applyFont="1" applyFill="1" applyBorder="1" applyAlignment="1"/>
    <xf numFmtId="0" fontId="21" fillId="0" borderId="0" xfId="61" applyFill="1" applyBorder="1" applyAlignment="1">
      <alignment horizontal="center" wrapText="1"/>
    </xf>
    <xf numFmtId="9" fontId="7" fillId="34" borderId="0" xfId="61" applyNumberFormat="1" applyFont="1" applyFill="1" applyAlignment="1">
      <alignment horizontal="center"/>
    </xf>
    <xf numFmtId="164" fontId="7" fillId="34" borderId="0" xfId="61" applyNumberFormat="1" applyFont="1" applyFill="1" applyAlignment="1">
      <alignment horizontal="center"/>
    </xf>
    <xf numFmtId="0" fontId="7" fillId="38" borderId="0" xfId="61" applyFont="1" applyFill="1"/>
    <xf numFmtId="0" fontId="65" fillId="34" borderId="0" xfId="61" applyFont="1" applyFill="1" applyAlignment="1">
      <alignment horizontal="center"/>
    </xf>
    <xf numFmtId="164" fontId="7" fillId="35" borderId="0" xfId="61" applyNumberFormat="1" applyFont="1" applyFill="1" applyAlignment="1">
      <alignment horizontal="center"/>
    </xf>
    <xf numFmtId="164" fontId="65" fillId="0" borderId="0" xfId="61" applyNumberFormat="1" applyFont="1" applyBorder="1" applyAlignment="1"/>
    <xf numFmtId="166" fontId="7" fillId="0" borderId="0" xfId="61" applyNumberFormat="1" applyFont="1" applyFill="1" applyBorder="1" applyAlignment="1">
      <alignment horizontal="center"/>
    </xf>
    <xf numFmtId="0" fontId="4" fillId="0" borderId="0" xfId="61" applyFont="1" applyAlignment="1">
      <alignment horizontal="center"/>
    </xf>
    <xf numFmtId="0" fontId="74" fillId="0" borderId="0" xfId="62" applyFont="1" applyFill="1" applyBorder="1" applyAlignment="1">
      <alignment wrapText="1"/>
    </xf>
    <xf numFmtId="167" fontId="5" fillId="25" borderId="12" xfId="62" applyNumberFormat="1" applyFont="1" applyFill="1" applyBorder="1" applyAlignment="1">
      <alignment horizontal="center" wrapText="1"/>
    </xf>
    <xf numFmtId="1" fontId="5" fillId="43" borderId="12" xfId="62" applyNumberFormat="1" applyFont="1" applyFill="1" applyBorder="1" applyAlignment="1">
      <alignment horizontal="center" wrapText="1"/>
    </xf>
    <xf numFmtId="0" fontId="4" fillId="0" borderId="0" xfId="61" applyFont="1" applyAlignment="1">
      <alignment horizontal="center"/>
    </xf>
    <xf numFmtId="0" fontId="5" fillId="29" borderId="0" xfId="62" applyFont="1" applyFill="1" applyBorder="1" applyAlignment="1">
      <alignment horizontal="center" wrapText="1"/>
    </xf>
    <xf numFmtId="10" fontId="4" fillId="0" borderId="0" xfId="61" applyNumberFormat="1" applyFont="1" applyAlignment="1">
      <alignment horizontal="center"/>
    </xf>
    <xf numFmtId="10" fontId="7" fillId="0" borderId="0" xfId="0" applyNumberFormat="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4" fillId="0" borderId="12" xfId="61" applyFont="1" applyBorder="1" applyAlignment="1">
      <alignment horizontal="center"/>
    </xf>
    <xf numFmtId="0" fontId="7" fillId="0" borderId="0" xfId="61" applyFont="1" applyBorder="1" applyAlignment="1">
      <alignment horizontal="center"/>
    </xf>
    <xf numFmtId="0" fontId="4" fillId="0" borderId="0" xfId="61" applyFont="1" applyBorder="1" applyAlignment="1">
      <alignment horizontal="center"/>
    </xf>
    <xf numFmtId="164" fontId="4" fillId="0" borderId="23" xfId="0" applyNumberFormat="1" applyFont="1" applyBorder="1" applyAlignment="1">
      <alignment horizontal="center"/>
    </xf>
    <xf numFmtId="164" fontId="0" fillId="0" borderId="24" xfId="0" applyNumberFormat="1" applyBorder="1" applyAlignment="1">
      <alignment horizontal="center"/>
    </xf>
    <xf numFmtId="164" fontId="4" fillId="0" borderId="25" xfId="0" applyNumberFormat="1" applyFont="1" applyBorder="1" applyAlignment="1">
      <alignment horizontal="center"/>
    </xf>
    <xf numFmtId="164" fontId="4" fillId="0" borderId="26" xfId="0" applyNumberFormat="1" applyFont="1" applyBorder="1" applyAlignment="1">
      <alignment horizontal="center"/>
    </xf>
    <xf numFmtId="164" fontId="0" fillId="0" borderId="27" xfId="0" applyNumberFormat="1" applyBorder="1" applyAlignment="1">
      <alignment horizontal="center"/>
    </xf>
    <xf numFmtId="164" fontId="4" fillId="0" borderId="27" xfId="0" applyNumberFormat="1" applyFont="1" applyBorder="1" applyAlignment="1">
      <alignment horizontal="center"/>
    </xf>
    <xf numFmtId="164" fontId="0" fillId="36" borderId="0" xfId="0" applyNumberFormat="1" applyFill="1" applyBorder="1" applyAlignment="1">
      <alignment horizontal="center"/>
    </xf>
    <xf numFmtId="164" fontId="0" fillId="34" borderId="0" xfId="0" applyNumberFormat="1" applyFill="1" applyBorder="1" applyAlignment="1">
      <alignment horizontal="center"/>
    </xf>
    <xf numFmtId="164" fontId="0" fillId="38" borderId="0" xfId="0" applyNumberFormat="1" applyFill="1" applyBorder="1" applyAlignment="1">
      <alignment horizontal="center"/>
    </xf>
    <xf numFmtId="164" fontId="0" fillId="37" borderId="0" xfId="0" applyNumberFormat="1" applyFill="1" applyBorder="1" applyAlignment="1">
      <alignment horizontal="center"/>
    </xf>
    <xf numFmtId="164" fontId="0" fillId="35" borderId="0" xfId="0" applyNumberFormat="1" applyFill="1" applyBorder="1" applyAlignment="1">
      <alignment horizontal="center"/>
    </xf>
    <xf numFmtId="164" fontId="4" fillId="0" borderId="28" xfId="0" applyNumberFormat="1" applyFont="1" applyBorder="1" applyAlignment="1">
      <alignment horizontal="center"/>
    </xf>
    <xf numFmtId="164" fontId="0" fillId="44" borderId="17" xfId="0" applyNumberFormat="1" applyFill="1" applyBorder="1" applyAlignment="1">
      <alignment horizontal="center"/>
    </xf>
    <xf numFmtId="164" fontId="0" fillId="0" borderId="29" xfId="0" applyNumberFormat="1" applyBorder="1" applyAlignment="1">
      <alignment horizontal="center"/>
    </xf>
    <xf numFmtId="164" fontId="64" fillId="0" borderId="0" xfId="84" applyNumberFormat="1" applyFont="1" applyFill="1" applyAlignment="1">
      <alignment horizontal="center"/>
    </xf>
    <xf numFmtId="164" fontId="4" fillId="0" borderId="0" xfId="0" applyNumberFormat="1" applyFont="1" applyAlignment="1">
      <alignment horizontal="center"/>
    </xf>
    <xf numFmtId="0" fontId="4" fillId="0" borderId="0" xfId="0" applyFont="1" applyAlignment="1">
      <alignment horizontal="right"/>
    </xf>
    <xf numFmtId="164" fontId="20" fillId="0" borderId="0" xfId="0" applyNumberFormat="1" applyFont="1" applyFill="1" applyBorder="1" applyAlignment="1">
      <alignment horizontal="center"/>
    </xf>
    <xf numFmtId="164" fontId="4" fillId="0" borderId="0" xfId="61" applyNumberFormat="1" applyFont="1" applyBorder="1" applyAlignment="1">
      <alignment horizontal="left"/>
    </xf>
    <xf numFmtId="164" fontId="4" fillId="0" borderId="0" xfId="61" applyNumberFormat="1" applyFont="1" applyBorder="1" applyAlignment="1">
      <alignment horizontal="right"/>
    </xf>
    <xf numFmtId="0" fontId="4" fillId="0" borderId="0" xfId="61" applyFont="1" applyAlignment="1">
      <alignment horizontal="center"/>
    </xf>
    <xf numFmtId="164" fontId="7" fillId="0" borderId="12" xfId="61" applyNumberFormat="1" applyFont="1" applyBorder="1" applyAlignment="1">
      <alignment horizontal="center" wrapText="1"/>
    </xf>
    <xf numFmtId="164" fontId="7" fillId="0" borderId="12" xfId="61" applyNumberFormat="1" applyFont="1" applyBorder="1" applyAlignment="1">
      <alignment horizontal="center"/>
    </xf>
    <xf numFmtId="0" fontId="0" fillId="0" borderId="30" xfId="0" applyBorder="1"/>
    <xf numFmtId="164" fontId="0" fillId="0" borderId="0" xfId="0" applyNumberFormat="1" applyFill="1" applyBorder="1"/>
    <xf numFmtId="42" fontId="7" fillId="0" borderId="0" xfId="61" applyNumberFormat="1" applyFont="1" applyAlignment="1">
      <alignment horizontal="center"/>
    </xf>
    <xf numFmtId="164" fontId="0" fillId="0" borderId="3" xfId="0" applyNumberFormat="1" applyBorder="1" applyAlignment="1">
      <alignment horizontal="center"/>
    </xf>
    <xf numFmtId="0" fontId="20" fillId="0" borderId="0" xfId="0" applyFont="1"/>
    <xf numFmtId="171" fontId="7" fillId="0" borderId="12" xfId="61" applyNumberFormat="1" applyFont="1" applyFill="1" applyBorder="1" applyAlignment="1">
      <alignment horizontal="left"/>
    </xf>
    <xf numFmtId="0" fontId="4" fillId="24" borderId="41" xfId="0" applyFont="1" applyFill="1" applyBorder="1" applyAlignment="1" applyProtection="1">
      <alignment horizontal="left"/>
      <protection hidden="1"/>
    </xf>
    <xf numFmtId="0" fontId="20" fillId="0" borderId="0" xfId="61" applyFont="1" applyFill="1" applyBorder="1"/>
    <xf numFmtId="0" fontId="4" fillId="0" borderId="0" xfId="61" applyFont="1" applyFill="1" applyBorder="1" applyAlignment="1">
      <alignment horizontal="left"/>
    </xf>
    <xf numFmtId="164" fontId="4" fillId="0" borderId="0" xfId="0" applyNumberFormat="1" applyFont="1" applyAlignment="1">
      <alignment horizontal="left"/>
    </xf>
    <xf numFmtId="0" fontId="0" fillId="0" borderId="17" xfId="0" applyFill="1" applyBorder="1"/>
    <xf numFmtId="0" fontId="0" fillId="0" borderId="17" xfId="0" applyFill="1" applyBorder="1" applyAlignment="1">
      <alignment horizontal="center"/>
    </xf>
    <xf numFmtId="0" fontId="6" fillId="0" borderId="0" xfId="0" applyFont="1" applyBorder="1"/>
    <xf numFmtId="10" fontId="7" fillId="0" borderId="0" xfId="61" applyNumberFormat="1" applyFont="1" applyAlignment="1">
      <alignment horizontal="center"/>
    </xf>
    <xf numFmtId="0" fontId="4" fillId="0" borderId="0" xfId="61" applyFont="1" applyAlignment="1">
      <alignment horizontal="center"/>
    </xf>
    <xf numFmtId="0" fontId="4" fillId="0" borderId="0" xfId="61" applyFont="1" applyAlignment="1">
      <alignment horizontal="center" wrapText="1"/>
    </xf>
    <xf numFmtId="0" fontId="4" fillId="0" borderId="0" xfId="61" applyFont="1" applyAlignment="1">
      <alignment horizontal="center"/>
    </xf>
    <xf numFmtId="174" fontId="7" fillId="0" borderId="0" xfId="61" applyNumberFormat="1" applyFont="1"/>
    <xf numFmtId="174" fontId="7" fillId="0" borderId="0" xfId="61" applyNumberFormat="1" applyFont="1" applyFill="1"/>
    <xf numFmtId="0" fontId="7" fillId="0" borderId="0" xfId="58" applyFont="1" applyAlignment="1">
      <alignment horizontal="center" wrapText="1"/>
    </xf>
    <xf numFmtId="3" fontId="77" fillId="0" borderId="3" xfId="0" applyNumberFormat="1" applyFont="1" applyBorder="1" applyAlignment="1">
      <alignment horizontal="center"/>
    </xf>
    <xf numFmtId="166" fontId="77" fillId="34" borderId="49" xfId="0" applyNumberFormat="1" applyFont="1" applyFill="1" applyBorder="1" applyAlignment="1">
      <alignment horizontal="center"/>
    </xf>
    <xf numFmtId="8" fontId="77" fillId="0" borderId="0" xfId="0" applyNumberFormat="1" applyFont="1" applyAlignment="1">
      <alignment horizontal="center"/>
    </xf>
    <xf numFmtId="0" fontId="77" fillId="0" borderId="0" xfId="0" applyFont="1"/>
    <xf numFmtId="166" fontId="77" fillId="0" borderId="49" xfId="0" applyNumberFormat="1" applyFont="1" applyBorder="1" applyAlignment="1">
      <alignment horizontal="center"/>
    </xf>
    <xf numFmtId="164" fontId="77" fillId="0" borderId="0" xfId="0" applyNumberFormat="1" applyFont="1" applyAlignment="1">
      <alignment horizontal="center"/>
    </xf>
    <xf numFmtId="164" fontId="77" fillId="0" borderId="0" xfId="0" applyNumberFormat="1" applyFont="1"/>
    <xf numFmtId="164" fontId="77" fillId="0" borderId="30" xfId="0" applyNumberFormat="1" applyFont="1" applyBorder="1" applyAlignment="1">
      <alignment horizontal="center"/>
    </xf>
    <xf numFmtId="3" fontId="77" fillId="0" borderId="30" xfId="0" applyNumberFormat="1" applyFont="1" applyBorder="1" applyAlignment="1">
      <alignment horizontal="center"/>
    </xf>
    <xf numFmtId="3" fontId="64" fillId="0" borderId="0" xfId="0" applyNumberFormat="1" applyFont="1" applyBorder="1" applyAlignment="1">
      <alignment horizontal="center"/>
    </xf>
    <xf numFmtId="164" fontId="77" fillId="0" borderId="3" xfId="0" applyNumberFormat="1" applyFont="1" applyBorder="1" applyAlignment="1">
      <alignment horizontal="center"/>
    </xf>
    <xf numFmtId="10" fontId="0" fillId="37" borderId="0" xfId="0" applyNumberFormat="1" applyFill="1"/>
    <xf numFmtId="43" fontId="0" fillId="0" borderId="0" xfId="89" applyFont="1"/>
    <xf numFmtId="3" fontId="64" fillId="0" borderId="0" xfId="0" applyNumberFormat="1" applyFont="1" applyAlignment="1">
      <alignment horizontal="center"/>
    </xf>
    <xf numFmtId="1" fontId="64" fillId="0" borderId="0" xfId="0" applyNumberFormat="1" applyFont="1"/>
    <xf numFmtId="166" fontId="64" fillId="0" borderId="0" xfId="0" applyNumberFormat="1" applyFont="1" applyAlignment="1">
      <alignment horizontal="center"/>
    </xf>
    <xf numFmtId="164" fontId="64" fillId="0" borderId="0" xfId="0" applyNumberFormat="1" applyFont="1" applyAlignment="1">
      <alignment horizontal="center"/>
    </xf>
    <xf numFmtId="0" fontId="64" fillId="0" borderId="29" xfId="0" applyFont="1" applyBorder="1"/>
    <xf numFmtId="0" fontId="64" fillId="0" borderId="17" xfId="0" applyFont="1" applyBorder="1"/>
    <xf numFmtId="0" fontId="0" fillId="0" borderId="28" xfId="0" applyBorder="1"/>
    <xf numFmtId="164" fontId="77" fillId="0" borderId="27" xfId="0" applyNumberFormat="1" applyFont="1" applyBorder="1" applyAlignment="1">
      <alignment horizontal="center"/>
    </xf>
    <xf numFmtId="164" fontId="77" fillId="0" borderId="49" xfId="0" applyNumberFormat="1" applyFont="1" applyBorder="1" applyAlignment="1">
      <alignment horizontal="center"/>
    </xf>
    <xf numFmtId="0" fontId="77" fillId="0" borderId="0" xfId="0" applyFont="1" applyBorder="1"/>
    <xf numFmtId="164" fontId="77" fillId="0" borderId="0" xfId="0" applyNumberFormat="1" applyFont="1" applyBorder="1" applyAlignment="1">
      <alignment horizontal="center"/>
    </xf>
    <xf numFmtId="164" fontId="64" fillId="0" borderId="0" xfId="0" applyNumberFormat="1" applyFont="1" applyBorder="1" applyAlignment="1">
      <alignment horizontal="center"/>
    </xf>
    <xf numFmtId="0" fontId="64" fillId="0" borderId="0" xfId="0" applyFont="1" applyBorder="1" applyAlignment="1">
      <alignment horizontal="right"/>
    </xf>
    <xf numFmtId="0" fontId="64" fillId="0" borderId="27" xfId="0" applyFont="1" applyBorder="1"/>
    <xf numFmtId="0" fontId="64" fillId="0" borderId="0" xfId="0" applyFont="1" applyBorder="1"/>
    <xf numFmtId="0" fontId="64" fillId="0" borderId="0" xfId="0" applyFont="1" applyBorder="1" applyAlignment="1">
      <alignment horizontal="center"/>
    </xf>
    <xf numFmtId="0" fontId="0" fillId="0" borderId="26" xfId="0" applyBorder="1"/>
    <xf numFmtId="0" fontId="3" fillId="0" borderId="12" xfId="84" applyBorder="1"/>
    <xf numFmtId="0" fontId="4" fillId="0" borderId="12" xfId="84" applyFont="1" applyFill="1" applyBorder="1" applyAlignment="1">
      <alignment horizontal="center" wrapText="1"/>
    </xf>
    <xf numFmtId="0" fontId="64" fillId="0" borderId="25" xfId="0" applyFont="1" applyBorder="1"/>
    <xf numFmtId="0" fontId="64" fillId="0" borderId="24" xfId="0" applyFont="1" applyBorder="1"/>
    <xf numFmtId="166" fontId="64" fillId="0" borderId="24" xfId="0" applyNumberFormat="1" applyFont="1" applyBorder="1" applyAlignment="1">
      <alignment horizontal="center"/>
    </xf>
    <xf numFmtId="0" fontId="0" fillId="0" borderId="24" xfId="0" applyBorder="1"/>
    <xf numFmtId="0" fontId="0" fillId="0" borderId="23" xfId="0" applyBorder="1"/>
    <xf numFmtId="0" fontId="3" fillId="0" borderId="0" xfId="84"/>
    <xf numFmtId="0" fontId="4" fillId="0" borderId="12" xfId="61" applyFont="1" applyBorder="1"/>
    <xf numFmtId="0" fontId="4" fillId="0" borderId="12" xfId="61" applyFont="1" applyFill="1" applyBorder="1"/>
    <xf numFmtId="0" fontId="4" fillId="0" borderId="0" xfId="61" applyFont="1" applyFill="1"/>
    <xf numFmtId="164" fontId="4" fillId="0" borderId="0" xfId="61" applyNumberFormat="1" applyFont="1" applyAlignment="1">
      <alignment horizontal="center"/>
    </xf>
    <xf numFmtId="0" fontId="20" fillId="0" borderId="12" xfId="61" applyFont="1" applyFill="1" applyBorder="1"/>
    <xf numFmtId="0" fontId="22" fillId="0" borderId="0" xfId="61" applyFont="1" applyAlignment="1"/>
    <xf numFmtId="0" fontId="4" fillId="0" borderId="0" xfId="61" applyFont="1" applyBorder="1" applyAlignment="1"/>
    <xf numFmtId="0" fontId="4" fillId="0" borderId="0" xfId="61" applyFont="1" applyFill="1" applyBorder="1"/>
    <xf numFmtId="164" fontId="4" fillId="0" borderId="12" xfId="61" applyNumberFormat="1" applyFont="1" applyBorder="1" applyAlignment="1">
      <alignment horizontal="center"/>
    </xf>
    <xf numFmtId="0" fontId="4" fillId="0" borderId="0" xfId="61" applyFont="1" applyAlignment="1">
      <alignment horizontal="left"/>
    </xf>
    <xf numFmtId="0" fontId="4" fillId="0" borderId="0" xfId="61" applyFont="1" applyFill="1" applyAlignment="1">
      <alignment horizontal="center"/>
    </xf>
    <xf numFmtId="164" fontId="4" fillId="0" borderId="12" xfId="61" applyNumberFormat="1" applyFont="1" applyFill="1" applyBorder="1" applyAlignment="1">
      <alignment horizontal="center"/>
    </xf>
    <xf numFmtId="164" fontId="4" fillId="0" borderId="0" xfId="61" applyNumberFormat="1" applyFont="1"/>
    <xf numFmtId="0" fontId="4" fillId="0" borderId="12" xfId="61" applyFont="1" applyFill="1" applyBorder="1" applyAlignment="1">
      <alignment horizontal="left"/>
    </xf>
    <xf numFmtId="164" fontId="4" fillId="0" borderId="12" xfId="61" applyNumberFormat="1" applyFont="1" applyBorder="1"/>
    <xf numFmtId="164" fontId="4" fillId="0" borderId="30" xfId="61" applyNumberFormat="1" applyFont="1" applyFill="1" applyBorder="1" applyAlignment="1">
      <alignment horizontal="center"/>
    </xf>
    <xf numFmtId="0" fontId="4" fillId="0" borderId="12" xfId="61" applyFont="1" applyBorder="1" applyAlignment="1">
      <alignment horizontal="left" wrapText="1"/>
    </xf>
    <xf numFmtId="0" fontId="4" fillId="0" borderId="12" xfId="61" applyFont="1" applyBorder="1" applyAlignment="1">
      <alignment horizontal="left"/>
    </xf>
    <xf numFmtId="0" fontId="7" fillId="0" borderId="0" xfId="61" applyFont="1" applyBorder="1" applyAlignment="1">
      <alignment horizontal="center"/>
    </xf>
    <xf numFmtId="0" fontId="7" fillId="0" borderId="0" xfId="61" applyFont="1" applyAlignment="1">
      <alignment horizontal="center"/>
    </xf>
    <xf numFmtId="0" fontId="4" fillId="36" borderId="0" xfId="61" applyFont="1" applyFill="1" applyBorder="1" applyAlignment="1">
      <alignment horizontal="center" wrapText="1"/>
    </xf>
    <xf numFmtId="0" fontId="7" fillId="0" borderId="12" xfId="61" applyFont="1" applyBorder="1" applyAlignment="1">
      <alignment horizontal="center"/>
    </xf>
    <xf numFmtId="0" fontId="9" fillId="0" borderId="12" xfId="61" applyFont="1" applyBorder="1" applyAlignment="1">
      <alignment horizontal="center" wrapText="1"/>
    </xf>
    <xf numFmtId="0" fontId="7" fillId="0" borderId="0" xfId="58" applyFont="1" applyAlignment="1">
      <alignment horizontal="center" wrapText="1"/>
    </xf>
    <xf numFmtId="0" fontId="4" fillId="0" borderId="0" xfId="61" applyFont="1" applyBorder="1" applyAlignment="1">
      <alignment horizontal="center"/>
    </xf>
    <xf numFmtId="0" fontId="4" fillId="0" borderId="0" xfId="61" applyFont="1" applyAlignment="1">
      <alignment horizontal="center"/>
    </xf>
    <xf numFmtId="0" fontId="4" fillId="0" borderId="0" xfId="61" applyFont="1" applyAlignment="1">
      <alignment horizontal="center" wrapText="1"/>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0" applyFont="1" applyAlignment="1">
      <alignment horizontal="center" wrapText="1"/>
    </xf>
    <xf numFmtId="0" fontId="4" fillId="36" borderId="0" xfId="61" applyFont="1" applyFill="1" applyBorder="1" applyAlignment="1">
      <alignment horizontal="center" vertical="center" wrapText="1"/>
    </xf>
    <xf numFmtId="164" fontId="7" fillId="0" borderId="12" xfId="61" applyNumberFormat="1" applyFont="1" applyBorder="1" applyAlignment="1">
      <alignment horizontal="center"/>
    </xf>
    <xf numFmtId="0" fontId="64" fillId="0" borderId="0" xfId="0" applyFont="1" applyAlignment="1">
      <alignment horizontal="center" vertical="center"/>
    </xf>
    <xf numFmtId="0" fontId="64" fillId="0" borderId="0" xfId="0" applyFont="1" applyAlignment="1">
      <alignment horizontal="center" vertical="center" wrapText="1"/>
    </xf>
    <xf numFmtId="164" fontId="64" fillId="0" borderId="0" xfId="0" applyNumberFormat="1" applyFont="1" applyFill="1" applyAlignment="1">
      <alignment horizontal="center"/>
    </xf>
    <xf numFmtId="164" fontId="64" fillId="37" borderId="0" xfId="0" applyNumberFormat="1" applyFont="1" applyFill="1" applyAlignment="1">
      <alignment horizontal="center"/>
    </xf>
    <xf numFmtId="0" fontId="64" fillId="0" borderId="0" xfId="0" applyFont="1" applyFill="1" applyAlignment="1">
      <alignment horizontal="center"/>
    </xf>
    <xf numFmtId="0" fontId="64" fillId="0" borderId="0" xfId="0" applyFont="1" applyAlignment="1">
      <alignment wrapText="1"/>
    </xf>
    <xf numFmtId="164" fontId="7" fillId="37" borderId="12" xfId="58" applyNumberFormat="1" applyFont="1" applyFill="1" applyBorder="1" applyAlignment="1">
      <alignment horizontal="center"/>
    </xf>
    <xf numFmtId="164" fontId="7" fillId="38" borderId="12" xfId="58" applyNumberFormat="1" applyFont="1" applyFill="1" applyBorder="1" applyAlignment="1">
      <alignment horizontal="center"/>
    </xf>
    <xf numFmtId="164" fontId="4" fillId="0" borderId="0" xfId="61" applyNumberFormat="1" applyFont="1" applyBorder="1" applyAlignment="1"/>
    <xf numFmtId="0" fontId="64" fillId="37" borderId="20" xfId="0" applyFont="1" applyFill="1" applyBorder="1" applyAlignment="1">
      <alignment horizontal="center"/>
    </xf>
    <xf numFmtId="0" fontId="64" fillId="37" borderId="45" xfId="0" applyFont="1" applyFill="1" applyBorder="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5" fillId="37" borderId="12" xfId="62" applyFont="1" applyFill="1" applyBorder="1" applyAlignment="1">
      <alignment wrapText="1"/>
    </xf>
    <xf numFmtId="0" fontId="7" fillId="0" borderId="0" xfId="61" applyFont="1" applyAlignment="1">
      <alignment horizontal="center"/>
    </xf>
    <xf numFmtId="0" fontId="9" fillId="0" borderId="12" xfId="61" applyFont="1" applyBorder="1" applyAlignment="1">
      <alignment horizontal="center" wrapText="1"/>
    </xf>
    <xf numFmtId="0" fontId="9" fillId="0" borderId="38" xfId="61" applyFont="1" applyBorder="1" applyAlignment="1">
      <alignment horizontal="center"/>
    </xf>
    <xf numFmtId="0" fontId="4" fillId="0" borderId="0" xfId="6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4" fillId="0" borderId="0" xfId="61" applyFont="1" applyAlignment="1">
      <alignment horizontal="center" wrapText="1"/>
    </xf>
    <xf numFmtId="164" fontId="7" fillId="0" borderId="12" xfId="61" applyNumberFormat="1" applyFont="1" applyBorder="1" applyAlignment="1">
      <alignment horizontal="center"/>
    </xf>
    <xf numFmtId="164" fontId="7" fillId="38" borderId="0" xfId="61" applyNumberFormat="1" applyFont="1" applyFill="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1" fontId="7" fillId="0" borderId="0" xfId="61" applyNumberFormat="1" applyFont="1" applyFill="1" applyBorder="1" applyAlignment="1">
      <alignment vertical="center"/>
    </xf>
    <xf numFmtId="1" fontId="4" fillId="0" borderId="0" xfId="61" applyNumberFormat="1" applyFont="1" applyAlignment="1">
      <alignment wrapText="1"/>
    </xf>
    <xf numFmtId="1" fontId="65" fillId="0" borderId="0" xfId="61" applyNumberFormat="1" applyFont="1" applyAlignment="1">
      <alignment horizontal="center"/>
    </xf>
    <xf numFmtId="1" fontId="9" fillId="0" borderId="48" xfId="61" applyNumberFormat="1" applyFont="1" applyBorder="1" applyAlignment="1"/>
    <xf numFmtId="1" fontId="7" fillId="34" borderId="12" xfId="61" applyNumberFormat="1" applyFont="1" applyFill="1" applyBorder="1" applyAlignment="1">
      <alignment horizontal="center" wrapText="1"/>
    </xf>
    <xf numFmtId="1" fontId="7" fillId="0" borderId="30" xfId="61" applyNumberFormat="1" applyFont="1" applyBorder="1" applyAlignment="1">
      <alignment horizontal="center"/>
    </xf>
    <xf numFmtId="3" fontId="7" fillId="0" borderId="0" xfId="61" applyNumberFormat="1" applyFont="1" applyFill="1" applyAlignment="1">
      <alignment horizontal="center"/>
    </xf>
    <xf numFmtId="3" fontId="7" fillId="0" borderId="0" xfId="61" applyNumberFormat="1" applyFont="1" applyFill="1" applyBorder="1" applyAlignment="1">
      <alignment horizontal="center"/>
    </xf>
    <xf numFmtId="0" fontId="4" fillId="0" borderId="0" xfId="61" applyFont="1" applyFill="1" applyBorder="1" applyAlignment="1">
      <alignment horizontal="center" wrapText="1"/>
    </xf>
    <xf numFmtId="164" fontId="7" fillId="0" borderId="0" xfId="61" applyNumberFormat="1" applyFont="1" applyFill="1" applyBorder="1" applyAlignment="1">
      <alignment wrapText="1"/>
    </xf>
    <xf numFmtId="0" fontId="4" fillId="0" borderId="0" xfId="61" applyFont="1" applyAlignment="1">
      <alignment horizontal="center" wrapText="1"/>
    </xf>
    <xf numFmtId="164" fontId="7" fillId="47" borderId="0" xfId="61" applyNumberFormat="1" applyFont="1" applyFill="1" applyAlignment="1">
      <alignment horizontal="center"/>
    </xf>
    <xf numFmtId="164" fontId="7" fillId="47" borderId="0" xfId="61" applyNumberFormat="1" applyFont="1" applyFill="1" applyBorder="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0" borderId="0" xfId="61" applyFont="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36" borderId="0" xfId="61" applyFont="1" applyFill="1" applyBorder="1" applyAlignment="1">
      <alignment horizontal="center" wrapText="1"/>
    </xf>
    <xf numFmtId="0" fontId="9" fillId="0" borderId="12" xfId="61" applyFont="1" applyBorder="1" applyAlignment="1">
      <alignment horizontal="center" wrapText="1"/>
    </xf>
    <xf numFmtId="0" fontId="7" fillId="0" borderId="12" xfId="61" applyFont="1" applyBorder="1" applyAlignment="1">
      <alignment horizontal="center"/>
    </xf>
    <xf numFmtId="0" fontId="7" fillId="0" borderId="0" xfId="58" applyFont="1" applyAlignment="1">
      <alignment horizontal="center" wrapText="1"/>
    </xf>
    <xf numFmtId="0" fontId="4" fillId="0" borderId="0" xfId="61" applyFont="1" applyBorder="1" applyAlignment="1">
      <alignment horizontal="center"/>
    </xf>
    <xf numFmtId="0" fontId="4" fillId="0" borderId="0" xfId="61" applyFont="1" applyAlignment="1">
      <alignment horizontal="center"/>
    </xf>
    <xf numFmtId="0" fontId="4" fillId="0" borderId="0" xfId="61" applyFont="1" applyAlignment="1">
      <alignment horizontal="center" wrapText="1"/>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4" fillId="36" borderId="0" xfId="61" applyFont="1" applyFill="1" applyBorder="1" applyAlignment="1">
      <alignment horizontal="center" vertical="center" wrapText="1"/>
    </xf>
    <xf numFmtId="0" fontId="7" fillId="0" borderId="0" xfId="61" applyFont="1" applyAlignment="1">
      <alignment horizontal="center"/>
    </xf>
    <xf numFmtId="164" fontId="4" fillId="38" borderId="0" xfId="61" applyNumberFormat="1" applyFont="1" applyFill="1" applyBorder="1" applyAlignment="1">
      <alignment horizontal="center"/>
    </xf>
    <xf numFmtId="164" fontId="65" fillId="0" borderId="0" xfId="61" applyNumberFormat="1" applyFont="1"/>
    <xf numFmtId="1" fontId="65" fillId="37" borderId="0" xfId="61" applyNumberFormat="1" applyFont="1" applyFill="1" applyAlignment="1">
      <alignment horizontal="center"/>
    </xf>
    <xf numFmtId="0" fontId="9" fillId="0" borderId="0" xfId="61" applyFont="1" applyAlignment="1">
      <alignment horizontal="center" wrapText="1"/>
    </xf>
    <xf numFmtId="171" fontId="7" fillId="37" borderId="12" xfId="61" applyNumberFormat="1" applyFont="1" applyFill="1" applyBorder="1" applyAlignment="1">
      <alignment horizontal="left"/>
    </xf>
    <xf numFmtId="164" fontId="4" fillId="0" borderId="12" xfId="58" applyNumberFormat="1" applyFont="1" applyFill="1" applyBorder="1" applyAlignment="1">
      <alignment horizontal="center"/>
    </xf>
    <xf numFmtId="0" fontId="64" fillId="37" borderId="0" xfId="0" applyFont="1" applyFill="1" applyAlignment="1">
      <alignment horizontal="center"/>
    </xf>
    <xf numFmtId="0" fontId="7" fillId="0" borderId="12" xfId="61" applyFont="1" applyBorder="1" applyAlignment="1">
      <alignment horizontal="center"/>
    </xf>
    <xf numFmtId="1" fontId="5" fillId="37" borderId="12" xfId="62" applyNumberFormat="1" applyFont="1" applyFill="1" applyBorder="1" applyAlignment="1">
      <alignment horizontal="center" wrapText="1"/>
    </xf>
    <xf numFmtId="0" fontId="10" fillId="0" borderId="0" xfId="0" applyFont="1" applyAlignment="1">
      <alignment horizontal="center"/>
    </xf>
    <xf numFmtId="0" fontId="5" fillId="37" borderId="12" xfId="62" applyFont="1" applyFill="1" applyBorder="1" applyAlignment="1">
      <alignment horizontal="center" wrapText="1"/>
    </xf>
    <xf numFmtId="49" fontId="4" fillId="0" borderId="0" xfId="61" applyNumberFormat="1" applyFont="1" applyAlignment="1">
      <alignment horizontal="center"/>
    </xf>
    <xf numFmtId="0" fontId="10" fillId="0" borderId="0" xfId="0" applyFont="1" applyAlignment="1">
      <alignment horizontal="center"/>
    </xf>
    <xf numFmtId="2" fontId="9" fillId="0" borderId="0" xfId="61" applyNumberFormat="1" applyFont="1" applyAlignment="1">
      <alignment horizontal="center" wrapText="1"/>
    </xf>
    <xf numFmtId="0" fontId="10" fillId="0" borderId="0" xfId="0" applyFont="1" applyAlignment="1">
      <alignment horizontal="left"/>
    </xf>
    <xf numFmtId="0" fontId="9" fillId="0" borderId="0" xfId="61" applyFont="1" applyAlignment="1">
      <alignment horizontal="center"/>
    </xf>
    <xf numFmtId="0" fontId="0" fillId="0" borderId="0" xfId="0" applyAlignment="1">
      <alignment horizontal="center"/>
    </xf>
    <xf numFmtId="0" fontId="0" fillId="0" borderId="0" xfId="0" applyAlignment="1">
      <alignment horizontal="center"/>
    </xf>
    <xf numFmtId="9" fontId="0" fillId="0" borderId="0" xfId="0" applyNumberFormat="1" applyAlignment="1">
      <alignment horizontal="center"/>
    </xf>
    <xf numFmtId="1" fontId="0" fillId="0" borderId="0" xfId="0" applyNumberFormat="1" applyAlignment="1">
      <alignment horizontal="center"/>
    </xf>
    <xf numFmtId="3" fontId="0" fillId="0" borderId="0" xfId="0" applyNumberFormat="1" applyAlignment="1">
      <alignment horizontal="center"/>
    </xf>
    <xf numFmtId="1" fontId="0" fillId="0" borderId="48" xfId="0" applyNumberFormat="1" applyBorder="1" applyAlignment="1">
      <alignment horizontal="center"/>
    </xf>
    <xf numFmtId="166" fontId="0" fillId="0" borderId="0" xfId="0" applyNumberFormat="1" applyAlignment="1">
      <alignment horizontal="center"/>
    </xf>
    <xf numFmtId="164" fontId="0" fillId="37" borderId="0" xfId="0" applyNumberFormat="1" applyFill="1" applyAlignment="1">
      <alignment horizontal="center"/>
    </xf>
    <xf numFmtId="0" fontId="7" fillId="45" borderId="12" xfId="61" applyFont="1" applyFill="1" applyBorder="1" applyAlignment="1">
      <alignment horizontal="left"/>
    </xf>
    <xf numFmtId="0" fontId="7" fillId="45" borderId="12" xfId="61" applyFont="1" applyFill="1" applyBorder="1"/>
    <xf numFmtId="0" fontId="0" fillId="45" borderId="0" xfId="0" applyFill="1"/>
    <xf numFmtId="0" fontId="0" fillId="45" borderId="0" xfId="0" applyFill="1" applyAlignment="1">
      <alignment horizontal="center"/>
    </xf>
    <xf numFmtId="164" fontId="0" fillId="45" borderId="0" xfId="0" applyNumberFormat="1" applyFill="1" applyAlignment="1">
      <alignment horizontal="center"/>
    </xf>
    <xf numFmtId="0" fontId="7" fillId="42" borderId="12" xfId="61" applyFont="1" applyFill="1" applyBorder="1" applyAlignment="1">
      <alignment horizontal="left"/>
    </xf>
    <xf numFmtId="0" fontId="7" fillId="42" borderId="12" xfId="61" applyFont="1" applyFill="1" applyBorder="1"/>
    <xf numFmtId="0" fontId="0" fillId="42" borderId="0" xfId="0" applyFill="1"/>
    <xf numFmtId="0" fontId="0" fillId="42" borderId="0" xfId="0" applyFill="1" applyAlignment="1">
      <alignment horizontal="center"/>
    </xf>
    <xf numFmtId="164" fontId="0" fillId="42" borderId="0" xfId="0" applyNumberFormat="1" applyFill="1" applyAlignment="1">
      <alignment horizontal="center"/>
    </xf>
    <xf numFmtId="0" fontId="0" fillId="0" borderId="0" xfId="0" applyAlignment="1">
      <alignment horizontal="center"/>
    </xf>
    <xf numFmtId="1" fontId="0" fillId="0" borderId="18" xfId="0" applyNumberFormat="1" applyBorder="1" applyAlignment="1">
      <alignment horizontal="center"/>
    </xf>
    <xf numFmtId="1" fontId="0" fillId="0" borderId="0" xfId="0" applyNumberFormat="1" applyBorder="1" applyAlignment="1">
      <alignment horizontal="center"/>
    </xf>
    <xf numFmtId="0" fontId="0" fillId="0" borderId="0" xfId="0" applyAlignment="1">
      <alignment horizontal="center"/>
    </xf>
    <xf numFmtId="0" fontId="0" fillId="45" borderId="0" xfId="0" applyFill="1" applyBorder="1"/>
    <xf numFmtId="166" fontId="7" fillId="0" borderId="12" xfId="61" applyNumberFormat="1" applyFont="1" applyBorder="1" applyAlignment="1">
      <alignment horizontal="center" wrapText="1"/>
    </xf>
    <xf numFmtId="0" fontId="0" fillId="0" borderId="0" xfId="0"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9" fillId="0" borderId="12" xfId="61" applyFont="1" applyBorder="1" applyAlignment="1">
      <alignment horizontal="center" wrapText="1"/>
    </xf>
    <xf numFmtId="0" fontId="7" fillId="0" borderId="12" xfId="61" applyFont="1" applyBorder="1" applyAlignment="1">
      <alignment horizontal="center"/>
    </xf>
    <xf numFmtId="0" fontId="7" fillId="0" borderId="0" xfId="58" applyFont="1" applyAlignment="1">
      <alignment horizontal="center" wrapText="1"/>
    </xf>
    <xf numFmtId="0" fontId="4" fillId="0" borderId="0" xfId="61" applyFont="1" applyAlignment="1">
      <alignment horizontal="center"/>
    </xf>
    <xf numFmtId="0" fontId="4" fillId="0" borderId="0" xfId="61" applyFont="1" applyAlignment="1">
      <alignment horizontal="center" wrapText="1"/>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7" fillId="0" borderId="0" xfId="61" applyFont="1" applyBorder="1" applyAlignment="1">
      <alignment horizontal="center"/>
    </xf>
    <xf numFmtId="0" fontId="7" fillId="0" borderId="0" xfId="61" applyFont="1" applyAlignment="1">
      <alignment horizontal="center"/>
    </xf>
    <xf numFmtId="0" fontId="4" fillId="36" borderId="0" xfId="61" applyFont="1" applyFill="1" applyBorder="1" applyAlignment="1">
      <alignment horizontal="center" wrapText="1"/>
    </xf>
    <xf numFmtId="0" fontId="0" fillId="0" borderId="0" xfId="0" applyAlignment="1">
      <alignment horizontal="center"/>
    </xf>
    <xf numFmtId="0" fontId="7" fillId="0" borderId="12" xfId="61" applyFont="1" applyBorder="1" applyAlignment="1">
      <alignment horizontal="center"/>
    </xf>
    <xf numFmtId="0" fontId="10" fillId="0" borderId="0" xfId="0" applyFont="1" applyAlignment="1">
      <alignment horizontal="center"/>
    </xf>
    <xf numFmtId="0" fontId="7" fillId="0" borderId="0" xfId="58" applyFont="1" applyBorder="1" applyAlignment="1">
      <alignment horizontal="center" wrapText="1"/>
    </xf>
    <xf numFmtId="164" fontId="7" fillId="0" borderId="0" xfId="58" applyNumberFormat="1" applyFont="1" applyBorder="1" applyAlignment="1">
      <alignment horizontal="center"/>
    </xf>
    <xf numFmtId="164" fontId="7" fillId="0" borderId="12" xfId="61" applyNumberFormat="1" applyFont="1" applyBorder="1" applyAlignment="1">
      <alignment horizontal="center"/>
    </xf>
    <xf numFmtId="0" fontId="0" fillId="0" borderId="0" xfId="0" applyAlignment="1">
      <alignment horizontal="center"/>
    </xf>
    <xf numFmtId="0" fontId="55" fillId="48" borderId="21" xfId="0" applyFont="1" applyFill="1" applyBorder="1" applyAlignment="1" applyProtection="1">
      <alignment horizontal="centerContinuous"/>
    </xf>
    <xf numFmtId="0" fontId="55" fillId="48" borderId="57" xfId="0" applyFont="1" applyFill="1" applyBorder="1" applyAlignment="1">
      <alignment horizontal="centerContinuous"/>
    </xf>
    <xf numFmtId="0" fontId="55" fillId="48" borderId="57" xfId="0" applyFont="1" applyFill="1" applyBorder="1" applyAlignment="1" applyProtection="1">
      <alignment horizontal="centerContinuous"/>
    </xf>
    <xf numFmtId="0" fontId="55" fillId="48" borderId="57" xfId="0" quotePrefix="1" applyFont="1" applyFill="1" applyBorder="1" applyAlignment="1" applyProtection="1">
      <alignment horizontal="centerContinuous"/>
    </xf>
    <xf numFmtId="0" fontId="80" fillId="48" borderId="57" xfId="0" applyFont="1" applyFill="1" applyBorder="1" applyAlignment="1">
      <alignment horizontal="centerContinuous"/>
    </xf>
    <xf numFmtId="0" fontId="55" fillId="48" borderId="22" xfId="0" applyFont="1" applyFill="1" applyBorder="1" applyAlignment="1">
      <alignment horizontal="centerContinuous"/>
    </xf>
    <xf numFmtId="0" fontId="21" fillId="0" borderId="0" xfId="0" applyFont="1"/>
    <xf numFmtId="0" fontId="55" fillId="0" borderId="0" xfId="0" applyFont="1" applyAlignment="1" applyProtection="1">
      <alignment horizontal="centerContinuous"/>
    </xf>
    <xf numFmtId="0" fontId="55" fillId="0" borderId="0" xfId="0" applyFont="1" applyAlignment="1">
      <alignment horizontal="centerContinuous"/>
    </xf>
    <xf numFmtId="0" fontId="55" fillId="0" borderId="0" xfId="0" quotePrefix="1" applyFont="1" applyAlignment="1" applyProtection="1">
      <alignment horizontal="centerContinuous"/>
    </xf>
    <xf numFmtId="0" fontId="21" fillId="0" borderId="0" xfId="0" applyFont="1" applyAlignment="1" applyProtection="1">
      <alignment horizontal="left"/>
    </xf>
    <xf numFmtId="0" fontId="21" fillId="0" borderId="0" xfId="0" applyFont="1" applyProtection="1"/>
    <xf numFmtId="0" fontId="21" fillId="48" borderId="23" xfId="0" applyFont="1" applyFill="1" applyBorder="1" applyAlignment="1" applyProtection="1">
      <alignment horizontal="left"/>
    </xf>
    <xf numFmtId="0" fontId="21" fillId="48" borderId="24" xfId="0" applyFont="1" applyFill="1" applyBorder="1" applyProtection="1"/>
    <xf numFmtId="0" fontId="21" fillId="48" borderId="25" xfId="0" applyFont="1" applyFill="1" applyBorder="1" applyProtection="1"/>
    <xf numFmtId="0" fontId="51" fillId="0" borderId="0" xfId="0" applyFont="1"/>
    <xf numFmtId="0" fontId="13" fillId="0" borderId="0" xfId="53"/>
    <xf numFmtId="0" fontId="82" fillId="48" borderId="23" xfId="53" applyFont="1" applyFill="1" applyBorder="1" applyAlignment="1" applyProtection="1">
      <alignment horizontal="right"/>
    </xf>
    <xf numFmtId="0" fontId="82" fillId="48" borderId="24" xfId="53" applyFont="1" applyFill="1" applyBorder="1" applyAlignment="1" applyProtection="1">
      <alignment horizontal="right"/>
    </xf>
    <xf numFmtId="0" fontId="82" fillId="48" borderId="25" xfId="53" applyFont="1" applyFill="1" applyBorder="1" applyAlignment="1" applyProtection="1">
      <alignment horizontal="right"/>
    </xf>
    <xf numFmtId="0" fontId="4" fillId="48" borderId="26" xfId="0" applyFont="1" applyFill="1" applyBorder="1" applyProtection="1"/>
    <xf numFmtId="0" fontId="4" fillId="48" borderId="0" xfId="0" applyFont="1" applyFill="1" applyBorder="1" applyProtection="1"/>
    <xf numFmtId="0" fontId="4" fillId="48" borderId="27" xfId="0" applyFont="1" applyFill="1" applyBorder="1" applyProtection="1"/>
    <xf numFmtId="0" fontId="83" fillId="48" borderId="26" xfId="53" applyFont="1" applyFill="1" applyBorder="1"/>
    <xf numFmtId="0" fontId="83" fillId="48" borderId="0" xfId="53" applyFont="1" applyFill="1" applyBorder="1"/>
    <xf numFmtId="0" fontId="83" fillId="48" borderId="27" xfId="53" applyFont="1" applyFill="1" applyBorder="1"/>
    <xf numFmtId="0" fontId="9" fillId="0" borderId="0" xfId="0" quotePrefix="1" applyFont="1" applyAlignment="1" applyProtection="1">
      <alignment horizontal="left"/>
    </xf>
    <xf numFmtId="0" fontId="83" fillId="48" borderId="26" xfId="53" applyFont="1" applyFill="1" applyBorder="1" applyProtection="1"/>
    <xf numFmtId="175" fontId="83" fillId="48" borderId="0" xfId="53" applyNumberFormat="1" applyFont="1" applyFill="1" applyBorder="1" applyProtection="1"/>
    <xf numFmtId="175" fontId="83" fillId="48" borderId="27" xfId="53" applyNumberFormat="1" applyFont="1" applyFill="1" applyBorder="1" applyProtection="1"/>
    <xf numFmtId="0" fontId="9" fillId="48" borderId="23" xfId="0" applyFont="1" applyFill="1" applyBorder="1"/>
    <xf numFmtId="0" fontId="9" fillId="48" borderId="24" xfId="0" applyFont="1" applyFill="1" applyBorder="1" applyAlignment="1" applyProtection="1">
      <alignment horizontal="left"/>
    </xf>
    <xf numFmtId="0" fontId="9" fillId="48" borderId="24" xfId="0" applyFont="1" applyFill="1" applyBorder="1"/>
    <xf numFmtId="0" fontId="4" fillId="48" borderId="24" xfId="0" applyFont="1" applyFill="1" applyBorder="1"/>
    <xf numFmtId="0" fontId="9" fillId="48" borderId="25" xfId="0" applyFont="1" applyFill="1" applyBorder="1"/>
    <xf numFmtId="0" fontId="4" fillId="48" borderId="26" xfId="0" applyFont="1" applyFill="1" applyBorder="1"/>
    <xf numFmtId="0" fontId="4" fillId="48" borderId="0" xfId="0" applyFont="1" applyFill="1" applyBorder="1"/>
    <xf numFmtId="0" fontId="4" fillId="48" borderId="27" xfId="0" applyFont="1" applyFill="1" applyBorder="1"/>
    <xf numFmtId="0" fontId="1" fillId="0" borderId="0" xfId="53" applyFont="1"/>
    <xf numFmtId="0" fontId="9" fillId="48" borderId="26" xfId="0" applyFont="1" applyFill="1" applyBorder="1"/>
    <xf numFmtId="0" fontId="9" fillId="48" borderId="0" xfId="0" applyFont="1" applyFill="1" applyBorder="1" applyProtection="1"/>
    <xf numFmtId="0" fontId="9" fillId="48" borderId="0" xfId="0" applyFont="1" applyFill="1" applyBorder="1" applyAlignment="1" applyProtection="1">
      <alignment horizontal="right"/>
    </xf>
    <xf numFmtId="0" fontId="9" fillId="48" borderId="0" xfId="0" applyFont="1" applyFill="1" applyBorder="1"/>
    <xf numFmtId="0" fontId="9" fillId="48" borderId="27" xfId="0" applyFont="1" applyFill="1" applyBorder="1"/>
    <xf numFmtId="175" fontId="4" fillId="48" borderId="0" xfId="0" applyNumberFormat="1" applyFont="1" applyFill="1" applyBorder="1" applyProtection="1"/>
    <xf numFmtId="175" fontId="4" fillId="48" borderId="27" xfId="0" applyNumberFormat="1" applyFont="1" applyFill="1" applyBorder="1" applyProtection="1"/>
    <xf numFmtId="0" fontId="4" fillId="0" borderId="0" xfId="53" applyFont="1" applyFill="1" applyBorder="1"/>
    <xf numFmtId="176" fontId="9" fillId="48" borderId="28" xfId="0" applyNumberFormat="1" applyFont="1" applyFill="1" applyBorder="1" applyAlignment="1" applyProtection="1">
      <alignment horizontal="left"/>
    </xf>
    <xf numFmtId="176" fontId="9" fillId="48" borderId="17" xfId="0" applyNumberFormat="1" applyFont="1" applyFill="1" applyBorder="1" applyProtection="1"/>
    <xf numFmtId="0" fontId="9" fillId="48" borderId="17" xfId="0" applyFont="1" applyFill="1" applyBorder="1"/>
    <xf numFmtId="0" fontId="9" fillId="48" borderId="29" xfId="0" applyFont="1" applyFill="1" applyBorder="1"/>
    <xf numFmtId="0" fontId="4" fillId="0" borderId="17" xfId="0" applyFont="1" applyBorder="1"/>
    <xf numFmtId="176" fontId="4" fillId="0" borderId="17" xfId="0" applyNumberFormat="1" applyFont="1" applyBorder="1" applyAlignment="1" applyProtection="1">
      <alignment horizontal="fill"/>
    </xf>
    <xf numFmtId="0" fontId="83" fillId="48" borderId="28" xfId="53" applyFont="1" applyFill="1" applyBorder="1" applyAlignment="1" applyProtection="1">
      <alignment horizontal="right"/>
    </xf>
    <xf numFmtId="175" fontId="83" fillId="48" borderId="17" xfId="53" applyNumberFormat="1" applyFont="1" applyFill="1" applyBorder="1" applyProtection="1"/>
    <xf numFmtId="0" fontId="83" fillId="48" borderId="29" xfId="53" applyFont="1" applyFill="1" applyBorder="1"/>
    <xf numFmtId="176" fontId="51" fillId="48" borderId="26" xfId="0" applyNumberFormat="1" applyFont="1" applyFill="1" applyBorder="1" applyProtection="1"/>
    <xf numFmtId="169" fontId="51" fillId="48" borderId="0" xfId="0" applyNumberFormat="1" applyFont="1" applyFill="1" applyAlignment="1" applyProtection="1">
      <alignment horizontal="left"/>
    </xf>
    <xf numFmtId="169" fontId="75" fillId="48" borderId="0" xfId="0" applyNumberFormat="1" applyFont="1" applyFill="1" applyAlignment="1" applyProtection="1">
      <alignment horizontal="centerContinuous"/>
    </xf>
    <xf numFmtId="0" fontId="75" fillId="48" borderId="0" xfId="0" applyFont="1" applyFill="1" applyAlignment="1">
      <alignment horizontal="centerContinuous"/>
    </xf>
    <xf numFmtId="0" fontId="51" fillId="48" borderId="0" xfId="0" applyFont="1" applyFill="1" applyBorder="1"/>
    <xf numFmtId="0" fontId="75" fillId="48" borderId="26" xfId="0" applyFont="1" applyFill="1" applyBorder="1" applyAlignment="1">
      <alignment horizontal="centerContinuous"/>
    </xf>
    <xf numFmtId="0" fontId="51" fillId="48" borderId="0" xfId="0" applyFont="1" applyFill="1" applyAlignment="1">
      <alignment horizontal="centerContinuous"/>
    </xf>
    <xf numFmtId="0" fontId="51" fillId="48" borderId="27" xfId="0" applyFont="1" applyFill="1" applyBorder="1"/>
    <xf numFmtId="0" fontId="75" fillId="48" borderId="0" xfId="0" applyFont="1" applyFill="1"/>
    <xf numFmtId="169" fontId="75" fillId="48" borderId="0" xfId="0" applyNumberFormat="1" applyFont="1" applyFill="1" applyAlignment="1" applyProtection="1">
      <alignment horizontal="right"/>
    </xf>
    <xf numFmtId="169" fontId="75" fillId="48" borderId="0" xfId="0" quotePrefix="1" applyNumberFormat="1" applyFont="1" applyFill="1" applyAlignment="1" applyProtection="1">
      <alignment horizontal="right"/>
    </xf>
    <xf numFmtId="0" fontId="75" fillId="48" borderId="0" xfId="0" applyFont="1" applyFill="1" applyBorder="1" applyAlignment="1" applyProtection="1">
      <alignment horizontal="left"/>
    </xf>
    <xf numFmtId="169" fontId="75" fillId="48" borderId="26" xfId="0" applyNumberFormat="1" applyFont="1" applyFill="1" applyBorder="1" applyAlignment="1" applyProtection="1">
      <alignment horizontal="right"/>
    </xf>
    <xf numFmtId="0" fontId="75" fillId="48" borderId="0" xfId="0" applyFont="1" applyFill="1" applyAlignment="1" applyProtection="1">
      <alignment horizontal="right"/>
    </xf>
    <xf numFmtId="0" fontId="4" fillId="48" borderId="28" xfId="0" applyFont="1" applyFill="1" applyBorder="1" applyAlignment="1" applyProtection="1">
      <alignment horizontal="left"/>
    </xf>
    <xf numFmtId="175" fontId="4" fillId="48" borderId="17" xfId="0" applyNumberFormat="1" applyFont="1" applyFill="1" applyBorder="1" applyProtection="1"/>
    <xf numFmtId="0" fontId="4" fillId="48" borderId="29" xfId="0" applyFont="1" applyFill="1" applyBorder="1"/>
    <xf numFmtId="176" fontId="51" fillId="48" borderId="28" xfId="0" applyNumberFormat="1" applyFont="1" applyFill="1" applyBorder="1" applyProtection="1"/>
    <xf numFmtId="176" fontId="51" fillId="48" borderId="17" xfId="0" applyNumberFormat="1" applyFont="1" applyFill="1" applyBorder="1" applyAlignment="1" applyProtection="1">
      <alignment horizontal="fill"/>
    </xf>
    <xf numFmtId="176" fontId="51" fillId="48" borderId="28" xfId="0" applyNumberFormat="1" applyFont="1" applyFill="1" applyBorder="1" applyAlignment="1" applyProtection="1">
      <alignment horizontal="fill"/>
    </xf>
    <xf numFmtId="0" fontId="51" fillId="48" borderId="29" xfId="0" applyFont="1" applyFill="1" applyBorder="1"/>
    <xf numFmtId="0" fontId="4" fillId="0" borderId="0" xfId="0" applyFont="1" applyAlignment="1" applyProtection="1">
      <alignment horizontal="left"/>
    </xf>
    <xf numFmtId="175" fontId="4" fillId="0" borderId="0" xfId="0" applyNumberFormat="1" applyFont="1" applyProtection="1"/>
    <xf numFmtId="176" fontId="51" fillId="48" borderId="23" xfId="0" applyNumberFormat="1" applyFont="1" applyFill="1" applyBorder="1" applyAlignment="1" applyProtection="1">
      <alignment horizontal="fill"/>
    </xf>
    <xf numFmtId="176" fontId="51" fillId="48" borderId="24" xfId="0" applyNumberFormat="1" applyFont="1" applyFill="1" applyBorder="1" applyAlignment="1" applyProtection="1">
      <alignment horizontal="fill"/>
    </xf>
    <xf numFmtId="176" fontId="51" fillId="48" borderId="25" xfId="0" applyNumberFormat="1" applyFont="1" applyFill="1" applyBorder="1" applyAlignment="1" applyProtection="1">
      <alignment horizontal="fill"/>
    </xf>
    <xf numFmtId="169" fontId="51" fillId="48" borderId="0" xfId="0" applyNumberFormat="1" applyFont="1" applyFill="1" applyBorder="1" applyAlignment="1" applyProtection="1">
      <alignment horizontal="left"/>
    </xf>
    <xf numFmtId="1" fontId="51" fillId="48" borderId="0" xfId="0" applyNumberFormat="1" applyFont="1" applyFill="1" applyBorder="1" applyAlignment="1" applyProtection="1">
      <alignment horizontal="center"/>
    </xf>
    <xf numFmtId="177" fontId="84" fillId="49" borderId="0" xfId="85" applyNumberFormat="1" applyFont="1" applyFill="1"/>
    <xf numFmtId="164" fontId="51" fillId="48" borderId="0" xfId="0" applyNumberFormat="1" applyFont="1" applyFill="1" applyBorder="1"/>
    <xf numFmtId="164" fontId="51" fillId="48" borderId="0" xfId="0" applyNumberFormat="1" applyFont="1" applyFill="1" applyBorder="1" applyProtection="1"/>
    <xf numFmtId="164" fontId="51" fillId="48" borderId="27" xfId="0" applyNumberFormat="1" applyFont="1" applyFill="1" applyBorder="1"/>
    <xf numFmtId="164" fontId="51" fillId="0" borderId="0" xfId="0" applyNumberFormat="1" applyFont="1" applyBorder="1" applyProtection="1"/>
    <xf numFmtId="170" fontId="4" fillId="0" borderId="0" xfId="0" applyNumberFormat="1" applyFont="1" applyProtection="1"/>
    <xf numFmtId="0" fontId="51" fillId="48" borderId="26" xfId="0" applyFont="1" applyFill="1" applyBorder="1"/>
    <xf numFmtId="0" fontId="51" fillId="48" borderId="0" xfId="0" applyFont="1" applyFill="1" applyBorder="1" applyAlignment="1" applyProtection="1">
      <alignment horizontal="left"/>
    </xf>
    <xf numFmtId="169" fontId="4" fillId="0" borderId="0" xfId="0" applyNumberFormat="1" applyFont="1" applyProtection="1"/>
    <xf numFmtId="177" fontId="4" fillId="0" borderId="0" xfId="89" applyNumberFormat="1" applyFont="1"/>
    <xf numFmtId="0" fontId="51" fillId="48" borderId="26" xfId="0" quotePrefix="1" applyFont="1" applyFill="1" applyBorder="1"/>
    <xf numFmtId="164" fontId="51" fillId="48" borderId="0" xfId="0" quotePrefix="1" applyNumberFormat="1" applyFont="1" applyFill="1" applyBorder="1"/>
    <xf numFmtId="0" fontId="75" fillId="48" borderId="26" xfId="0" applyFont="1" applyFill="1" applyBorder="1" applyAlignment="1">
      <alignment horizontal="right"/>
    </xf>
    <xf numFmtId="0" fontId="51" fillId="48" borderId="26" xfId="0" applyFont="1" applyFill="1" applyBorder="1" applyAlignment="1">
      <alignment horizontal="left"/>
    </xf>
    <xf numFmtId="169" fontId="51" fillId="48" borderId="0" xfId="0" applyNumberFormat="1" applyFont="1" applyFill="1" applyBorder="1" applyAlignment="1" applyProtection="1">
      <alignment horizontal="center"/>
    </xf>
    <xf numFmtId="0" fontId="86" fillId="48" borderId="26" xfId="0" applyFont="1" applyFill="1" applyBorder="1"/>
    <xf numFmtId="3" fontId="51" fillId="48" borderId="0" xfId="0" applyNumberFormat="1" applyFont="1" applyFill="1" applyBorder="1" applyProtection="1"/>
    <xf numFmtId="3" fontId="51" fillId="48" borderId="0" xfId="0" applyNumberFormat="1" applyFont="1" applyFill="1" applyBorder="1"/>
    <xf numFmtId="3" fontId="51" fillId="48" borderId="27" xfId="0" applyNumberFormat="1" applyFont="1" applyFill="1" applyBorder="1"/>
    <xf numFmtId="0" fontId="75" fillId="48" borderId="28" xfId="0" quotePrefix="1" applyFont="1" applyFill="1" applyBorder="1" applyAlignment="1"/>
    <xf numFmtId="0" fontId="51" fillId="48" borderId="17" xfId="0" applyFont="1" applyFill="1" applyBorder="1" applyAlignment="1" applyProtection="1">
      <alignment horizontal="left"/>
    </xf>
    <xf numFmtId="169" fontId="51" fillId="48" borderId="17" xfId="0" applyNumberFormat="1" applyFont="1" applyFill="1" applyBorder="1" applyAlignment="1" applyProtection="1">
      <alignment horizontal="center"/>
    </xf>
    <xf numFmtId="3" fontId="51" fillId="48" borderId="17" xfId="0" applyNumberFormat="1" applyFont="1" applyFill="1" applyBorder="1" applyProtection="1"/>
    <xf numFmtId="3" fontId="51" fillId="48" borderId="17" xfId="0" applyNumberFormat="1" applyFont="1" applyFill="1" applyBorder="1"/>
    <xf numFmtId="3" fontId="51" fillId="48" borderId="29" xfId="0" applyNumberFormat="1" applyFont="1" applyFill="1" applyBorder="1"/>
    <xf numFmtId="3" fontId="51" fillId="48" borderId="17" xfId="0" quotePrefix="1" applyNumberFormat="1" applyFont="1" applyFill="1" applyBorder="1"/>
    <xf numFmtId="0" fontId="9" fillId="0" borderId="0" xfId="0" applyFont="1" applyBorder="1" applyAlignment="1">
      <alignment horizontal="right"/>
    </xf>
    <xf numFmtId="0" fontId="4" fillId="0" borderId="0" xfId="0" applyFont="1" applyBorder="1" applyAlignment="1" applyProtection="1">
      <alignment horizontal="left"/>
    </xf>
    <xf numFmtId="169" fontId="4" fillId="0" borderId="0" xfId="0" applyNumberFormat="1" applyFont="1" applyBorder="1" applyAlignment="1" applyProtection="1">
      <alignment horizontal="center"/>
    </xf>
    <xf numFmtId="3" fontId="4" fillId="0" borderId="0" xfId="0" applyNumberFormat="1" applyFont="1" applyBorder="1" applyProtection="1"/>
    <xf numFmtId="3" fontId="4" fillId="0" borderId="0" xfId="0" applyNumberFormat="1" applyFont="1" applyBorder="1"/>
    <xf numFmtId="0" fontId="4" fillId="48" borderId="23" xfId="0" applyFont="1" applyFill="1" applyBorder="1"/>
    <xf numFmtId="0" fontId="4" fillId="48" borderId="24" xfId="0" applyFont="1" applyFill="1" applyBorder="1" applyAlignment="1" applyProtection="1">
      <alignment horizontal="left"/>
    </xf>
    <xf numFmtId="1" fontId="4" fillId="48" borderId="24" xfId="0" applyNumberFormat="1" applyFont="1" applyFill="1" applyBorder="1" applyAlignment="1" applyProtection="1">
      <alignment horizontal="center"/>
    </xf>
    <xf numFmtId="3" fontId="4" fillId="48" borderId="24" xfId="0" applyNumberFormat="1" applyFont="1" applyFill="1" applyBorder="1" applyProtection="1"/>
    <xf numFmtId="3" fontId="4" fillId="48" borderId="24" xfId="0" applyNumberFormat="1" applyFont="1" applyFill="1" applyBorder="1"/>
    <xf numFmtId="3" fontId="4" fillId="48" borderId="25" xfId="0" applyNumberFormat="1" applyFont="1" applyFill="1" applyBorder="1" applyProtection="1"/>
    <xf numFmtId="3" fontId="4" fillId="0" borderId="0" xfId="0" applyNumberFormat="1" applyFont="1" applyBorder="1" applyAlignment="1" applyProtection="1"/>
    <xf numFmtId="0" fontId="4" fillId="48" borderId="0" xfId="0" applyFont="1" applyFill="1" applyBorder="1" applyAlignment="1" applyProtection="1">
      <alignment horizontal="left"/>
    </xf>
    <xf numFmtId="1" fontId="4" fillId="48" borderId="0" xfId="0" applyNumberFormat="1" applyFont="1" applyFill="1" applyBorder="1" applyAlignment="1" applyProtection="1">
      <alignment horizontal="center"/>
    </xf>
    <xf numFmtId="3" fontId="4" fillId="48" borderId="0" xfId="0" applyNumberFormat="1" applyFont="1" applyFill="1" applyBorder="1" applyProtection="1"/>
    <xf numFmtId="3" fontId="4" fillId="48" borderId="0" xfId="0" applyNumberFormat="1" applyFont="1" applyFill="1" applyBorder="1"/>
    <xf numFmtId="3" fontId="4" fillId="48" borderId="27" xfId="0" applyNumberFormat="1" applyFont="1" applyFill="1" applyBorder="1" applyProtection="1"/>
    <xf numFmtId="164" fontId="4" fillId="48" borderId="0" xfId="0" applyNumberFormat="1" applyFont="1" applyFill="1" applyBorder="1" applyProtection="1"/>
    <xf numFmtId="0" fontId="87" fillId="48" borderId="0" xfId="0" applyFont="1" applyFill="1" applyBorder="1"/>
    <xf numFmtId="0" fontId="87" fillId="48" borderId="27" xfId="0" applyFont="1" applyFill="1" applyBorder="1"/>
    <xf numFmtId="0" fontId="4" fillId="48" borderId="26" xfId="0" applyFont="1" applyFill="1" applyBorder="1" applyAlignment="1" applyProtection="1">
      <alignment horizontal="left"/>
    </xf>
    <xf numFmtId="0" fontId="4" fillId="48" borderId="17" xfId="0" applyFont="1" applyFill="1" applyBorder="1"/>
    <xf numFmtId="164" fontId="4" fillId="48" borderId="17" xfId="0" applyNumberFormat="1" applyFont="1" applyFill="1" applyBorder="1" applyProtection="1"/>
    <xf numFmtId="0" fontId="87" fillId="48" borderId="17" xfId="0" applyFont="1" applyFill="1" applyBorder="1"/>
    <xf numFmtId="3" fontId="4" fillId="48" borderId="29" xfId="0" applyNumberFormat="1" applyFont="1" applyFill="1" applyBorder="1" applyProtection="1"/>
    <xf numFmtId="0" fontId="5" fillId="0" borderId="0" xfId="0" applyFont="1" applyBorder="1" applyAlignment="1" applyProtection="1">
      <alignment horizontal="left"/>
    </xf>
    <xf numFmtId="0" fontId="51" fillId="41" borderId="0" xfId="0" applyFont="1" applyFill="1"/>
    <xf numFmtId="0" fontId="88" fillId="28" borderId="68" xfId="0" applyFont="1" applyFill="1" applyBorder="1" applyAlignment="1" applyProtection="1">
      <alignment horizontal="left"/>
    </xf>
    <xf numFmtId="0" fontId="75" fillId="28" borderId="69" xfId="0" applyFont="1" applyFill="1" applyBorder="1" applyAlignment="1">
      <alignment horizontal="centerContinuous"/>
    </xf>
    <xf numFmtId="0" fontId="75" fillId="28" borderId="69" xfId="0" applyFont="1" applyFill="1" applyBorder="1" applyAlignment="1" applyProtection="1">
      <alignment horizontal="centerContinuous"/>
    </xf>
    <xf numFmtId="0" fontId="75" fillId="28" borderId="69" xfId="0" quotePrefix="1" applyFont="1" applyFill="1" applyBorder="1" applyAlignment="1" applyProtection="1">
      <alignment horizontal="centerContinuous"/>
    </xf>
    <xf numFmtId="0" fontId="75" fillId="28" borderId="70" xfId="0" applyFont="1" applyFill="1" applyBorder="1" applyAlignment="1">
      <alignment horizontal="centerContinuous"/>
    </xf>
    <xf numFmtId="0" fontId="51" fillId="41" borderId="0" xfId="0" applyFont="1" applyFill="1" applyAlignment="1" applyProtection="1">
      <alignment horizontal="left"/>
    </xf>
    <xf numFmtId="0" fontId="51" fillId="41" borderId="0" xfId="0" applyFont="1" applyFill="1" applyProtection="1"/>
    <xf numFmtId="0" fontId="89" fillId="41" borderId="0" xfId="0" applyFont="1" applyFill="1"/>
    <xf numFmtId="0" fontId="89" fillId="0" borderId="0" xfId="0" applyFont="1"/>
    <xf numFmtId="0" fontId="75" fillId="41" borderId="0" xfId="0" applyFont="1" applyFill="1"/>
    <xf numFmtId="0" fontId="88" fillId="28" borderId="38" xfId="0" quotePrefix="1" applyFont="1" applyFill="1" applyBorder="1" applyAlignment="1" applyProtection="1">
      <alignment horizontal="left"/>
    </xf>
    <xf numFmtId="0" fontId="75" fillId="28" borderId="48" xfId="0" applyFont="1" applyFill="1" applyBorder="1" applyAlignment="1">
      <alignment horizontal="centerContinuous"/>
    </xf>
    <xf numFmtId="0" fontId="75" fillId="28" borderId="48" xfId="0" applyFont="1" applyFill="1" applyBorder="1" applyAlignment="1" applyProtection="1">
      <alignment horizontal="centerContinuous"/>
    </xf>
    <xf numFmtId="0" fontId="75" fillId="28" borderId="48" xfId="0" quotePrefix="1" applyFont="1" applyFill="1" applyBorder="1" applyAlignment="1" applyProtection="1">
      <alignment horizontal="centerContinuous"/>
    </xf>
    <xf numFmtId="0" fontId="75" fillId="28" borderId="35" xfId="0" applyFont="1" applyFill="1" applyBorder="1" applyAlignment="1">
      <alignment horizontal="centerContinuous"/>
    </xf>
    <xf numFmtId="0" fontId="75" fillId="50" borderId="23" xfId="0" applyFont="1" applyFill="1" applyBorder="1" applyAlignment="1" applyProtection="1">
      <alignment horizontal="left"/>
    </xf>
    <xf numFmtId="0" fontId="75" fillId="50" borderId="24" xfId="0" applyFont="1" applyFill="1" applyBorder="1" applyAlignment="1">
      <alignment horizontal="centerContinuous"/>
    </xf>
    <xf numFmtId="0" fontId="75" fillId="50" borderId="24" xfId="0" applyFont="1" applyFill="1" applyBorder="1" applyAlignment="1" applyProtection="1">
      <alignment horizontal="centerContinuous"/>
    </xf>
    <xf numFmtId="0" fontId="75" fillId="50" borderId="24" xfId="0" quotePrefix="1" applyFont="1" applyFill="1" applyBorder="1" applyAlignment="1" applyProtection="1">
      <alignment horizontal="centerContinuous"/>
    </xf>
    <xf numFmtId="0" fontId="75" fillId="50" borderId="25" xfId="0" applyFont="1" applyFill="1" applyBorder="1" applyAlignment="1">
      <alignment horizontal="centerContinuous"/>
    </xf>
    <xf numFmtId="0" fontId="75" fillId="50" borderId="26" xfId="0" applyFont="1" applyFill="1" applyBorder="1" applyAlignment="1" applyProtection="1">
      <alignment horizontal="left"/>
    </xf>
    <xf numFmtId="0" fontId="75" fillId="50" borderId="0" xfId="0" applyFont="1" applyFill="1" applyBorder="1" applyAlignment="1">
      <alignment horizontal="centerContinuous"/>
    </xf>
    <xf numFmtId="0" fontId="75" fillId="50" borderId="0" xfId="0" applyFont="1" applyFill="1" applyBorder="1" applyAlignment="1" applyProtection="1">
      <alignment horizontal="centerContinuous"/>
    </xf>
    <xf numFmtId="0" fontId="75" fillId="50" borderId="0" xfId="0" quotePrefix="1" applyFont="1" applyFill="1" applyBorder="1" applyAlignment="1" applyProtection="1">
      <alignment horizontal="centerContinuous"/>
    </xf>
    <xf numFmtId="0" fontId="75" fillId="50" borderId="27" xfId="0" applyFont="1" applyFill="1" applyBorder="1" applyAlignment="1">
      <alignment horizontal="centerContinuous"/>
    </xf>
    <xf numFmtId="0" fontId="51" fillId="50" borderId="26" xfId="0" applyFont="1" applyFill="1" applyBorder="1" applyAlignment="1" applyProtection="1"/>
    <xf numFmtId="0" fontId="51" fillId="50" borderId="26" xfId="0" applyFont="1" applyFill="1" applyBorder="1"/>
    <xf numFmtId="0" fontId="75" fillId="50" borderId="0" xfId="0" applyFont="1" applyFill="1" applyBorder="1"/>
    <xf numFmtId="0" fontId="75" fillId="50" borderId="27" xfId="0" applyFont="1" applyFill="1" applyBorder="1"/>
    <xf numFmtId="0" fontId="5" fillId="41" borderId="0" xfId="0" applyFont="1" applyFill="1" applyAlignment="1" applyProtection="1">
      <alignment horizontal="right"/>
    </xf>
    <xf numFmtId="0" fontId="51" fillId="50" borderId="28" xfId="0" applyFont="1" applyFill="1" applyBorder="1"/>
    <xf numFmtId="0" fontId="75" fillId="50" borderId="17" xfId="0" applyFont="1" applyFill="1" applyBorder="1"/>
    <xf numFmtId="0" fontId="75" fillId="50" borderId="29" xfId="0" applyFont="1" applyFill="1" applyBorder="1"/>
    <xf numFmtId="0" fontId="4" fillId="48" borderId="71" xfId="0" applyFont="1" applyFill="1" applyBorder="1" applyAlignment="1" applyProtection="1"/>
    <xf numFmtId="0" fontId="4" fillId="48" borderId="72" xfId="0" applyFont="1" applyFill="1" applyBorder="1" applyAlignment="1" applyProtection="1">
      <alignment horizontal="left"/>
    </xf>
    <xf numFmtId="0" fontId="4" fillId="48" borderId="72" xfId="0" applyFont="1" applyFill="1" applyBorder="1"/>
    <xf numFmtId="0" fontId="4" fillId="48" borderId="73" xfId="0" applyFont="1" applyFill="1" applyBorder="1"/>
    <xf numFmtId="0" fontId="5" fillId="48" borderId="23" xfId="0" applyFont="1" applyFill="1" applyBorder="1" applyAlignment="1" applyProtection="1">
      <alignment horizontal="right"/>
    </xf>
    <xf numFmtId="0" fontId="5" fillId="48" borderId="24" xfId="0" applyFont="1" applyFill="1" applyBorder="1" applyAlignment="1" applyProtection="1">
      <alignment horizontal="right"/>
    </xf>
    <xf numFmtId="0" fontId="5" fillId="48" borderId="25" xfId="0" applyFont="1" applyFill="1" applyBorder="1" applyAlignment="1" applyProtection="1">
      <alignment horizontal="right"/>
    </xf>
    <xf numFmtId="0" fontId="9" fillId="41" borderId="0" xfId="0" applyFont="1" applyFill="1"/>
    <xf numFmtId="0" fontId="4" fillId="48" borderId="0" xfId="0" applyFont="1" applyFill="1" applyBorder="1" applyAlignment="1" applyProtection="1">
      <alignment horizontal="center"/>
    </xf>
    <xf numFmtId="0" fontId="4" fillId="41" borderId="0" xfId="0" applyFont="1" applyFill="1"/>
    <xf numFmtId="0" fontId="83" fillId="41" borderId="0" xfId="0" applyFont="1" applyFill="1"/>
    <xf numFmtId="0" fontId="83" fillId="0" borderId="0" xfId="0" applyFont="1"/>
    <xf numFmtId="2" fontId="4" fillId="48" borderId="0" xfId="0" applyNumberFormat="1" applyFont="1" applyFill="1" applyBorder="1"/>
    <xf numFmtId="10" fontId="4" fillId="48" borderId="0" xfId="0" applyNumberFormat="1" applyFont="1" applyFill="1" applyBorder="1"/>
    <xf numFmtId="170" fontId="4" fillId="48" borderId="0" xfId="0" applyNumberFormat="1" applyFont="1" applyFill="1" applyBorder="1" applyAlignment="1" applyProtection="1">
      <alignment horizontal="left"/>
    </xf>
    <xf numFmtId="170" fontId="4" fillId="48" borderId="0" xfId="0" applyNumberFormat="1" applyFont="1" applyFill="1" applyBorder="1" applyProtection="1"/>
    <xf numFmtId="0" fontId="4" fillId="48" borderId="27" xfId="0" applyFont="1" applyFill="1" applyBorder="1" applyAlignment="1" applyProtection="1">
      <alignment horizontal="left"/>
    </xf>
    <xf numFmtId="0" fontId="4" fillId="41" borderId="0" xfId="0" applyFont="1" applyFill="1" applyAlignment="1">
      <alignment horizontal="right"/>
    </xf>
    <xf numFmtId="0" fontId="4" fillId="48" borderId="28" xfId="0" applyFont="1" applyFill="1" applyBorder="1"/>
    <xf numFmtId="0" fontId="4" fillId="48" borderId="17" xfId="0" applyFont="1" applyFill="1" applyBorder="1" applyProtection="1"/>
    <xf numFmtId="0" fontId="4" fillId="48" borderId="17" xfId="0" applyFont="1" applyFill="1" applyBorder="1" applyAlignment="1" applyProtection="1">
      <alignment horizontal="left"/>
    </xf>
    <xf numFmtId="170" fontId="4" fillId="48" borderId="17" xfId="0" applyNumberFormat="1" applyFont="1" applyFill="1" applyBorder="1" applyProtection="1"/>
    <xf numFmtId="10" fontId="4" fillId="48" borderId="17" xfId="0" applyNumberFormat="1" applyFont="1" applyFill="1" applyBorder="1"/>
    <xf numFmtId="2" fontId="4" fillId="48" borderId="17" xfId="0" applyNumberFormat="1" applyFont="1" applyFill="1" applyBorder="1"/>
    <xf numFmtId="165" fontId="4" fillId="48" borderId="17" xfId="0" applyNumberFormat="1" applyFont="1" applyFill="1" applyBorder="1"/>
    <xf numFmtId="170" fontId="4" fillId="48" borderId="17" xfId="0" applyNumberFormat="1" applyFont="1" applyFill="1" applyBorder="1" applyAlignment="1" applyProtection="1">
      <alignment horizontal="left"/>
    </xf>
    <xf numFmtId="176" fontId="9" fillId="41" borderId="74" xfId="0" applyNumberFormat="1" applyFont="1" applyFill="1" applyBorder="1" applyAlignment="1" applyProtection="1">
      <alignment horizontal="left"/>
    </xf>
    <xf numFmtId="176" fontId="9" fillId="41" borderId="74" xfId="0" applyNumberFormat="1" applyFont="1" applyFill="1" applyBorder="1" applyProtection="1"/>
    <xf numFmtId="0" fontId="9" fillId="41" borderId="74" xfId="0" applyFont="1" applyFill="1" applyBorder="1"/>
    <xf numFmtId="176" fontId="51" fillId="41" borderId="0" xfId="0" applyNumberFormat="1" applyFont="1" applyFill="1" applyBorder="1" applyAlignment="1" applyProtection="1">
      <alignment horizontal="fill"/>
    </xf>
    <xf numFmtId="176" fontId="51" fillId="41" borderId="0" xfId="0" applyNumberFormat="1" applyFont="1" applyFill="1" applyBorder="1" applyAlignment="1" applyProtection="1">
      <alignment horizontal="center"/>
    </xf>
    <xf numFmtId="0" fontId="4" fillId="48" borderId="28" xfId="0" applyFont="1" applyFill="1" applyBorder="1" applyAlignment="1" applyProtection="1">
      <alignment horizontal="center"/>
    </xf>
    <xf numFmtId="176" fontId="51" fillId="28" borderId="26" xfId="0" applyNumberFormat="1" applyFont="1" applyFill="1" applyBorder="1" applyProtection="1"/>
    <xf numFmtId="0" fontId="75" fillId="28" borderId="0" xfId="0" applyFont="1" applyFill="1" applyBorder="1"/>
    <xf numFmtId="169" fontId="75" fillId="28" borderId="0" xfId="0" applyNumberFormat="1" applyFont="1" applyFill="1" applyBorder="1" applyAlignment="1" applyProtection="1">
      <alignment horizontal="right"/>
    </xf>
    <xf numFmtId="0" fontId="75" fillId="28" borderId="0" xfId="0" applyFont="1" applyFill="1" applyBorder="1" applyAlignment="1" applyProtection="1">
      <alignment horizontal="left"/>
    </xf>
    <xf numFmtId="169" fontId="75" fillId="28" borderId="26" xfId="0" applyNumberFormat="1" applyFont="1" applyFill="1" applyBorder="1" applyAlignment="1" applyProtection="1">
      <alignment horizontal="right"/>
    </xf>
    <xf numFmtId="0" fontId="75" fillId="28" borderId="0" xfId="0" applyFont="1" applyFill="1" applyBorder="1" applyAlignment="1" applyProtection="1">
      <alignment horizontal="right"/>
    </xf>
    <xf numFmtId="0" fontId="51" fillId="28" borderId="27" xfId="0" applyFont="1" applyFill="1" applyBorder="1"/>
    <xf numFmtId="176" fontId="51" fillId="28" borderId="28" xfId="0" applyNumberFormat="1" applyFont="1" applyFill="1" applyBorder="1" applyProtection="1"/>
    <xf numFmtId="176" fontId="51" fillId="28" borderId="17" xfId="0" applyNumberFormat="1" applyFont="1" applyFill="1" applyBorder="1" applyAlignment="1" applyProtection="1">
      <alignment horizontal="fill"/>
    </xf>
    <xf numFmtId="176" fontId="51" fillId="28" borderId="28" xfId="0" applyNumberFormat="1" applyFont="1" applyFill="1" applyBorder="1" applyAlignment="1" applyProtection="1">
      <alignment horizontal="fill"/>
    </xf>
    <xf numFmtId="0" fontId="51" fillId="28" borderId="29" xfId="0" applyFont="1" applyFill="1" applyBorder="1"/>
    <xf numFmtId="170" fontId="51" fillId="41" borderId="0" xfId="0" applyNumberFormat="1" applyFont="1" applyFill="1" applyProtection="1"/>
    <xf numFmtId="169" fontId="22" fillId="48" borderId="0" xfId="0" quotePrefix="1" applyNumberFormat="1" applyFont="1" applyFill="1" applyBorder="1" applyAlignment="1" applyProtection="1">
      <alignment horizontal="left"/>
    </xf>
    <xf numFmtId="169" fontId="22" fillId="48" borderId="0" xfId="0" applyNumberFormat="1" applyFont="1" applyFill="1" applyBorder="1" applyAlignment="1" applyProtection="1">
      <alignment horizontal="left"/>
    </xf>
    <xf numFmtId="0" fontId="22" fillId="48" borderId="0" xfId="0" applyFont="1" applyFill="1" applyBorder="1"/>
    <xf numFmtId="3" fontId="22" fillId="48" borderId="0" xfId="0" applyNumberFormat="1" applyFont="1" applyFill="1" applyBorder="1" applyProtection="1"/>
    <xf numFmtId="3" fontId="22" fillId="48" borderId="0" xfId="0" applyNumberFormat="1" applyFont="1" applyFill="1" applyBorder="1"/>
    <xf numFmtId="3" fontId="22" fillId="48" borderId="26" xfId="0" applyNumberFormat="1" applyFont="1" applyFill="1" applyBorder="1"/>
    <xf numFmtId="0" fontId="22" fillId="48" borderId="0" xfId="0" applyFont="1" applyFill="1" applyBorder="1" applyAlignment="1" applyProtection="1">
      <alignment horizontal="left"/>
    </xf>
    <xf numFmtId="3" fontId="51" fillId="41" borderId="0" xfId="0" applyNumberFormat="1" applyFont="1" applyFill="1" applyBorder="1" applyProtection="1"/>
    <xf numFmtId="169" fontId="51" fillId="41" borderId="0" xfId="0" applyNumberFormat="1" applyFont="1" applyFill="1" applyProtection="1"/>
    <xf numFmtId="0" fontId="22" fillId="48" borderId="18" xfId="0" applyFont="1" applyFill="1" applyBorder="1" applyAlignment="1" applyProtection="1">
      <alignment horizontal="left"/>
    </xf>
    <xf numFmtId="0" fontId="22" fillId="48" borderId="18" xfId="0" applyFont="1" applyFill="1" applyBorder="1"/>
    <xf numFmtId="3" fontId="22" fillId="48" borderId="18" xfId="0" applyNumberFormat="1" applyFont="1" applyFill="1" applyBorder="1" applyProtection="1"/>
    <xf numFmtId="3" fontId="22" fillId="48" borderId="18" xfId="0" applyNumberFormat="1" applyFont="1" applyFill="1" applyBorder="1"/>
    <xf numFmtId="3" fontId="22" fillId="48" borderId="76" xfId="0" applyNumberFormat="1" applyFont="1" applyFill="1" applyBorder="1"/>
    <xf numFmtId="3" fontId="22" fillId="48" borderId="27" xfId="0" applyNumberFormat="1" applyFont="1" applyFill="1" applyBorder="1"/>
    <xf numFmtId="0" fontId="51" fillId="48" borderId="28" xfId="0" applyFont="1" applyFill="1" applyBorder="1" applyAlignment="1">
      <alignment horizontal="right"/>
    </xf>
    <xf numFmtId="0" fontId="51" fillId="48" borderId="17" xfId="0" applyFont="1" applyFill="1" applyBorder="1"/>
    <xf numFmtId="3" fontId="51" fillId="48" borderId="28" xfId="0" applyNumberFormat="1" applyFont="1" applyFill="1" applyBorder="1"/>
    <xf numFmtId="3" fontId="51" fillId="48" borderId="17" xfId="0" applyNumberFormat="1" applyFont="1" applyFill="1" applyBorder="1" applyAlignment="1" applyProtection="1"/>
    <xf numFmtId="0" fontId="51" fillId="41" borderId="0" xfId="0" applyFont="1" applyFill="1" applyBorder="1"/>
    <xf numFmtId="0" fontId="90" fillId="32" borderId="20" xfId="0" applyFont="1" applyFill="1" applyBorder="1"/>
    <xf numFmtId="0" fontId="51" fillId="32" borderId="3" xfId="0" applyFont="1" applyFill="1" applyBorder="1"/>
    <xf numFmtId="0" fontId="91" fillId="31" borderId="3" xfId="0" applyFont="1" applyFill="1" applyBorder="1"/>
    <xf numFmtId="0" fontId="92" fillId="31" borderId="54" xfId="0" applyFont="1" applyFill="1" applyBorder="1" applyAlignment="1">
      <alignment horizontal="right"/>
    </xf>
    <xf numFmtId="0" fontId="93" fillId="41" borderId="0" xfId="0" applyFont="1" applyFill="1"/>
    <xf numFmtId="0" fontId="94" fillId="28" borderId="38" xfId="0" quotePrefix="1" applyFont="1" applyFill="1" applyBorder="1" applyAlignment="1" applyProtection="1">
      <alignment horizontal="left"/>
    </xf>
    <xf numFmtId="0" fontId="95" fillId="28" borderId="48" xfId="0" applyFont="1" applyFill="1" applyBorder="1" applyAlignment="1">
      <alignment horizontal="centerContinuous"/>
    </xf>
    <xf numFmtId="0" fontId="95" fillId="28" borderId="48" xfId="0" applyFont="1" applyFill="1" applyBorder="1" applyAlignment="1" applyProtection="1">
      <alignment horizontal="centerContinuous"/>
    </xf>
    <xf numFmtId="0" fontId="95" fillId="28" borderId="48" xfId="0" quotePrefix="1" applyFont="1" applyFill="1" applyBorder="1" applyAlignment="1" applyProtection="1">
      <alignment horizontal="centerContinuous"/>
    </xf>
    <xf numFmtId="0" fontId="95" fillId="28" borderId="35" xfId="0" applyFont="1" applyFill="1" applyBorder="1" applyAlignment="1">
      <alignment horizontal="centerContinuous"/>
    </xf>
    <xf numFmtId="0" fontId="89" fillId="41" borderId="0" xfId="0" applyFont="1" applyFill="1" applyAlignment="1" applyProtection="1">
      <alignment horizontal="left"/>
    </xf>
    <xf numFmtId="0" fontId="89" fillId="41" borderId="0" xfId="0" applyFont="1" applyFill="1" applyProtection="1"/>
    <xf numFmtId="0" fontId="51" fillId="50" borderId="26" xfId="0" applyFont="1" applyFill="1" applyBorder="1" applyAlignment="1" applyProtection="1">
      <alignment horizontal="left"/>
    </xf>
    <xf numFmtId="0" fontId="51" fillId="50" borderId="0" xfId="0" applyFont="1" applyFill="1" applyBorder="1"/>
    <xf numFmtId="0" fontId="51" fillId="50" borderId="27" xfId="0" applyFont="1" applyFill="1" applyBorder="1"/>
    <xf numFmtId="0" fontId="82" fillId="48" borderId="23" xfId="0" applyFont="1" applyFill="1" applyBorder="1" applyAlignment="1" applyProtection="1">
      <alignment horizontal="right"/>
    </xf>
    <xf numFmtId="0" fontId="82" fillId="48" borderId="24" xfId="0" applyFont="1" applyFill="1" applyBorder="1" applyAlignment="1" applyProtection="1">
      <alignment horizontal="right"/>
    </xf>
    <xf numFmtId="0" fontId="82" fillId="48" borderId="25" xfId="0" applyFont="1" applyFill="1" applyBorder="1" applyAlignment="1" applyProtection="1">
      <alignment horizontal="right"/>
    </xf>
    <xf numFmtId="0" fontId="83" fillId="48" borderId="23" xfId="0" applyFont="1" applyFill="1" applyBorder="1"/>
    <xf numFmtId="0" fontId="83" fillId="48" borderId="24" xfId="0" applyFont="1" applyFill="1" applyBorder="1"/>
    <xf numFmtId="0" fontId="83" fillId="48" borderId="24" xfId="0" applyFont="1" applyFill="1" applyBorder="1" applyAlignment="1" applyProtection="1">
      <alignment horizontal="left"/>
    </xf>
    <xf numFmtId="0" fontId="83" fillId="48" borderId="71" xfId="0" applyFont="1" applyFill="1" applyBorder="1" applyAlignment="1" applyProtection="1">
      <alignment horizontal="left"/>
    </xf>
    <xf numFmtId="0" fontId="83" fillId="48" borderId="72" xfId="0" applyFont="1" applyFill="1" applyBorder="1" applyAlignment="1" applyProtection="1">
      <alignment horizontal="left"/>
    </xf>
    <xf numFmtId="0" fontId="83" fillId="48" borderId="72" xfId="0" applyFont="1" applyFill="1" applyBorder="1"/>
    <xf numFmtId="0" fontId="83" fillId="48" borderId="73" xfId="0" applyFont="1" applyFill="1" applyBorder="1"/>
    <xf numFmtId="0" fontId="83" fillId="48" borderId="26" xfId="0" applyFont="1" applyFill="1" applyBorder="1"/>
    <xf numFmtId="0" fontId="83" fillId="48" borderId="0" xfId="0" applyFont="1" applyFill="1" applyBorder="1"/>
    <xf numFmtId="0" fontId="83" fillId="48" borderId="27" xfId="0" applyFont="1" applyFill="1" applyBorder="1"/>
    <xf numFmtId="0" fontId="83" fillId="48" borderId="0" xfId="0" applyFont="1" applyFill="1" applyBorder="1" applyProtection="1"/>
    <xf numFmtId="0" fontId="83" fillId="48" borderId="0" xfId="0" applyFont="1" applyFill="1" applyBorder="1" applyAlignment="1" applyProtection="1">
      <alignment horizontal="right"/>
    </xf>
    <xf numFmtId="0" fontId="96" fillId="41" borderId="0" xfId="0" applyFont="1" applyFill="1" applyAlignment="1">
      <alignment horizontal="right"/>
    </xf>
    <xf numFmtId="0" fontId="83" fillId="48" borderId="26" xfId="0" applyFont="1" applyFill="1" applyBorder="1" applyProtection="1"/>
    <xf numFmtId="175" fontId="83" fillId="48" borderId="0" xfId="0" applyNumberFormat="1" applyFont="1" applyFill="1" applyBorder="1" applyProtection="1"/>
    <xf numFmtId="175" fontId="83" fillId="48" borderId="27" xfId="0" applyNumberFormat="1" applyFont="1" applyFill="1" applyBorder="1" applyProtection="1"/>
    <xf numFmtId="0" fontId="83" fillId="48" borderId="0" xfId="0" applyFont="1" applyFill="1" applyBorder="1" applyAlignment="1" applyProtection="1">
      <alignment horizontal="left"/>
    </xf>
    <xf numFmtId="170" fontId="83" fillId="48" borderId="0" xfId="0" applyNumberFormat="1" applyFont="1" applyFill="1" applyBorder="1" applyProtection="1"/>
    <xf numFmtId="170" fontId="83" fillId="48" borderId="0" xfId="0" applyNumberFormat="1" applyFont="1" applyFill="1" applyBorder="1" applyAlignment="1" applyProtection="1">
      <alignment horizontal="left"/>
    </xf>
    <xf numFmtId="0" fontId="83" fillId="48" borderId="27" xfId="0" applyFont="1" applyFill="1" applyBorder="1" applyAlignment="1" applyProtection="1">
      <alignment horizontal="left"/>
    </xf>
    <xf numFmtId="10" fontId="83" fillId="48" borderId="0" xfId="0" applyNumberFormat="1" applyFont="1" applyFill="1" applyBorder="1"/>
    <xf numFmtId="2" fontId="83" fillId="48" borderId="0" xfId="0" applyNumberFormat="1" applyFont="1" applyFill="1" applyBorder="1"/>
    <xf numFmtId="0" fontId="83" fillId="48" borderId="28" xfId="0" applyFont="1" applyFill="1" applyBorder="1"/>
    <xf numFmtId="0" fontId="83" fillId="48" borderId="17" xfId="0" applyFont="1" applyFill="1" applyBorder="1" applyProtection="1"/>
    <xf numFmtId="0" fontId="83" fillId="48" borderId="17" xfId="0" applyFont="1" applyFill="1" applyBorder="1"/>
    <xf numFmtId="0" fontId="83" fillId="48" borderId="17" xfId="0" applyFont="1" applyFill="1" applyBorder="1" applyAlignment="1" applyProtection="1">
      <alignment horizontal="left"/>
    </xf>
    <xf numFmtId="170" fontId="83" fillId="48" borderId="17" xfId="0" applyNumberFormat="1" applyFont="1" applyFill="1" applyBorder="1" applyProtection="1"/>
    <xf numFmtId="10" fontId="83" fillId="48" borderId="17" xfId="0" applyNumberFormat="1" applyFont="1" applyFill="1" applyBorder="1"/>
    <xf numFmtId="2" fontId="83" fillId="48" borderId="17" xfId="0" applyNumberFormat="1" applyFont="1" applyFill="1" applyBorder="1"/>
    <xf numFmtId="170" fontId="83" fillId="48" borderId="17" xfId="0" applyNumberFormat="1" applyFont="1" applyFill="1" applyBorder="1" applyAlignment="1" applyProtection="1">
      <alignment horizontal="left"/>
    </xf>
    <xf numFmtId="0" fontId="83" fillId="48" borderId="29" xfId="0" applyFont="1" applyFill="1" applyBorder="1" applyAlignment="1" applyProtection="1">
      <alignment horizontal="left"/>
    </xf>
    <xf numFmtId="176" fontId="96" fillId="41" borderId="24" xfId="0" applyNumberFormat="1" applyFont="1" applyFill="1" applyBorder="1" applyAlignment="1" applyProtection="1">
      <alignment horizontal="left"/>
    </xf>
    <xf numFmtId="176" fontId="96" fillId="41" borderId="24" xfId="0" applyNumberFormat="1" applyFont="1" applyFill="1" applyBorder="1" applyProtection="1"/>
    <xf numFmtId="0" fontId="96" fillId="41" borderId="24" xfId="0" applyFont="1" applyFill="1" applyBorder="1"/>
    <xf numFmtId="0" fontId="83" fillId="48" borderId="28" xfId="0" applyFont="1" applyFill="1" applyBorder="1" applyAlignment="1" applyProtection="1">
      <alignment horizontal="right"/>
    </xf>
    <xf numFmtId="175" fontId="83" fillId="48" borderId="17" xfId="0" applyNumberFormat="1" applyFont="1" applyFill="1" applyBorder="1" applyProtection="1"/>
    <xf numFmtId="0" fontId="83" fillId="48" borderId="29" xfId="0" applyFont="1" applyFill="1" applyBorder="1"/>
    <xf numFmtId="176" fontId="51" fillId="28" borderId="68" xfId="0" applyNumberFormat="1" applyFont="1" applyFill="1" applyBorder="1" applyProtection="1"/>
    <xf numFmtId="169" fontId="51" fillId="28" borderId="69" xfId="0" applyNumberFormat="1" applyFont="1" applyFill="1" applyBorder="1" applyAlignment="1" applyProtection="1">
      <alignment horizontal="left"/>
    </xf>
    <xf numFmtId="0" fontId="51" fillId="28" borderId="69" xfId="0" applyFont="1" applyFill="1" applyBorder="1"/>
    <xf numFmtId="169" fontId="75" fillId="28" borderId="69" xfId="0" applyNumberFormat="1" applyFont="1" applyFill="1" applyBorder="1" applyAlignment="1" applyProtection="1">
      <alignment horizontal="centerContinuous"/>
    </xf>
    <xf numFmtId="0" fontId="75" fillId="28" borderId="75" xfId="0" applyFont="1" applyFill="1" applyBorder="1" applyAlignment="1">
      <alignment horizontal="centerContinuous"/>
    </xf>
    <xf numFmtId="0" fontId="51" fillId="28" borderId="69" xfId="0" applyFont="1" applyFill="1" applyBorder="1" applyAlignment="1">
      <alignment horizontal="centerContinuous"/>
    </xf>
    <xf numFmtId="0" fontId="51" fillId="28" borderId="70" xfId="0" applyFont="1" applyFill="1" applyBorder="1"/>
    <xf numFmtId="0" fontId="51" fillId="28" borderId="78" xfId="0" applyFont="1" applyFill="1" applyBorder="1"/>
    <xf numFmtId="176" fontId="51" fillId="28" borderId="79" xfId="0" applyNumberFormat="1" applyFont="1" applyFill="1" applyBorder="1" applyProtection="1"/>
    <xf numFmtId="0" fontId="51" fillId="28" borderId="80" xfId="0" applyFont="1" applyFill="1" applyBorder="1"/>
    <xf numFmtId="176" fontId="51" fillId="48" borderId="77" xfId="0" applyNumberFormat="1" applyFont="1" applyFill="1" applyBorder="1" applyProtection="1"/>
    <xf numFmtId="3" fontId="51" fillId="48" borderId="26" xfId="0" applyNumberFormat="1" applyFont="1" applyFill="1" applyBorder="1"/>
    <xf numFmtId="0" fontId="51" fillId="48" borderId="78" xfId="0" applyFont="1" applyFill="1" applyBorder="1"/>
    <xf numFmtId="169" fontId="51" fillId="48" borderId="77" xfId="0" applyNumberFormat="1" applyFont="1" applyFill="1" applyBorder="1" applyAlignment="1" applyProtection="1">
      <alignment horizontal="left"/>
    </xf>
    <xf numFmtId="169" fontId="97" fillId="48" borderId="0" xfId="0" quotePrefix="1" applyNumberFormat="1" applyFont="1" applyFill="1" applyBorder="1" applyAlignment="1" applyProtection="1">
      <alignment horizontal="left"/>
    </xf>
    <xf numFmtId="0" fontId="97" fillId="48" borderId="0" xfId="0" applyFont="1" applyFill="1" applyBorder="1"/>
    <xf numFmtId="3" fontId="98" fillId="48" borderId="0" xfId="0" applyNumberFormat="1" applyFont="1" applyFill="1" applyBorder="1" applyProtection="1"/>
    <xf numFmtId="3" fontId="51" fillId="41" borderId="0" xfId="0" applyNumberFormat="1" applyFont="1" applyFill="1"/>
    <xf numFmtId="177" fontId="84" fillId="48" borderId="0" xfId="89" applyNumberFormat="1" applyFont="1" applyFill="1"/>
    <xf numFmtId="3" fontId="97" fillId="41" borderId="0" xfId="0" applyNumberFormat="1" applyFont="1" applyFill="1" applyBorder="1" applyProtection="1"/>
    <xf numFmtId="0" fontId="97" fillId="48" borderId="0" xfId="0" quotePrefix="1" applyFont="1" applyFill="1" applyBorder="1" applyAlignment="1" applyProtection="1">
      <alignment horizontal="left"/>
    </xf>
    <xf numFmtId="0" fontId="51" fillId="48" borderId="77" xfId="0" applyFont="1" applyFill="1" applyBorder="1"/>
    <xf numFmtId="0" fontId="51" fillId="48" borderId="0" xfId="0" quotePrefix="1" applyFont="1" applyFill="1" applyBorder="1" applyAlignment="1" applyProtection="1">
      <alignment horizontal="left"/>
    </xf>
    <xf numFmtId="0" fontId="97" fillId="48" borderId="0" xfId="0" applyFont="1" applyFill="1" applyBorder="1" applyAlignment="1" applyProtection="1">
      <alignment horizontal="left"/>
    </xf>
    <xf numFmtId="0" fontId="51" fillId="48" borderId="77" xfId="0" applyFont="1" applyFill="1" applyBorder="1" applyAlignment="1">
      <alignment horizontal="left"/>
    </xf>
    <xf numFmtId="0" fontId="75" fillId="48" borderId="77" xfId="0" applyFont="1" applyFill="1" applyBorder="1" applyAlignment="1">
      <alignment horizontal="left"/>
    </xf>
    <xf numFmtId="0" fontId="51" fillId="48" borderId="81" xfId="0" applyFont="1" applyFill="1" applyBorder="1" applyAlignment="1">
      <alignment horizontal="right"/>
    </xf>
    <xf numFmtId="0" fontId="51" fillId="48" borderId="82" xfId="0" applyFont="1" applyFill="1" applyBorder="1" applyAlignment="1" applyProtection="1">
      <alignment horizontal="left"/>
    </xf>
    <xf numFmtId="0" fontId="51" fillId="48" borderId="82" xfId="0" applyFont="1" applyFill="1" applyBorder="1"/>
    <xf numFmtId="3" fontId="51" fillId="48" borderId="82" xfId="0" applyNumberFormat="1" applyFont="1" applyFill="1" applyBorder="1" applyProtection="1"/>
    <xf numFmtId="3" fontId="51" fillId="48" borderId="82" xfId="0" applyNumberFormat="1" applyFont="1" applyFill="1" applyBorder="1"/>
    <xf numFmtId="3" fontId="51" fillId="48" borderId="83" xfId="0" applyNumberFormat="1" applyFont="1" applyFill="1" applyBorder="1"/>
    <xf numFmtId="3" fontId="51" fillId="48" borderId="82" xfId="0" applyNumberFormat="1" applyFont="1" applyFill="1" applyBorder="1" applyAlignment="1" applyProtection="1"/>
    <xf numFmtId="0" fontId="51" fillId="48" borderId="84" xfId="0" applyFont="1" applyFill="1" applyBorder="1"/>
    <xf numFmtId="0" fontId="51" fillId="48" borderId="23" xfId="0" applyFont="1" applyFill="1" applyBorder="1"/>
    <xf numFmtId="0" fontId="51" fillId="48" borderId="24" xfId="0" applyFont="1" applyFill="1" applyBorder="1"/>
    <xf numFmtId="0" fontId="51" fillId="48" borderId="25" xfId="0" applyFont="1" applyFill="1" applyBorder="1"/>
    <xf numFmtId="8" fontId="51" fillId="48" borderId="0" xfId="0" applyNumberFormat="1" applyFont="1" applyFill="1" applyBorder="1"/>
    <xf numFmtId="8" fontId="51" fillId="48" borderId="27" xfId="0" applyNumberFormat="1" applyFont="1" applyFill="1" applyBorder="1"/>
    <xf numFmtId="0" fontId="51" fillId="48" borderId="28" xfId="0" applyFont="1" applyFill="1" applyBorder="1"/>
    <xf numFmtId="8" fontId="51" fillId="48" borderId="17" xfId="0" applyNumberFormat="1" applyFont="1" applyFill="1" applyBorder="1"/>
    <xf numFmtId="8" fontId="51" fillId="48" borderId="29" xfId="0" applyNumberFormat="1" applyFont="1" applyFill="1" applyBorder="1"/>
    <xf numFmtId="0" fontId="51" fillId="41" borderId="0" xfId="0" quotePrefix="1" applyFont="1" applyFill="1"/>
    <xf numFmtId="0" fontId="77" fillId="0" borderId="0" xfId="0" applyFont="1" applyAlignment="1">
      <alignment horizontal="center" vertical="center" wrapText="1"/>
    </xf>
    <xf numFmtId="0" fontId="77" fillId="0" borderId="0" xfId="0" applyFont="1" applyAlignment="1">
      <alignment horizontal="center" wrapText="1"/>
    </xf>
    <xf numFmtId="0" fontId="4" fillId="0" borderId="0" xfId="61" applyFont="1" applyAlignment="1">
      <alignment horizontal="center"/>
    </xf>
    <xf numFmtId="0" fontId="4" fillId="0" borderId="12" xfId="61" applyFont="1" applyBorder="1" applyAlignment="1">
      <alignment horizontal="center"/>
    </xf>
    <xf numFmtId="0" fontId="0" fillId="0" borderId="0" xfId="0" applyAlignment="1">
      <alignment horizontal="center"/>
    </xf>
    <xf numFmtId="0" fontId="7" fillId="0" borderId="0" xfId="61" applyFont="1" applyAlignment="1">
      <alignment horizontal="center"/>
    </xf>
    <xf numFmtId="0" fontId="7" fillId="0" borderId="12" xfId="61" applyFont="1" applyBorder="1" applyAlignment="1">
      <alignment horizontal="center"/>
    </xf>
    <xf numFmtId="0" fontId="0" fillId="0" borderId="12" xfId="0" applyFill="1" applyBorder="1" applyAlignment="1">
      <alignment horizontal="left"/>
    </xf>
    <xf numFmtId="0" fontId="4" fillId="0" borderId="0" xfId="61" applyFont="1" applyAlignment="1">
      <alignment horizontal="center"/>
    </xf>
    <xf numFmtId="0" fontId="4" fillId="0" borderId="12" xfId="61" applyFont="1" applyBorder="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xf>
    <xf numFmtId="0" fontId="4" fillId="0" borderId="0" xfId="61" applyFont="1" applyAlignment="1">
      <alignment horizontal="center" vertical="center" wrapText="1"/>
    </xf>
    <xf numFmtId="0" fontId="0" fillId="0" borderId="0" xfId="0" applyAlignment="1">
      <alignment horizontal="center"/>
    </xf>
    <xf numFmtId="0" fontId="100" fillId="0" borderId="0" xfId="0" applyFont="1"/>
    <xf numFmtId="0" fontId="9" fillId="0" borderId="12" xfId="99" applyFont="1" applyBorder="1" applyAlignment="1">
      <alignment vertical="center"/>
    </xf>
    <xf numFmtId="0" fontId="9" fillId="0" borderId="12" xfId="61" applyFont="1" applyBorder="1" applyAlignment="1">
      <alignment horizontal="center" vertical="center" wrapText="1"/>
    </xf>
    <xf numFmtId="0" fontId="101" fillId="0" borderId="12" xfId="0" applyFont="1" applyBorder="1" applyAlignment="1">
      <alignment horizontal="center"/>
    </xf>
    <xf numFmtId="164" fontId="20" fillId="0" borderId="12" xfId="61" applyNumberFormat="1" applyFont="1" applyBorder="1" applyAlignment="1">
      <alignment horizontal="center" wrapText="1"/>
    </xf>
    <xf numFmtId="164" fontId="102" fillId="0" borderId="12" xfId="0" applyNumberFormat="1" applyFont="1" applyBorder="1" applyAlignment="1">
      <alignment horizontal="center"/>
    </xf>
    <xf numFmtId="0" fontId="9" fillId="0" borderId="0" xfId="99" applyFont="1" applyFill="1" applyBorder="1" applyAlignment="1">
      <alignment horizontal="center"/>
    </xf>
    <xf numFmtId="164" fontId="103" fillId="0" borderId="0" xfId="0" applyNumberFormat="1" applyFont="1" applyAlignment="1">
      <alignment horizontal="center" wrapText="1"/>
    </xf>
    <xf numFmtId="0" fontId="104" fillId="0" borderId="12" xfId="0" applyFont="1" applyBorder="1" applyAlignment="1">
      <alignment horizontal="center" vertical="center" wrapText="1"/>
    </xf>
    <xf numFmtId="0" fontId="101" fillId="0" borderId="12" xfId="0" applyFont="1" applyBorder="1" applyAlignment="1">
      <alignment horizontal="center" wrapText="1"/>
    </xf>
    <xf numFmtId="0" fontId="4" fillId="36" borderId="12" xfId="99" applyFill="1" applyBorder="1"/>
    <xf numFmtId="0" fontId="9" fillId="0" borderId="12" xfId="99" applyFont="1" applyBorder="1" applyAlignment="1">
      <alignment horizontal="center" vertical="center"/>
    </xf>
    <xf numFmtId="0" fontId="4" fillId="0" borderId="12" xfId="99" applyBorder="1" applyAlignment="1">
      <alignment horizontal="center"/>
    </xf>
    <xf numFmtId="164" fontId="10" fillId="0" borderId="0" xfId="61" applyNumberFormat="1" applyFont="1" applyAlignment="1">
      <alignment horizontal="center"/>
    </xf>
    <xf numFmtId="164" fontId="4" fillId="0" borderId="12" xfId="99" applyNumberFormat="1" applyBorder="1" applyAlignment="1">
      <alignment horizontal="center"/>
    </xf>
    <xf numFmtId="0" fontId="9" fillId="0" borderId="12" xfId="99" applyFont="1" applyBorder="1" applyAlignment="1">
      <alignment horizontal="center" vertical="center" wrapText="1"/>
    </xf>
    <xf numFmtId="164" fontId="10" fillId="0" borderId="0" xfId="0" applyNumberFormat="1" applyFont="1" applyAlignment="1">
      <alignment horizontal="center"/>
    </xf>
    <xf numFmtId="6" fontId="0" fillId="0" borderId="0" xfId="0" applyNumberFormat="1"/>
    <xf numFmtId="6" fontId="9" fillId="0" borderId="0" xfId="0" applyNumberFormat="1" applyFont="1"/>
    <xf numFmtId="0" fontId="9" fillId="0" borderId="0" xfId="61" applyFont="1" applyFill="1" applyBorder="1" applyAlignment="1"/>
    <xf numFmtId="0" fontId="9" fillId="0" borderId="0" xfId="61" applyFont="1" applyFill="1" applyBorder="1" applyAlignment="1">
      <alignment horizontal="center" wrapText="1"/>
    </xf>
    <xf numFmtId="2" fontId="9" fillId="0" borderId="0" xfId="61" applyNumberFormat="1" applyFont="1" applyFill="1" applyBorder="1" applyAlignment="1">
      <alignment horizontal="center" wrapText="1"/>
    </xf>
    <xf numFmtId="164" fontId="9" fillId="0" borderId="0" xfId="61" applyNumberFormat="1" applyFont="1" applyFill="1" applyBorder="1" applyAlignment="1">
      <alignment horizontal="center"/>
    </xf>
    <xf numFmtId="1" fontId="7" fillId="0" borderId="0" xfId="61" applyNumberFormat="1" applyFont="1" applyFill="1" applyBorder="1" applyAlignment="1">
      <alignment horizontal="center"/>
    </xf>
    <xf numFmtId="164" fontId="7" fillId="0" borderId="0" xfId="61" applyNumberFormat="1" applyFont="1" applyFill="1" applyBorder="1"/>
    <xf numFmtId="164" fontId="4" fillId="0" borderId="0" xfId="61" applyNumberFormat="1" applyFont="1" applyFill="1" applyBorder="1"/>
    <xf numFmtId="164" fontId="65" fillId="0" borderId="0" xfId="61" applyNumberFormat="1" applyFont="1" applyFill="1" applyBorder="1"/>
    <xf numFmtId="1" fontId="7" fillId="0" borderId="0" xfId="61" applyNumberFormat="1" applyFont="1" applyFill="1" applyBorder="1"/>
    <xf numFmtId="0" fontId="65" fillId="0" borderId="0" xfId="61" applyFont="1" applyFill="1" applyBorder="1"/>
    <xf numFmtId="1" fontId="65" fillId="0" borderId="0" xfId="61" applyNumberFormat="1" applyFont="1" applyFill="1" applyBorder="1" applyAlignment="1">
      <alignment horizontal="center"/>
    </xf>
    <xf numFmtId="164" fontId="9" fillId="0" borderId="12" xfId="61" applyNumberFormat="1" applyFont="1" applyFill="1" applyBorder="1" applyAlignment="1">
      <alignment horizontal="center"/>
    </xf>
    <xf numFmtId="0" fontId="7" fillId="0" borderId="31" xfId="61" applyFont="1" applyBorder="1" applyAlignment="1">
      <alignment vertical="center" wrapText="1"/>
    </xf>
    <xf numFmtId="0" fontId="7" fillId="0" borderId="31" xfId="61" applyFont="1" applyBorder="1" applyAlignment="1">
      <alignment vertical="center"/>
    </xf>
    <xf numFmtId="0" fontId="7" fillId="0" borderId="12" xfId="61" applyFont="1" applyFill="1" applyBorder="1" applyAlignment="1">
      <alignment horizontal="center" vertical="center"/>
    </xf>
    <xf numFmtId="0" fontId="4" fillId="0" borderId="12" xfId="61" applyFont="1" applyFill="1" applyBorder="1" applyAlignment="1">
      <alignment horizontal="center" vertical="center" wrapText="1"/>
    </xf>
    <xf numFmtId="164" fontId="4" fillId="0" borderId="12" xfId="61" applyNumberFormat="1" applyFont="1" applyFill="1" applyBorder="1" applyAlignment="1">
      <alignment horizontal="center" vertical="center" wrapText="1"/>
    </xf>
    <xf numFmtId="0" fontId="64" fillId="0" borderId="0" xfId="0" applyFont="1" applyAlignment="1">
      <alignment horizontal="center" wrapText="1"/>
    </xf>
    <xf numFmtId="177" fontId="84" fillId="35" borderId="0" xfId="85" applyNumberFormat="1" applyFont="1" applyFill="1"/>
    <xf numFmtId="6" fontId="7" fillId="0" borderId="0" xfId="61" applyNumberFormat="1" applyFont="1" applyAlignment="1">
      <alignment horizontal="center"/>
    </xf>
    <xf numFmtId="0" fontId="105" fillId="0" borderId="0" xfId="61" applyFont="1"/>
    <xf numFmtId="6" fontId="65" fillId="0" borderId="0" xfId="61" applyNumberFormat="1" applyFont="1" applyAlignment="1">
      <alignment horizontal="center"/>
    </xf>
    <xf numFmtId="0" fontId="105" fillId="0" borderId="0" xfId="61" applyFont="1" applyFill="1" applyBorder="1" applyAlignment="1">
      <alignment horizontal="center"/>
    </xf>
    <xf numFmtId="0" fontId="4" fillId="0" borderId="0" xfId="61" applyFont="1" applyAlignment="1">
      <alignment vertical="center" wrapText="1"/>
    </xf>
    <xf numFmtId="0" fontId="4" fillId="35" borderId="0" xfId="61" applyFont="1" applyFill="1" applyAlignment="1">
      <alignment horizontal="center" vertical="center"/>
    </xf>
    <xf numFmtId="0" fontId="101" fillId="0" borderId="0" xfId="0" applyFont="1" applyBorder="1" applyAlignment="1">
      <alignment horizontal="center" wrapText="1"/>
    </xf>
    <xf numFmtId="0" fontId="9" fillId="0" borderId="0" xfId="0" applyFont="1" applyBorder="1" applyAlignment="1">
      <alignment horizontal="center" wrapText="1"/>
    </xf>
    <xf numFmtId="3" fontId="9" fillId="0" borderId="0" xfId="0" applyNumberFormat="1" applyFont="1" applyAlignment="1">
      <alignment horizontal="center"/>
    </xf>
    <xf numFmtId="0" fontId="4" fillId="0" borderId="0" xfId="0" applyFont="1" applyFill="1"/>
    <xf numFmtId="0" fontId="0" fillId="34" borderId="0" xfId="0" applyFill="1" applyAlignment="1">
      <alignment horizontal="center"/>
    </xf>
    <xf numFmtId="164" fontId="0" fillId="34" borderId="0" xfId="0" applyNumberFormat="1" applyFill="1" applyAlignment="1">
      <alignment horizontal="center"/>
    </xf>
    <xf numFmtId="3" fontId="9" fillId="0" borderId="49" xfId="0" applyNumberFormat="1" applyFont="1" applyBorder="1" applyAlignment="1">
      <alignment horizontal="center"/>
    </xf>
    <xf numFmtId="166" fontId="9" fillId="0" borderId="0" xfId="0" applyNumberFormat="1" applyFont="1" applyFill="1" applyAlignment="1">
      <alignment horizontal="center"/>
    </xf>
    <xf numFmtId="0" fontId="0" fillId="0" borderId="12" xfId="0" applyBorder="1"/>
    <xf numFmtId="3" fontId="4" fillId="0" borderId="0" xfId="0" applyNumberFormat="1" applyFont="1" applyFill="1" applyBorder="1" applyAlignment="1">
      <alignment horizontal="center"/>
    </xf>
    <xf numFmtId="3" fontId="4" fillId="0" borderId="0" xfId="0" applyNumberFormat="1" applyFont="1" applyFill="1" applyAlignment="1">
      <alignment horizontal="center"/>
    </xf>
    <xf numFmtId="0" fontId="0" fillId="34" borderId="0" xfId="0" applyFill="1"/>
    <xf numFmtId="0" fontId="0" fillId="0" borderId="0" xfId="0" applyAlignment="1">
      <alignment horizontal="center"/>
    </xf>
    <xf numFmtId="0" fontId="64" fillId="0" borderId="0" xfId="0" applyFont="1" applyAlignment="1">
      <alignment horizontal="center" wrapText="1"/>
    </xf>
    <xf numFmtId="0" fontId="4" fillId="0" borderId="0" xfId="0" applyFont="1" applyAlignment="1">
      <alignment horizontal="center"/>
    </xf>
    <xf numFmtId="164" fontId="7" fillId="0" borderId="49" xfId="61" applyNumberFormat="1" applyFont="1" applyBorder="1" applyAlignment="1">
      <alignment horizontal="center"/>
    </xf>
    <xf numFmtId="0" fontId="7" fillId="0" borderId="0" xfId="61" applyFont="1" applyAlignment="1">
      <alignment horizontal="center"/>
    </xf>
    <xf numFmtId="0" fontId="6" fillId="0" borderId="0" xfId="61" applyFont="1" applyAlignment="1">
      <alignment horizontal="center"/>
    </xf>
    <xf numFmtId="0" fontId="9" fillId="0" borderId="12" xfId="61" applyFont="1" applyBorder="1" applyAlignment="1">
      <alignment horizontal="center" wrapText="1"/>
    </xf>
    <xf numFmtId="0" fontId="9" fillId="0" borderId="38" xfId="61" applyFont="1" applyBorder="1" applyAlignment="1">
      <alignment horizontal="center"/>
    </xf>
    <xf numFmtId="0" fontId="7" fillId="0" borderId="12" xfId="61" applyFont="1" applyBorder="1" applyAlignment="1">
      <alignment horizontal="center"/>
    </xf>
    <xf numFmtId="0" fontId="4" fillId="0" borderId="0" xfId="61" applyFont="1" applyAlignment="1">
      <alignment horizontal="center"/>
    </xf>
    <xf numFmtId="0" fontId="7" fillId="0" borderId="0" xfId="61" applyFont="1" applyAlignment="1">
      <alignment horizontal="center" wrapText="1"/>
    </xf>
    <xf numFmtId="164" fontId="7" fillId="0" borderId="12" xfId="61" applyNumberFormat="1" applyFont="1" applyBorder="1" applyAlignment="1">
      <alignment horizontal="center"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0" fontId="4" fillId="0" borderId="0" xfId="0" applyFont="1" applyAlignment="1">
      <alignment horizontal="center"/>
    </xf>
    <xf numFmtId="0" fontId="9" fillId="0" borderId="0" xfId="61" applyFont="1" applyFill="1" applyBorder="1" applyAlignment="1">
      <alignment horizontal="center"/>
    </xf>
    <xf numFmtId="0" fontId="9" fillId="0" borderId="0" xfId="61" applyFont="1" applyFill="1" applyBorder="1" applyAlignment="1">
      <alignment horizontal="center" wrapText="1"/>
    </xf>
    <xf numFmtId="0" fontId="64" fillId="0" borderId="12" xfId="0" applyFont="1" applyBorder="1" applyAlignment="1">
      <alignment horizontal="center"/>
    </xf>
    <xf numFmtId="8" fontId="64" fillId="0" borderId="12" xfId="0" applyNumberFormat="1" applyFont="1" applyBorder="1" applyAlignment="1">
      <alignment horizontal="center"/>
    </xf>
    <xf numFmtId="3" fontId="106" fillId="48" borderId="0" xfId="0" applyNumberFormat="1" applyFont="1" applyFill="1" applyBorder="1" applyProtection="1"/>
    <xf numFmtId="3" fontId="106" fillId="48" borderId="0" xfId="0" applyNumberFormat="1" applyFont="1" applyFill="1" applyBorder="1"/>
    <xf numFmtId="3" fontId="106" fillId="48" borderId="17" xfId="0" applyNumberFormat="1" applyFont="1" applyFill="1" applyBorder="1" applyProtection="1"/>
    <xf numFmtId="0" fontId="4" fillId="0" borderId="0" xfId="61" applyFont="1" applyAlignment="1">
      <alignment horizontal="center"/>
    </xf>
    <xf numFmtId="1" fontId="7" fillId="0" borderId="0" xfId="61" applyNumberFormat="1" applyFont="1" applyFill="1" applyBorder="1" applyAlignment="1">
      <alignment horizontal="center" wrapText="1"/>
    </xf>
    <xf numFmtId="164" fontId="7" fillId="0" borderId="0" xfId="61" applyNumberFormat="1" applyFont="1" applyFill="1" applyBorder="1" applyAlignment="1">
      <alignment horizontal="center" wrapText="1"/>
    </xf>
    <xf numFmtId="0" fontId="9" fillId="0" borderId="20" xfId="61" applyFont="1" applyBorder="1" applyAlignment="1">
      <alignment horizontal="center" wrapText="1"/>
    </xf>
    <xf numFmtId="164" fontId="9" fillId="0" borderId="20" xfId="61" applyNumberFormat="1" applyFont="1" applyBorder="1" applyAlignment="1">
      <alignment horizontal="center"/>
    </xf>
    <xf numFmtId="1" fontId="9" fillId="0" borderId="0" xfId="61" applyNumberFormat="1" applyFont="1" applyFill="1" applyBorder="1" applyAlignment="1"/>
    <xf numFmtId="0" fontId="4" fillId="0" borderId="0" xfId="61" applyFont="1" applyAlignment="1">
      <alignment horizontal="right"/>
    </xf>
    <xf numFmtId="0" fontId="0" fillId="0" borderId="12" xfId="0" applyFill="1" applyBorder="1" applyAlignment="1">
      <alignment horizontal="left"/>
    </xf>
    <xf numFmtId="0" fontId="65" fillId="0" borderId="0" xfId="0" applyFont="1" applyAlignment="1">
      <alignment horizontal="center"/>
    </xf>
    <xf numFmtId="3" fontId="9" fillId="0" borderId="0" xfId="61" applyNumberFormat="1" applyFont="1" applyAlignment="1">
      <alignment horizontal="center"/>
    </xf>
    <xf numFmtId="0" fontId="64" fillId="42" borderId="0" xfId="0" applyFont="1" applyFill="1" applyAlignment="1">
      <alignment horizontal="center"/>
    </xf>
    <xf numFmtId="0" fontId="64" fillId="42" borderId="0" xfId="0" applyFont="1" applyFill="1" applyAlignment="1">
      <alignment horizontal="center" wrapText="1"/>
    </xf>
    <xf numFmtId="0" fontId="64" fillId="42" borderId="0" xfId="0" applyFont="1" applyFill="1"/>
    <xf numFmtId="164" fontId="64" fillId="42" borderId="0" xfId="0" applyNumberFormat="1" applyFont="1" applyFill="1" applyAlignment="1">
      <alignment horizontal="center"/>
    </xf>
    <xf numFmtId="0" fontId="64" fillId="42" borderId="0" xfId="0" applyFont="1" applyFill="1" applyAlignment="1">
      <alignment wrapText="1"/>
    </xf>
    <xf numFmtId="0" fontId="4" fillId="0" borderId="0" xfId="61" applyFont="1" applyBorder="1" applyAlignment="1">
      <alignment horizontal="center"/>
    </xf>
    <xf numFmtId="164" fontId="7" fillId="0" borderId="12" xfId="61" applyNumberFormat="1" applyFont="1" applyBorder="1" applyAlignment="1">
      <alignment horizontal="center" wrapText="1"/>
    </xf>
    <xf numFmtId="164" fontId="7" fillId="0" borderId="12" xfId="61" applyNumberFormat="1" applyFont="1" applyBorder="1" applyAlignment="1">
      <alignment horizontal="center"/>
    </xf>
    <xf numFmtId="0" fontId="4" fillId="0" borderId="0" xfId="61" applyFont="1" applyAlignment="1">
      <alignment horizontal="center" vertical="center" wrapText="1"/>
    </xf>
    <xf numFmtId="0" fontId="0" fillId="0" borderId="0" xfId="0" applyAlignment="1">
      <alignment horizontal="center"/>
    </xf>
    <xf numFmtId="0" fontId="64"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horizontal="center"/>
    </xf>
    <xf numFmtId="0" fontId="9" fillId="42" borderId="0" xfId="61" applyFont="1" applyFill="1" applyAlignment="1">
      <alignment horizontal="center" wrapText="1"/>
    </xf>
    <xf numFmtId="0" fontId="7" fillId="42" borderId="0" xfId="61" applyFont="1" applyFill="1"/>
    <xf numFmtId="2" fontId="9" fillId="42" borderId="0" xfId="61" applyNumberFormat="1" applyFont="1" applyFill="1" applyAlignment="1">
      <alignment horizontal="center" wrapText="1"/>
    </xf>
    <xf numFmtId="0" fontId="9" fillId="42" borderId="0" xfId="61" applyFont="1" applyFill="1" applyAlignment="1">
      <alignment horizontal="center"/>
    </xf>
    <xf numFmtId="1" fontId="7" fillId="42" borderId="0" xfId="61" applyNumberFormat="1" applyFont="1" applyFill="1" applyAlignment="1">
      <alignment horizontal="center"/>
    </xf>
    <xf numFmtId="0" fontId="4" fillId="51" borderId="12" xfId="61" applyFont="1" applyFill="1" applyBorder="1" applyAlignment="1">
      <alignment horizontal="center"/>
    </xf>
    <xf numFmtId="0" fontId="4" fillId="51" borderId="0" xfId="61" applyFont="1" applyFill="1" applyAlignment="1">
      <alignment horizontal="center" wrapText="1"/>
    </xf>
    <xf numFmtId="0" fontId="4" fillId="51" borderId="12" xfId="61" applyFont="1" applyFill="1" applyBorder="1" applyAlignment="1">
      <alignment horizontal="center" wrapText="1"/>
    </xf>
    <xf numFmtId="0" fontId="4" fillId="45" borderId="12" xfId="61" applyFont="1" applyFill="1" applyBorder="1"/>
    <xf numFmtId="164" fontId="4" fillId="0" borderId="12" xfId="58" applyNumberFormat="1" applyFont="1" applyFill="1" applyBorder="1" applyAlignment="1">
      <alignment horizontal="center" wrapText="1"/>
    </xf>
    <xf numFmtId="164" fontId="65" fillId="0" borderId="0" xfId="61" applyNumberFormat="1" applyFont="1" applyAlignment="1">
      <alignment horizontal="left"/>
    </xf>
    <xf numFmtId="0" fontId="65" fillId="0" borderId="0" xfId="61" applyFont="1" applyAlignment="1">
      <alignment horizontal="left"/>
    </xf>
    <xf numFmtId="164" fontId="105" fillId="0" borderId="0" xfId="0" applyNumberFormat="1" applyFont="1" applyAlignment="1">
      <alignment horizontal="center"/>
    </xf>
    <xf numFmtId="9" fontId="4" fillId="0" borderId="0" xfId="0" applyNumberFormat="1" applyFont="1" applyAlignment="1">
      <alignment horizontal="center" wrapText="1"/>
    </xf>
    <xf numFmtId="164" fontId="0" fillId="0" borderId="3" xfId="0" applyNumberFormat="1" applyBorder="1"/>
    <xf numFmtId="164" fontId="0" fillId="34" borderId="3" xfId="0" applyNumberFormat="1" applyFill="1" applyBorder="1"/>
    <xf numFmtId="0" fontId="0" fillId="35" borderId="0" xfId="0" applyFill="1"/>
    <xf numFmtId="164" fontId="0" fillId="35" borderId="0" xfId="0" applyNumberFormat="1" applyFill="1" applyAlignment="1">
      <alignment horizontal="center"/>
    </xf>
    <xf numFmtId="0" fontId="0" fillId="35" borderId="0" xfId="0" applyFont="1" applyFill="1" applyAlignment="1">
      <alignment horizontal="center"/>
    </xf>
    <xf numFmtId="0" fontId="4" fillId="35" borderId="0" xfId="61" applyFont="1" applyFill="1" applyAlignment="1">
      <alignment horizontal="center" vertical="center" wrapText="1"/>
    </xf>
    <xf numFmtId="0" fontId="64" fillId="35" borderId="0" xfId="0" applyFont="1" applyFill="1" applyAlignment="1">
      <alignment horizontal="center" wrapText="1"/>
    </xf>
    <xf numFmtId="164" fontId="64" fillId="35" borderId="0" xfId="0" applyNumberFormat="1" applyFont="1" applyFill="1" applyAlignment="1">
      <alignment horizontal="center"/>
    </xf>
    <xf numFmtId="0" fontId="64" fillId="35" borderId="0" xfId="0" applyFont="1" applyFill="1" applyAlignment="1">
      <alignment horizontal="center"/>
    </xf>
    <xf numFmtId="9" fontId="64" fillId="0" borderId="0" xfId="100" applyFont="1" applyAlignment="1">
      <alignment horizontal="center"/>
    </xf>
    <xf numFmtId="0" fontId="64" fillId="0" borderId="0" xfId="0" applyFont="1" applyFill="1" applyAlignment="1">
      <alignment horizontal="center" wrapText="1"/>
    </xf>
    <xf numFmtId="164" fontId="4" fillId="38" borderId="0" xfId="0" applyNumberFormat="1" applyFont="1" applyFill="1" applyAlignment="1">
      <alignment horizontal="center"/>
    </xf>
    <xf numFmtId="164" fontId="0" fillId="38" borderId="0" xfId="0" applyNumberFormat="1" applyFill="1" applyAlignment="1">
      <alignment horizontal="center"/>
    </xf>
    <xf numFmtId="164" fontId="4" fillId="38" borderId="0" xfId="0" applyNumberFormat="1" applyFont="1" applyFill="1" applyBorder="1" applyAlignment="1">
      <alignment horizontal="center"/>
    </xf>
    <xf numFmtId="0" fontId="0" fillId="0" borderId="0" xfId="0" applyAlignment="1"/>
    <xf numFmtId="0" fontId="0" fillId="24" borderId="0" xfId="0" applyFill="1" applyBorder="1" applyAlignment="1" applyProtection="1">
      <alignment horizontal="left"/>
      <protection hidden="1"/>
    </xf>
    <xf numFmtId="0" fontId="0" fillId="0" borderId="0" xfId="0" applyAlignment="1">
      <alignment horizontal="center" vertical="center" wrapText="1"/>
    </xf>
    <xf numFmtId="6" fontId="0" fillId="0" borderId="0" xfId="0" applyNumberFormat="1" applyAlignment="1">
      <alignment horizontal="center"/>
    </xf>
    <xf numFmtId="0" fontId="106" fillId="35" borderId="17" xfId="0" applyFont="1" applyFill="1" applyBorder="1" applyAlignment="1" applyProtection="1">
      <alignment horizontal="left"/>
    </xf>
    <xf numFmtId="0" fontId="106" fillId="35" borderId="17" xfId="0" applyFont="1" applyFill="1" applyBorder="1"/>
    <xf numFmtId="3" fontId="106" fillId="35" borderId="17" xfId="0" applyNumberFormat="1" applyFont="1" applyFill="1" applyBorder="1" applyProtection="1"/>
    <xf numFmtId="3" fontId="51" fillId="35" borderId="17" xfId="0" applyNumberFormat="1" applyFont="1" applyFill="1" applyBorder="1"/>
    <xf numFmtId="3" fontId="106" fillId="35" borderId="0" xfId="0" applyNumberFormat="1" applyFont="1" applyFill="1" applyBorder="1" applyProtection="1"/>
    <xf numFmtId="3" fontId="106" fillId="35" borderId="0" xfId="0" applyNumberFormat="1" applyFont="1" applyFill="1" applyBorder="1"/>
    <xf numFmtId="6" fontId="9" fillId="0" borderId="0" xfId="61" applyNumberFormat="1" applyFont="1" applyAlignment="1">
      <alignment horizontal="center"/>
    </xf>
    <xf numFmtId="164" fontId="9" fillId="35" borderId="0" xfId="61" applyNumberFormat="1" applyFont="1" applyFill="1" applyBorder="1" applyAlignment="1">
      <alignment horizontal="center"/>
    </xf>
    <xf numFmtId="0" fontId="0" fillId="35" borderId="0" xfId="0" applyFill="1" applyAlignment="1">
      <alignment horizontal="center"/>
    </xf>
    <xf numFmtId="0" fontId="4" fillId="35" borderId="0" xfId="0" applyFont="1" applyFill="1" applyAlignment="1">
      <alignment horizontal="center"/>
    </xf>
    <xf numFmtId="0" fontId="109" fillId="0" borderId="0" xfId="0" applyFont="1"/>
    <xf numFmtId="0" fontId="105" fillId="0" borderId="0" xfId="0" applyFont="1"/>
    <xf numFmtId="0" fontId="105" fillId="0" borderId="0" xfId="0" applyFont="1" applyAlignment="1">
      <alignment horizontal="center"/>
    </xf>
    <xf numFmtId="164" fontId="105" fillId="0" borderId="0" xfId="0" applyNumberFormat="1" applyFont="1"/>
    <xf numFmtId="0" fontId="105" fillId="0" borderId="0" xfId="0" applyFont="1" applyFill="1" applyBorder="1"/>
    <xf numFmtId="49" fontId="4" fillId="0" borderId="0" xfId="0" applyNumberFormat="1" applyFont="1" applyAlignment="1">
      <alignment horizontal="left"/>
    </xf>
    <xf numFmtId="0" fontId="7" fillId="0" borderId="12" xfId="61" applyFont="1" applyBorder="1" applyAlignment="1">
      <alignment horizontal="center"/>
    </xf>
    <xf numFmtId="0" fontId="0" fillId="0" borderId="0" xfId="0" applyAlignment="1">
      <alignment horizontal="center"/>
    </xf>
    <xf numFmtId="0" fontId="0" fillId="0" borderId="0" xfId="0" applyAlignment="1">
      <alignment horizontal="center" wrapText="1"/>
    </xf>
    <xf numFmtId="164" fontId="110" fillId="0" borderId="0" xfId="61" applyNumberFormat="1" applyFont="1" applyFill="1" applyAlignment="1">
      <alignment horizontal="center"/>
    </xf>
    <xf numFmtId="0" fontId="110" fillId="0" borderId="0" xfId="61" applyFont="1" applyFill="1" applyAlignment="1">
      <alignment horizontal="center"/>
    </xf>
    <xf numFmtId="164" fontId="110" fillId="0" borderId="0" xfId="61" applyNumberFormat="1" applyFont="1" applyAlignment="1">
      <alignment horizontal="center"/>
    </xf>
    <xf numFmtId="0" fontId="7" fillId="0" borderId="31" xfId="61" applyFont="1" applyBorder="1" applyAlignment="1">
      <alignment horizontal="center" wrapText="1"/>
    </xf>
    <xf numFmtId="0" fontId="7" fillId="0" borderId="31" xfId="61" applyFont="1" applyBorder="1" applyAlignment="1">
      <alignment horizontal="center"/>
    </xf>
    <xf numFmtId="0" fontId="4" fillId="0" borderId="12" xfId="0" applyFont="1" applyBorder="1" applyAlignment="1">
      <alignment horizontal="center"/>
    </xf>
    <xf numFmtId="0" fontId="101" fillId="0" borderId="0" xfId="0" applyFont="1" applyAlignment="1">
      <alignment horizontal="center"/>
    </xf>
    <xf numFmtId="0" fontId="101" fillId="0" borderId="0" xfId="0" applyFont="1" applyAlignment="1">
      <alignment horizontal="center" wrapText="1"/>
    </xf>
    <xf numFmtId="14" fontId="0" fillId="0" borderId="0" xfId="0" applyNumberFormat="1" applyAlignment="1">
      <alignment horizontal="center"/>
    </xf>
    <xf numFmtId="14" fontId="0" fillId="0" borderId="0" xfId="0" applyNumberFormat="1" applyFill="1" applyAlignment="1">
      <alignment horizontal="center"/>
    </xf>
    <xf numFmtId="0" fontId="111" fillId="0" borderId="0" xfId="0" applyFont="1" applyFill="1" applyAlignment="1">
      <alignment horizontal="center"/>
    </xf>
    <xf numFmtId="0" fontId="111" fillId="0" borderId="0" xfId="0" applyFont="1" applyAlignment="1">
      <alignment horizontal="center"/>
    </xf>
    <xf numFmtId="0" fontId="111" fillId="0" borderId="0" xfId="0" applyFont="1" applyAlignment="1">
      <alignment horizontal="center" wrapText="1"/>
    </xf>
    <xf numFmtId="0" fontId="111" fillId="0" borderId="0" xfId="0" applyFont="1" applyFill="1" applyAlignment="1">
      <alignment horizontal="center" wrapText="1"/>
    </xf>
    <xf numFmtId="0" fontId="0" fillId="0" borderId="0" xfId="0" applyFont="1" applyFill="1" applyAlignment="1">
      <alignment horizontal="center"/>
    </xf>
    <xf numFmtId="49" fontId="112" fillId="52" borderId="87" xfId="0" applyNumberFormat="1" applyFont="1" applyFill="1" applyBorder="1" applyAlignment="1">
      <alignment horizontal="center" vertical="center" wrapText="1"/>
    </xf>
    <xf numFmtId="49" fontId="112" fillId="53" borderId="87" xfId="0" applyNumberFormat="1" applyFont="1" applyFill="1" applyBorder="1" applyAlignment="1">
      <alignment horizontal="center" vertical="center" wrapText="1"/>
    </xf>
    <xf numFmtId="0" fontId="112" fillId="52" borderId="88" xfId="0" applyFont="1" applyFill="1" applyBorder="1" applyAlignment="1">
      <alignment horizontal="center" vertical="center"/>
    </xf>
    <xf numFmtId="1" fontId="112" fillId="52" borderId="87" xfId="0" applyNumberFormat="1" applyFont="1" applyFill="1" applyBorder="1" applyAlignment="1">
      <alignment horizontal="center" vertical="center"/>
    </xf>
    <xf numFmtId="0" fontId="113" fillId="54" borderId="87" xfId="0" applyFont="1" applyFill="1" applyBorder="1" applyAlignment="1">
      <alignment horizontal="right" vertical="center"/>
    </xf>
    <xf numFmtId="0" fontId="113" fillId="53" borderId="87" xfId="0" applyFont="1" applyFill="1" applyBorder="1" applyAlignment="1">
      <alignment horizontal="right" vertical="center"/>
    </xf>
    <xf numFmtId="178" fontId="112" fillId="55" borderId="87" xfId="0" applyNumberFormat="1" applyFont="1" applyFill="1" applyBorder="1" applyAlignment="1">
      <alignment horizontal="right" vertical="center"/>
    </xf>
    <xf numFmtId="0" fontId="113" fillId="52" borderId="89" xfId="0" applyFont="1" applyFill="1" applyBorder="1" applyAlignment="1">
      <alignment horizontal="right" vertical="center"/>
    </xf>
    <xf numFmtId="0" fontId="113" fillId="56" borderId="87" xfId="0" applyFont="1" applyFill="1" applyBorder="1" applyAlignment="1">
      <alignment horizontal="right" vertical="center"/>
    </xf>
    <xf numFmtId="0" fontId="113" fillId="57" borderId="87" xfId="0" applyFont="1" applyFill="1" applyBorder="1" applyAlignment="1">
      <alignment horizontal="right" vertical="center"/>
    </xf>
    <xf numFmtId="178" fontId="112" fillId="58" borderId="87" xfId="0" applyNumberFormat="1" applyFont="1" applyFill="1" applyBorder="1" applyAlignment="1">
      <alignment horizontal="right" vertical="center"/>
    </xf>
    <xf numFmtId="0" fontId="0" fillId="57" borderId="0" xfId="0" applyNumberFormat="1" applyFont="1" applyFill="1" applyBorder="1" applyAlignment="1" applyProtection="1"/>
    <xf numFmtId="178" fontId="112" fillId="59" borderId="87" xfId="0" applyNumberFormat="1" applyFont="1" applyFill="1" applyBorder="1" applyAlignment="1">
      <alignment horizontal="right" vertical="center"/>
    </xf>
    <xf numFmtId="0" fontId="113" fillId="52" borderId="90" xfId="0" applyFont="1" applyFill="1" applyBorder="1" applyAlignment="1">
      <alignment horizontal="right" vertical="center"/>
    </xf>
    <xf numFmtId="0" fontId="0" fillId="0" borderId="0" xfId="0" applyAlignment="1">
      <alignment horizontal="center"/>
    </xf>
    <xf numFmtId="164" fontId="110" fillId="0" borderId="0" xfId="61" applyNumberFormat="1" applyFont="1" applyFill="1" applyAlignment="1">
      <alignment horizontal="center" wrapText="1"/>
    </xf>
    <xf numFmtId="164" fontId="110" fillId="0" borderId="0" xfId="61" applyNumberFormat="1" applyFont="1" applyFill="1" applyBorder="1" applyAlignment="1">
      <alignment horizontal="center" wrapText="1"/>
    </xf>
    <xf numFmtId="164" fontId="110" fillId="0" borderId="0" xfId="61" applyNumberFormat="1" applyFont="1" applyFill="1" applyBorder="1" applyAlignment="1">
      <alignment horizontal="center"/>
    </xf>
    <xf numFmtId="3" fontId="110" fillId="0" borderId="0" xfId="61" applyNumberFormat="1" applyFont="1" applyFill="1" applyBorder="1" applyAlignment="1">
      <alignment horizontal="center"/>
    </xf>
    <xf numFmtId="171" fontId="7" fillId="60" borderId="12" xfId="61" applyNumberFormat="1" applyFont="1" applyFill="1" applyBorder="1" applyAlignment="1">
      <alignment horizontal="left"/>
    </xf>
    <xf numFmtId="171" fontId="65" fillId="0" borderId="12" xfId="61" applyNumberFormat="1" applyFont="1" applyFill="1" applyBorder="1" applyAlignment="1">
      <alignment horizontal="left"/>
    </xf>
    <xf numFmtId="179" fontId="7" fillId="34" borderId="0" xfId="61" applyNumberFormat="1" applyFont="1" applyFill="1" applyAlignment="1">
      <alignment horizontal="center"/>
    </xf>
    <xf numFmtId="0" fontId="64" fillId="0" borderId="0" xfId="0" applyFont="1" applyAlignment="1">
      <alignment horizontal="center" wrapText="1"/>
    </xf>
    <xf numFmtId="0" fontId="4" fillId="0" borderId="0" xfId="61" applyFont="1" applyFill="1" applyAlignment="1">
      <alignment horizontal="center" vertical="center" wrapText="1"/>
    </xf>
    <xf numFmtId="9" fontId="106" fillId="35" borderId="17" xfId="0" applyNumberFormat="1" applyFont="1" applyFill="1" applyBorder="1" applyAlignment="1" applyProtection="1">
      <alignment horizontal="left"/>
    </xf>
    <xf numFmtId="164" fontId="105" fillId="35" borderId="0" xfId="61" applyNumberFormat="1" applyFont="1" applyFill="1" applyAlignment="1">
      <alignment horizontal="center"/>
    </xf>
    <xf numFmtId="0" fontId="7" fillId="35" borderId="0" xfId="61" applyFont="1" applyFill="1"/>
    <xf numFmtId="0" fontId="20" fillId="0" borderId="0" xfId="0" applyFont="1" applyAlignment="1">
      <alignment horizontal="right"/>
    </xf>
    <xf numFmtId="164" fontId="0" fillId="0" borderId="30" xfId="0" applyNumberFormat="1" applyBorder="1" applyAlignment="1">
      <alignment horizontal="center"/>
    </xf>
    <xf numFmtId="8" fontId="64" fillId="0" borderId="0" xfId="0" applyNumberFormat="1" applyFont="1"/>
    <xf numFmtId="164" fontId="0" fillId="0" borderId="0" xfId="0" applyNumberFormat="1" applyFill="1"/>
    <xf numFmtId="0" fontId="20" fillId="0" borderId="0" xfId="0" applyFont="1" applyFill="1" applyAlignment="1">
      <alignment horizontal="right"/>
    </xf>
    <xf numFmtId="0" fontId="105" fillId="0" borderId="0" xfId="0" applyFont="1" applyFill="1" applyAlignment="1">
      <alignment horizontal="right"/>
    </xf>
    <xf numFmtId="164" fontId="107" fillId="0" borderId="0" xfId="0" applyNumberFormat="1" applyFont="1" applyFill="1" applyBorder="1" applyAlignment="1">
      <alignment horizontal="center"/>
    </xf>
    <xf numFmtId="164" fontId="107" fillId="0" borderId="0" xfId="0" applyNumberFormat="1" applyFont="1" applyAlignment="1">
      <alignment horizontal="center"/>
    </xf>
    <xf numFmtId="0" fontId="105" fillId="0" borderId="0" xfId="0" applyFont="1" applyBorder="1"/>
    <xf numFmtId="166" fontId="7" fillId="0" borderId="0" xfId="61" applyNumberFormat="1" applyFont="1" applyAlignment="1">
      <alignment horizontal="center"/>
    </xf>
    <xf numFmtId="0" fontId="9" fillId="0" borderId="18" xfId="61" applyFont="1" applyFill="1" applyBorder="1" applyAlignment="1"/>
    <xf numFmtId="0" fontId="4" fillId="0" borderId="18" xfId="61" applyFont="1" applyFill="1" applyBorder="1" applyAlignment="1"/>
    <xf numFmtId="0" fontId="64" fillId="0" borderId="0" xfId="0" applyFont="1" applyFill="1"/>
    <xf numFmtId="0" fontId="0" fillId="0" borderId="0" xfId="0" applyAlignment="1">
      <alignment horizontal="center"/>
    </xf>
    <xf numFmtId="166" fontId="58" fillId="0" borderId="0" xfId="58" applyNumberFormat="1" applyFont="1"/>
    <xf numFmtId="0" fontId="114" fillId="0" borderId="0" xfId="0" applyFont="1" applyProtection="1">
      <protection hidden="1"/>
    </xf>
    <xf numFmtId="0" fontId="114" fillId="0" borderId="38" xfId="0" applyFont="1" applyBorder="1" applyAlignment="1" applyProtection="1">
      <alignment horizontal="left"/>
      <protection hidden="1"/>
    </xf>
    <xf numFmtId="0" fontId="114" fillId="0" borderId="35" xfId="0" applyFont="1" applyBorder="1" applyAlignment="1" applyProtection="1">
      <alignment horizontal="left"/>
      <protection hidden="1"/>
    </xf>
    <xf numFmtId="0" fontId="114" fillId="0" borderId="0" xfId="0" applyFont="1" applyAlignment="1" applyProtection="1">
      <alignment horizontal="left"/>
      <protection hidden="1"/>
    </xf>
    <xf numFmtId="0" fontId="115" fillId="0" borderId="34" xfId="0" applyFont="1" applyBorder="1" applyAlignment="1" applyProtection="1">
      <alignment horizontal="left"/>
      <protection hidden="1"/>
    </xf>
    <xf numFmtId="0" fontId="114" fillId="0" borderId="36" xfId="0" applyFont="1" applyBorder="1" applyAlignment="1" applyProtection="1">
      <alignment horizontal="left"/>
      <protection hidden="1"/>
    </xf>
    <xf numFmtId="0" fontId="114" fillId="0" borderId="34" xfId="0" applyFont="1" applyBorder="1" applyAlignment="1" applyProtection="1">
      <alignment horizontal="left"/>
      <protection hidden="1"/>
    </xf>
    <xf numFmtId="0" fontId="116" fillId="0" borderId="34" xfId="0" applyFont="1" applyBorder="1" applyAlignment="1" applyProtection="1">
      <alignment horizontal="left"/>
      <protection hidden="1"/>
    </xf>
    <xf numFmtId="0" fontId="114" fillId="0" borderId="34" xfId="0" applyFont="1" applyFill="1" applyBorder="1" applyAlignment="1" applyProtection="1">
      <alignment horizontal="left"/>
      <protection hidden="1"/>
    </xf>
    <xf numFmtId="0" fontId="117" fillId="0" borderId="0" xfId="0" applyFont="1" applyAlignment="1" applyProtection="1">
      <alignment horizontal="left"/>
      <protection hidden="1"/>
    </xf>
    <xf numFmtId="0" fontId="118" fillId="0" borderId="34" xfId="0" applyFont="1" applyFill="1" applyBorder="1" applyAlignment="1" applyProtection="1">
      <alignment horizontal="left"/>
      <protection hidden="1"/>
    </xf>
    <xf numFmtId="0" fontId="114" fillId="0" borderId="34" xfId="0" applyFont="1" applyFill="1" applyBorder="1" applyAlignment="1" applyProtection="1">
      <alignment horizontal="left" wrapText="1"/>
      <protection hidden="1"/>
    </xf>
    <xf numFmtId="0" fontId="114" fillId="0" borderId="32" xfId="0" applyFont="1" applyBorder="1" applyAlignment="1" applyProtection="1">
      <alignment horizontal="left"/>
      <protection hidden="1"/>
    </xf>
    <xf numFmtId="0" fontId="114" fillId="0" borderId="37" xfId="0" applyFont="1" applyBorder="1" applyAlignment="1" applyProtection="1">
      <alignment horizontal="left"/>
      <protection hidden="1"/>
    </xf>
    <xf numFmtId="0" fontId="114" fillId="0" borderId="0" xfId="0" applyFont="1" applyAlignment="1" applyProtection="1">
      <alignment horizontal="left" vertical="top" wrapText="1"/>
      <protection hidden="1"/>
    </xf>
    <xf numFmtId="0" fontId="114" fillId="0" borderId="0" xfId="0" applyFont="1" applyAlignment="1" applyProtection="1">
      <alignment vertical="top" wrapText="1"/>
      <protection hidden="1"/>
    </xf>
    <xf numFmtId="0" fontId="114" fillId="0" borderId="0" xfId="0" applyFont="1" applyAlignment="1" applyProtection="1">
      <alignment wrapText="1"/>
      <protection hidden="1"/>
    </xf>
    <xf numFmtId="0" fontId="114" fillId="0" borderId="0" xfId="59" applyFont="1" applyFill="1" applyAlignment="1" applyProtection="1">
      <alignment horizontal="left"/>
      <protection hidden="1"/>
    </xf>
    <xf numFmtId="164" fontId="114" fillId="0" borderId="0" xfId="0" applyNumberFormat="1" applyFont="1" applyFill="1" applyBorder="1" applyAlignment="1" applyProtection="1">
      <alignment horizontal="left"/>
      <protection hidden="1"/>
    </xf>
    <xf numFmtId="164" fontId="115" fillId="0" borderId="0" xfId="0" applyNumberFormat="1" applyFont="1" applyFill="1" applyBorder="1" applyAlignment="1" applyProtection="1">
      <alignment horizontal="left"/>
      <protection hidden="1"/>
    </xf>
    <xf numFmtId="0" fontId="114" fillId="0" borderId="0" xfId="0" applyFont="1" applyAlignment="1" applyProtection="1">
      <alignment vertical="center" wrapText="1"/>
      <protection hidden="1"/>
    </xf>
    <xf numFmtId="0" fontId="114" fillId="0" borderId="0" xfId="0" applyFont="1" applyAlignment="1" applyProtection="1">
      <alignment horizontal="left" vertical="center" wrapText="1"/>
      <protection hidden="1"/>
    </xf>
    <xf numFmtId="0" fontId="115" fillId="0" borderId="0" xfId="59" applyFont="1" applyAlignment="1" applyProtection="1">
      <alignment horizontal="left"/>
      <protection hidden="1"/>
    </xf>
    <xf numFmtId="0" fontId="114" fillId="0" borderId="0" xfId="59" applyFont="1" applyAlignment="1" applyProtection="1">
      <alignment horizontal="left"/>
      <protection hidden="1"/>
    </xf>
    <xf numFmtId="0" fontId="114" fillId="0" borderId="0" xfId="59" applyFont="1" applyBorder="1" applyAlignment="1" applyProtection="1">
      <alignment horizontal="left"/>
      <protection hidden="1"/>
    </xf>
    <xf numFmtId="1" fontId="114" fillId="0" borderId="0" xfId="59" applyNumberFormat="1" applyFont="1" applyBorder="1" applyAlignment="1" applyProtection="1">
      <alignment horizontal="left"/>
      <protection hidden="1"/>
    </xf>
    <xf numFmtId="0" fontId="120" fillId="0" borderId="0" xfId="59" applyFont="1" applyBorder="1" applyAlignment="1" applyProtection="1">
      <alignment horizontal="left"/>
      <protection hidden="1"/>
    </xf>
    <xf numFmtId="0" fontId="115" fillId="0" borderId="0" xfId="59" applyFont="1" applyBorder="1" applyAlignment="1" applyProtection="1">
      <alignment horizontal="left"/>
      <protection hidden="1"/>
    </xf>
    <xf numFmtId="169" fontId="114" fillId="0" borderId="0" xfId="0" applyNumberFormat="1" applyFont="1" applyBorder="1" applyAlignment="1" applyProtection="1">
      <alignment horizontal="left"/>
      <protection hidden="1"/>
    </xf>
    <xf numFmtId="170" fontId="115" fillId="0" borderId="0" xfId="0" applyNumberFormat="1" applyFont="1" applyAlignment="1" applyProtection="1">
      <alignment horizontal="left"/>
      <protection hidden="1"/>
    </xf>
    <xf numFmtId="0" fontId="114" fillId="37" borderId="0" xfId="59" applyFont="1" applyFill="1" applyAlignment="1" applyProtection="1">
      <alignment horizontal="left"/>
      <protection locked="0" hidden="1"/>
    </xf>
    <xf numFmtId="170" fontId="121" fillId="0" borderId="0" xfId="0" applyNumberFormat="1" applyFont="1" applyAlignment="1" applyProtection="1">
      <alignment horizontal="left"/>
      <protection hidden="1"/>
    </xf>
    <xf numFmtId="0" fontId="115" fillId="0" borderId="0" xfId="59" applyFont="1" applyFill="1" applyAlignment="1" applyProtection="1">
      <alignment horizontal="left"/>
      <protection hidden="1"/>
    </xf>
    <xf numFmtId="172" fontId="115" fillId="0" borderId="0" xfId="59" applyNumberFormat="1" applyFont="1" applyFill="1" applyBorder="1" applyAlignment="1" applyProtection="1">
      <alignment horizontal="left"/>
      <protection hidden="1"/>
    </xf>
    <xf numFmtId="0" fontId="115" fillId="0" borderId="0" xfId="0" applyFont="1" applyFill="1" applyAlignment="1" applyProtection="1">
      <alignment horizontal="left"/>
      <protection hidden="1"/>
    </xf>
    <xf numFmtId="0" fontId="114" fillId="0" borderId="0" xfId="59" applyFont="1" applyFill="1" applyBorder="1" applyAlignment="1" applyProtection="1">
      <alignment horizontal="left"/>
      <protection hidden="1"/>
    </xf>
    <xf numFmtId="3" fontId="114" fillId="0" borderId="0" xfId="59" applyNumberFormat="1" applyFont="1" applyBorder="1" applyAlignment="1" applyProtection="1">
      <alignment horizontal="left"/>
      <protection hidden="1"/>
    </xf>
    <xf numFmtId="0" fontId="114" fillId="0" borderId="0" xfId="0" applyFont="1" applyFill="1" applyBorder="1" applyAlignment="1" applyProtection="1">
      <alignment horizontal="left"/>
      <protection hidden="1"/>
    </xf>
    <xf numFmtId="1" fontId="114" fillId="0" borderId="0" xfId="59" applyNumberFormat="1" applyFont="1" applyFill="1" applyAlignment="1" applyProtection="1">
      <alignment horizontal="left"/>
      <protection hidden="1"/>
    </xf>
    <xf numFmtId="164" fontId="114" fillId="0" borderId="3" xfId="0" applyNumberFormat="1" applyFont="1" applyFill="1" applyBorder="1" applyAlignment="1" applyProtection="1">
      <alignment horizontal="left"/>
      <protection hidden="1"/>
    </xf>
    <xf numFmtId="0" fontId="114" fillId="0" borderId="0" xfId="0" applyFont="1" applyFill="1" applyAlignment="1" applyProtection="1">
      <alignment horizontal="left"/>
      <protection hidden="1"/>
    </xf>
    <xf numFmtId="164" fontId="114" fillId="0" borderId="0" xfId="0" applyNumberFormat="1" applyFont="1" applyFill="1" applyAlignment="1" applyProtection="1">
      <alignment horizontal="left"/>
      <protection hidden="1"/>
    </xf>
    <xf numFmtId="164" fontId="114" fillId="0" borderId="3" xfId="59" applyNumberFormat="1" applyFont="1" applyFill="1" applyBorder="1" applyAlignment="1" applyProtection="1">
      <alignment horizontal="left"/>
      <protection hidden="1"/>
    </xf>
    <xf numFmtId="1" fontId="114" fillId="0" borderId="0" xfId="59" applyNumberFormat="1" applyFont="1" applyFill="1" applyBorder="1" applyAlignment="1" applyProtection="1">
      <alignment horizontal="left"/>
      <protection hidden="1"/>
    </xf>
    <xf numFmtId="164" fontId="114" fillId="0" borderId="0" xfId="59" applyNumberFormat="1" applyFont="1" applyFill="1" applyBorder="1" applyAlignment="1" applyProtection="1">
      <alignment horizontal="left"/>
      <protection hidden="1"/>
    </xf>
    <xf numFmtId="164" fontId="115" fillId="0" borderId="12" xfId="59" applyNumberFormat="1" applyFont="1" applyFill="1" applyBorder="1" applyAlignment="1" applyProtection="1">
      <alignment horizontal="left"/>
      <protection hidden="1"/>
    </xf>
    <xf numFmtId="164" fontId="115" fillId="41" borderId="49" xfId="59" applyNumberFormat="1" applyFont="1" applyFill="1" applyBorder="1" applyAlignment="1" applyProtection="1">
      <alignment horizontal="left"/>
      <protection hidden="1"/>
    </xf>
    <xf numFmtId="164" fontId="115" fillId="0" borderId="0" xfId="59" applyNumberFormat="1" applyFont="1" applyFill="1" applyBorder="1" applyAlignment="1" applyProtection="1">
      <alignment horizontal="left"/>
      <protection hidden="1"/>
    </xf>
    <xf numFmtId="164" fontId="115" fillId="0" borderId="0" xfId="59" applyNumberFormat="1" applyFont="1" applyFill="1" applyAlignment="1" applyProtection="1">
      <alignment horizontal="left"/>
      <protection hidden="1"/>
    </xf>
    <xf numFmtId="164" fontId="114" fillId="0" borderId="0" xfId="59" applyNumberFormat="1" applyFont="1" applyFill="1" applyAlignment="1" applyProtection="1">
      <alignment horizontal="left"/>
      <protection hidden="1"/>
    </xf>
    <xf numFmtId="1" fontId="114" fillId="0" borderId="0" xfId="0" applyNumberFormat="1" applyFont="1" applyFill="1" applyAlignment="1" applyProtection="1">
      <alignment horizontal="left"/>
      <protection hidden="1"/>
    </xf>
    <xf numFmtId="164" fontId="115" fillId="0" borderId="50" xfId="59" applyNumberFormat="1" applyFont="1" applyFill="1" applyBorder="1" applyAlignment="1" applyProtection="1">
      <alignment horizontal="left"/>
      <protection hidden="1"/>
    </xf>
    <xf numFmtId="164" fontId="115" fillId="41" borderId="49" xfId="0" applyNumberFormat="1" applyFont="1" applyFill="1" applyBorder="1" applyAlignment="1" applyProtection="1">
      <alignment horizontal="left"/>
      <protection hidden="1"/>
    </xf>
    <xf numFmtId="164" fontId="119" fillId="0" borderId="0" xfId="0" applyNumberFormat="1" applyFont="1" applyFill="1" applyBorder="1" applyAlignment="1" applyProtection="1">
      <alignment horizontal="left"/>
      <protection hidden="1"/>
    </xf>
    <xf numFmtId="164" fontId="122" fillId="0" borderId="0" xfId="0" applyNumberFormat="1" applyFont="1" applyFill="1" applyBorder="1" applyAlignment="1" applyProtection="1">
      <alignment horizontal="left"/>
      <protection hidden="1"/>
    </xf>
    <xf numFmtId="1" fontId="114" fillId="0" borderId="0" xfId="0" applyNumberFormat="1" applyFont="1" applyFill="1" applyBorder="1" applyAlignment="1" applyProtection="1">
      <alignment horizontal="left"/>
      <protection hidden="1"/>
    </xf>
    <xf numFmtId="164" fontId="115" fillId="0" borderId="3" xfId="0" applyNumberFormat="1" applyFont="1" applyFill="1" applyBorder="1" applyAlignment="1" applyProtection="1">
      <alignment horizontal="left"/>
      <protection hidden="1"/>
    </xf>
    <xf numFmtId="164" fontId="115" fillId="0" borderId="0" xfId="0" applyNumberFormat="1" applyFont="1" applyFill="1" applyAlignment="1" applyProtection="1">
      <alignment horizontal="left"/>
      <protection hidden="1"/>
    </xf>
    <xf numFmtId="1" fontId="114" fillId="0" borderId="0" xfId="0" applyNumberFormat="1" applyFont="1" applyAlignment="1" applyProtection="1">
      <alignment horizontal="left"/>
      <protection hidden="1"/>
    </xf>
    <xf numFmtId="3" fontId="114" fillId="0" borderId="0" xfId="59" applyNumberFormat="1" applyFont="1" applyAlignment="1" applyProtection="1">
      <alignment horizontal="left"/>
      <protection hidden="1"/>
    </xf>
    <xf numFmtId="164" fontId="114" fillId="0" borderId="41" xfId="59" applyNumberFormat="1" applyFont="1" applyFill="1" applyBorder="1" applyAlignment="1" applyProtection="1">
      <alignment horizontal="left"/>
      <protection hidden="1"/>
    </xf>
    <xf numFmtId="0" fontId="115" fillId="0" borderId="40" xfId="59" applyFont="1" applyFill="1" applyBorder="1" applyAlignment="1" applyProtection="1">
      <alignment horizontal="left"/>
      <protection hidden="1"/>
    </xf>
    <xf numFmtId="0" fontId="114" fillId="0" borderId="41" xfId="59" applyFont="1" applyFill="1" applyBorder="1" applyAlignment="1" applyProtection="1">
      <alignment horizontal="left"/>
      <protection hidden="1"/>
    </xf>
    <xf numFmtId="164" fontId="114" fillId="0" borderId="62" xfId="59" applyNumberFormat="1" applyFont="1" applyFill="1" applyBorder="1" applyAlignment="1" applyProtection="1">
      <alignment horizontal="left"/>
      <protection hidden="1"/>
    </xf>
    <xf numFmtId="164" fontId="114" fillId="0" borderId="64" xfId="59" applyNumberFormat="1" applyFont="1" applyFill="1" applyBorder="1" applyAlignment="1" applyProtection="1">
      <alignment horizontal="left"/>
      <protection hidden="1"/>
    </xf>
    <xf numFmtId="164" fontId="115" fillId="0" borderId="40" xfId="59" applyNumberFormat="1" applyFont="1" applyFill="1" applyBorder="1" applyAlignment="1" applyProtection="1">
      <alignment horizontal="left"/>
      <protection hidden="1"/>
    </xf>
    <xf numFmtId="0" fontId="114" fillId="0" borderId="47" xfId="59" applyFont="1" applyFill="1" applyBorder="1" applyAlignment="1" applyProtection="1">
      <alignment horizontal="left"/>
      <protection hidden="1"/>
    </xf>
    <xf numFmtId="164" fontId="114" fillId="0" borderId="47" xfId="59" applyNumberFormat="1" applyFont="1" applyFill="1" applyBorder="1" applyAlignment="1" applyProtection="1">
      <alignment horizontal="left"/>
      <protection hidden="1"/>
    </xf>
    <xf numFmtId="0" fontId="115" fillId="0" borderId="53" xfId="0" applyFont="1" applyFill="1" applyBorder="1" applyAlignment="1" applyProtection="1">
      <alignment horizontal="left" vertical="center"/>
      <protection hidden="1"/>
    </xf>
    <xf numFmtId="0" fontId="115" fillId="0" borderId="24" xfId="0" applyFont="1" applyFill="1" applyBorder="1" applyAlignment="1" applyProtection="1">
      <alignment horizontal="left" vertical="center"/>
      <protection hidden="1"/>
    </xf>
    <xf numFmtId="0" fontId="115" fillId="0" borderId="25" xfId="0" applyFont="1" applyFill="1" applyBorder="1" applyAlignment="1" applyProtection="1">
      <alignment horizontal="left" vertical="center"/>
      <protection hidden="1"/>
    </xf>
    <xf numFmtId="0" fontId="115" fillId="0" borderId="32" xfId="0" applyFont="1" applyFill="1" applyBorder="1" applyAlignment="1" applyProtection="1">
      <alignment horizontal="left" vertical="center"/>
      <protection hidden="1"/>
    </xf>
    <xf numFmtId="0" fontId="115" fillId="0" borderId="18" xfId="0" applyFont="1" applyFill="1" applyBorder="1" applyAlignment="1" applyProtection="1">
      <alignment horizontal="left" vertical="center"/>
      <protection hidden="1"/>
    </xf>
    <xf numFmtId="0" fontId="115" fillId="0" borderId="52" xfId="0" applyFont="1" applyFill="1" applyBorder="1" applyAlignment="1" applyProtection="1">
      <alignment horizontal="left" vertical="center"/>
      <protection hidden="1"/>
    </xf>
    <xf numFmtId="0" fontId="114" fillId="0" borderId="20" xfId="0" applyFont="1" applyFill="1" applyBorder="1" applyAlignment="1" applyProtection="1">
      <alignment horizontal="left"/>
      <protection hidden="1"/>
    </xf>
    <xf numFmtId="0" fontId="114" fillId="0" borderId="3" xfId="0" applyFont="1" applyFill="1" applyBorder="1" applyAlignment="1" applyProtection="1">
      <alignment horizontal="left"/>
      <protection hidden="1"/>
    </xf>
    <xf numFmtId="0" fontId="114" fillId="0" borderId="59" xfId="0" applyFont="1" applyFill="1" applyBorder="1" applyAlignment="1" applyProtection="1">
      <alignment horizontal="left"/>
      <protection hidden="1"/>
    </xf>
    <xf numFmtId="0" fontId="126" fillId="0" borderId="20" xfId="0" applyFont="1" applyBorder="1" applyAlignment="1" applyProtection="1">
      <alignment horizontal="left"/>
      <protection hidden="1"/>
    </xf>
    <xf numFmtId="0" fontId="126" fillId="0" borderId="3" xfId="0" applyFont="1" applyBorder="1" applyAlignment="1" applyProtection="1">
      <alignment horizontal="left"/>
      <protection hidden="1"/>
    </xf>
    <xf numFmtId="0" fontId="126" fillId="0" borderId="59" xfId="0" applyFont="1" applyBorder="1" applyAlignment="1" applyProtection="1">
      <alignment horizontal="left"/>
      <protection hidden="1"/>
    </xf>
    <xf numFmtId="164" fontId="114" fillId="0" borderId="60" xfId="59" applyNumberFormat="1" applyFont="1" applyFill="1" applyBorder="1" applyAlignment="1" applyProtection="1">
      <alignment horizontal="left"/>
      <protection hidden="1"/>
    </xf>
    <xf numFmtId="0" fontId="114" fillId="41" borderId="20" xfId="0" applyFont="1" applyFill="1" applyBorder="1" applyAlignment="1" applyProtection="1">
      <alignment horizontal="left"/>
      <protection hidden="1"/>
    </xf>
    <xf numFmtId="0" fontId="114" fillId="41" borderId="3" xfId="0" applyFont="1" applyFill="1" applyBorder="1" applyAlignment="1" applyProtection="1">
      <alignment horizontal="left"/>
      <protection hidden="1"/>
    </xf>
    <xf numFmtId="0" fontId="114" fillId="41" borderId="59" xfId="0" applyFont="1" applyFill="1" applyBorder="1" applyAlignment="1" applyProtection="1">
      <alignment horizontal="left"/>
      <protection hidden="1"/>
    </xf>
    <xf numFmtId="164" fontId="114" fillId="45" borderId="60" xfId="59" applyNumberFormat="1" applyFont="1" applyFill="1" applyBorder="1" applyAlignment="1" applyProtection="1">
      <alignment horizontal="left"/>
      <protection hidden="1"/>
    </xf>
    <xf numFmtId="0" fontId="114" fillId="45" borderId="38" xfId="0" applyFont="1" applyFill="1" applyBorder="1" applyAlignment="1" applyProtection="1">
      <alignment horizontal="left"/>
      <protection hidden="1"/>
    </xf>
    <xf numFmtId="0" fontId="114" fillId="45" borderId="48" xfId="0" applyFont="1" applyFill="1" applyBorder="1" applyAlignment="1" applyProtection="1">
      <alignment horizontal="left"/>
      <protection hidden="1"/>
    </xf>
    <xf numFmtId="0" fontId="114" fillId="45" borderId="67" xfId="0" applyFont="1" applyFill="1" applyBorder="1" applyAlignment="1" applyProtection="1">
      <alignment horizontal="left"/>
      <protection hidden="1"/>
    </xf>
    <xf numFmtId="0" fontId="114" fillId="0" borderId="45" xfId="0" applyFont="1" applyFill="1" applyBorder="1" applyAlignment="1" applyProtection="1">
      <alignment horizontal="left"/>
      <protection hidden="1"/>
    </xf>
    <xf numFmtId="0" fontId="114" fillId="0" borderId="30" xfId="0" applyFont="1" applyFill="1" applyBorder="1" applyAlignment="1" applyProtection="1">
      <alignment horizontal="left"/>
      <protection hidden="1"/>
    </xf>
    <xf numFmtId="0" fontId="114" fillId="0" borderId="58" xfId="0" applyFont="1" applyFill="1" applyBorder="1" applyAlignment="1" applyProtection="1">
      <alignment horizontal="left"/>
      <protection hidden="1"/>
    </xf>
    <xf numFmtId="0" fontId="115" fillId="24" borderId="40" xfId="0" applyFont="1" applyFill="1" applyBorder="1" applyAlignment="1" applyProtection="1">
      <alignment horizontal="left" wrapText="1"/>
      <protection hidden="1"/>
    </xf>
    <xf numFmtId="0" fontId="114" fillId="0" borderId="42" xfId="0" applyFont="1" applyFill="1" applyBorder="1" applyAlignment="1" applyProtection="1">
      <alignment horizontal="left"/>
      <protection hidden="1"/>
    </xf>
    <xf numFmtId="0" fontId="114" fillId="24" borderId="41" xfId="0" applyFont="1" applyFill="1" applyBorder="1" applyAlignment="1" applyProtection="1">
      <alignment horizontal="left"/>
      <protection hidden="1"/>
    </xf>
    <xf numFmtId="0" fontId="114" fillId="0" borderId="12" xfId="0" applyFont="1" applyFill="1" applyBorder="1" applyAlignment="1" applyProtection="1">
      <alignment horizontal="left"/>
      <protection hidden="1"/>
    </xf>
    <xf numFmtId="0" fontId="127" fillId="0" borderId="0" xfId="0" applyFont="1" applyBorder="1" applyAlignment="1" applyProtection="1">
      <alignment horizontal="left"/>
      <protection hidden="1"/>
    </xf>
    <xf numFmtId="0" fontId="114" fillId="24" borderId="60" xfId="0" applyFont="1" applyFill="1" applyBorder="1" applyAlignment="1" applyProtection="1">
      <alignment horizontal="left"/>
      <protection hidden="1"/>
    </xf>
    <xf numFmtId="0" fontId="114" fillId="0" borderId="31" xfId="0" applyFont="1" applyFill="1" applyBorder="1" applyAlignment="1" applyProtection="1">
      <alignment horizontal="left"/>
      <protection hidden="1"/>
    </xf>
    <xf numFmtId="0" fontId="114" fillId="40" borderId="26" xfId="0" applyFont="1" applyFill="1" applyBorder="1" applyAlignment="1" applyProtection="1">
      <alignment horizontal="left"/>
      <protection hidden="1"/>
    </xf>
    <xf numFmtId="0" fontId="114" fillId="40" borderId="0" xfId="0" applyFont="1" applyFill="1" applyBorder="1" applyAlignment="1" applyProtection="1">
      <alignment horizontal="left"/>
      <protection hidden="1"/>
    </xf>
    <xf numFmtId="0" fontId="114" fillId="40" borderId="27" xfId="0" applyFont="1" applyFill="1" applyBorder="1" applyAlignment="1" applyProtection="1">
      <alignment horizontal="left"/>
      <protection hidden="1"/>
    </xf>
    <xf numFmtId="0" fontId="114" fillId="24" borderId="47" xfId="0" applyFont="1" applyFill="1" applyBorder="1" applyAlignment="1" applyProtection="1">
      <alignment horizontal="left"/>
      <protection hidden="1"/>
    </xf>
    <xf numFmtId="0" fontId="114" fillId="0" borderId="44" xfId="0" applyFont="1" applyFill="1" applyBorder="1" applyAlignment="1" applyProtection="1">
      <alignment horizontal="left"/>
      <protection hidden="1"/>
    </xf>
    <xf numFmtId="0" fontId="114" fillId="0" borderId="0" xfId="0" applyFont="1" applyBorder="1" applyAlignment="1" applyProtection="1">
      <alignment horizontal="left"/>
      <protection hidden="1"/>
    </xf>
    <xf numFmtId="0" fontId="114" fillId="0" borderId="20" xfId="0" applyFont="1" applyBorder="1" applyAlignment="1" applyProtection="1">
      <alignment horizontal="left" vertical="center"/>
      <protection hidden="1"/>
    </xf>
    <xf numFmtId="0" fontId="114" fillId="0" borderId="3" xfId="0" applyFont="1" applyBorder="1" applyAlignment="1" applyProtection="1">
      <alignment horizontal="left" vertical="center" wrapText="1"/>
      <protection hidden="1"/>
    </xf>
    <xf numFmtId="0" fontId="114" fillId="0" borderId="54" xfId="0" applyFont="1" applyBorder="1" applyAlignment="1" applyProtection="1">
      <alignment horizontal="left" vertical="center" wrapText="1"/>
      <protection hidden="1"/>
    </xf>
    <xf numFmtId="0" fontId="126" fillId="0" borderId="20" xfId="0" applyFont="1" applyBorder="1" applyAlignment="1" applyProtection="1">
      <alignment horizontal="left" vertical="center" wrapText="1"/>
      <protection hidden="1"/>
    </xf>
    <xf numFmtId="0" fontId="126" fillId="0" borderId="3" xfId="0" applyFont="1" applyBorder="1" applyAlignment="1" applyProtection="1">
      <alignment horizontal="left" vertical="center" wrapText="1"/>
      <protection hidden="1"/>
    </xf>
    <xf numFmtId="0" fontId="126" fillId="0" borderId="54" xfId="0" applyFont="1" applyBorder="1" applyAlignment="1" applyProtection="1">
      <alignment horizontal="left" vertical="center" wrapText="1"/>
      <protection hidden="1"/>
    </xf>
    <xf numFmtId="0" fontId="114" fillId="0" borderId="3" xfId="0" applyFont="1" applyBorder="1" applyAlignment="1" applyProtection="1">
      <alignment horizontal="left" vertical="center"/>
      <protection hidden="1"/>
    </xf>
    <xf numFmtId="0" fontId="114" fillId="0" borderId="0" xfId="0" applyFont="1" applyAlignment="1" applyProtection="1">
      <protection hidden="1"/>
    </xf>
    <xf numFmtId="0" fontId="115" fillId="0" borderId="0" xfId="59" applyFont="1" applyFill="1" applyBorder="1" applyAlignment="1" applyProtection="1">
      <alignment horizontal="left"/>
      <protection hidden="1"/>
    </xf>
    <xf numFmtId="0" fontId="115" fillId="0" borderId="0" xfId="0" applyFont="1" applyAlignment="1" applyProtection="1">
      <alignment horizontal="left" vertical="center"/>
      <protection hidden="1"/>
    </xf>
    <xf numFmtId="0" fontId="119" fillId="0" borderId="0" xfId="59" applyFont="1" applyAlignment="1" applyProtection="1">
      <alignment horizontal="left"/>
      <protection hidden="1"/>
    </xf>
    <xf numFmtId="6" fontId="114" fillId="0" borderId="0" xfId="59" applyNumberFormat="1" applyFont="1" applyFill="1" applyAlignment="1" applyProtection="1">
      <alignment horizontal="left"/>
      <protection hidden="1"/>
    </xf>
    <xf numFmtId="164" fontId="114" fillId="0" borderId="0" xfId="59" applyNumberFormat="1" applyFont="1" applyAlignment="1" applyProtection="1">
      <alignment horizontal="left"/>
      <protection hidden="1"/>
    </xf>
    <xf numFmtId="164" fontId="114" fillId="40" borderId="0" xfId="59" applyNumberFormat="1" applyFont="1" applyFill="1" applyAlignment="1" applyProtection="1">
      <alignment horizontal="left"/>
      <protection hidden="1"/>
    </xf>
    <xf numFmtId="164" fontId="114" fillId="46" borderId="0" xfId="0" applyNumberFormat="1" applyFont="1" applyFill="1" applyBorder="1" applyAlignment="1" applyProtection="1">
      <alignment horizontal="left"/>
      <protection hidden="1"/>
    </xf>
    <xf numFmtId="164" fontId="114" fillId="0" borderId="0" xfId="0" applyNumberFormat="1" applyFont="1" applyAlignment="1" applyProtection="1">
      <alignment horizontal="left"/>
      <protection hidden="1"/>
    </xf>
    <xf numFmtId="164" fontId="114" fillId="0" borderId="0" xfId="59" applyNumberFormat="1" applyFont="1" applyBorder="1" applyAlignment="1" applyProtection="1">
      <alignment horizontal="left"/>
      <protection hidden="1"/>
    </xf>
    <xf numFmtId="166" fontId="114" fillId="0" borderId="0" xfId="0" applyNumberFormat="1" applyFont="1" applyAlignment="1" applyProtection="1">
      <alignment horizontal="left"/>
      <protection hidden="1"/>
    </xf>
    <xf numFmtId="166" fontId="114" fillId="0" borderId="0" xfId="59" applyNumberFormat="1" applyFont="1" applyFill="1" applyBorder="1" applyAlignment="1" applyProtection="1">
      <alignment horizontal="left"/>
      <protection hidden="1"/>
    </xf>
    <xf numFmtId="3" fontId="114" fillId="0" borderId="0" xfId="0" applyNumberFormat="1" applyFont="1" applyFill="1" applyBorder="1" applyAlignment="1" applyProtection="1">
      <alignment horizontal="left"/>
      <protection hidden="1"/>
    </xf>
    <xf numFmtId="3" fontId="114" fillId="0" borderId="0" xfId="59" applyNumberFormat="1" applyFont="1" applyFill="1" applyBorder="1" applyAlignment="1" applyProtection="1">
      <alignment horizontal="left"/>
      <protection hidden="1"/>
    </xf>
    <xf numFmtId="0" fontId="117" fillId="0" borderId="0" xfId="59" applyFont="1" applyBorder="1" applyAlignment="1" applyProtection="1">
      <alignment horizontal="left"/>
      <protection hidden="1"/>
    </xf>
    <xf numFmtId="0" fontId="122" fillId="0" borderId="0" xfId="59" applyFont="1" applyAlignment="1" applyProtection="1">
      <alignment horizontal="left"/>
      <protection hidden="1"/>
    </xf>
    <xf numFmtId="164" fontId="122" fillId="46" borderId="0" xfId="59" applyNumberFormat="1" applyFont="1" applyFill="1" applyAlignment="1" applyProtection="1">
      <alignment horizontal="left"/>
      <protection hidden="1"/>
    </xf>
    <xf numFmtId="164" fontId="123" fillId="0" borderId="0" xfId="0" applyNumberFormat="1" applyFont="1" applyFill="1" applyBorder="1" applyAlignment="1" applyProtection="1">
      <alignment horizontal="left"/>
      <protection hidden="1"/>
    </xf>
    <xf numFmtId="164" fontId="124" fillId="0" borderId="0" xfId="0" applyNumberFormat="1" applyFont="1" applyFill="1" applyBorder="1" applyAlignment="1" applyProtection="1">
      <alignment horizontal="left"/>
      <protection hidden="1"/>
    </xf>
    <xf numFmtId="0" fontId="114" fillId="0" borderId="18" xfId="59" applyFont="1" applyBorder="1" applyAlignment="1" applyProtection="1">
      <alignment horizontal="left"/>
      <protection hidden="1"/>
    </xf>
    <xf numFmtId="0" fontId="114" fillId="0" borderId="18" xfId="0" applyFont="1" applyBorder="1" applyAlignment="1" applyProtection="1">
      <alignment horizontal="left"/>
      <protection hidden="1"/>
    </xf>
    <xf numFmtId="0" fontId="114" fillId="0" borderId="38" xfId="59" applyFont="1" applyBorder="1" applyAlignment="1" applyProtection="1">
      <alignment horizontal="left"/>
      <protection hidden="1"/>
    </xf>
    <xf numFmtId="164" fontId="114" fillId="0" borderId="0" xfId="59" applyNumberFormat="1" applyFont="1" applyFill="1" applyAlignment="1" applyProtection="1">
      <alignment horizontal="left" wrapText="1"/>
      <protection hidden="1"/>
    </xf>
    <xf numFmtId="0" fontId="114" fillId="0" borderId="34" xfId="59" applyFont="1" applyBorder="1" applyAlignment="1" applyProtection="1">
      <alignment horizontal="left"/>
      <protection hidden="1"/>
    </xf>
    <xf numFmtId="164" fontId="114" fillId="0" borderId="0" xfId="0" applyNumberFormat="1" applyFont="1" applyBorder="1" applyAlignment="1" applyProtection="1">
      <alignment horizontal="left"/>
      <protection hidden="1"/>
    </xf>
    <xf numFmtId="164" fontId="114" fillId="0" borderId="36" xfId="0" applyNumberFormat="1" applyFont="1" applyBorder="1" applyAlignment="1" applyProtection="1">
      <alignment horizontal="left"/>
      <protection hidden="1"/>
    </xf>
    <xf numFmtId="164" fontId="115" fillId="0" borderId="3" xfId="59" applyNumberFormat="1" applyFont="1" applyFill="1" applyBorder="1" applyAlignment="1" applyProtection="1">
      <alignment horizontal="left"/>
      <protection hidden="1"/>
    </xf>
    <xf numFmtId="0" fontId="114" fillId="0" borderId="32" xfId="59" applyFont="1" applyBorder="1" applyAlignment="1" applyProtection="1">
      <alignment horizontal="left"/>
      <protection hidden="1"/>
    </xf>
    <xf numFmtId="164" fontId="115" fillId="0" borderId="18" xfId="0" applyNumberFormat="1" applyFont="1" applyBorder="1" applyAlignment="1" applyProtection="1">
      <alignment horizontal="left"/>
      <protection hidden="1"/>
    </xf>
    <xf numFmtId="164" fontId="114" fillId="0" borderId="18" xfId="0" applyNumberFormat="1" applyFont="1" applyBorder="1" applyAlignment="1" applyProtection="1">
      <alignment horizontal="left"/>
      <protection hidden="1"/>
    </xf>
    <xf numFmtId="164" fontId="114" fillId="0" borderId="37" xfId="0" applyNumberFormat="1" applyFont="1" applyBorder="1" applyAlignment="1" applyProtection="1">
      <alignment horizontal="left"/>
      <protection hidden="1"/>
    </xf>
    <xf numFmtId="0" fontId="115" fillId="0" borderId="55" xfId="59" applyFont="1" applyFill="1" applyBorder="1" applyAlignment="1" applyProtection="1">
      <alignment horizontal="left"/>
      <protection hidden="1"/>
    </xf>
    <xf numFmtId="0" fontId="114" fillId="0" borderId="16" xfId="0" applyFont="1" applyFill="1" applyBorder="1" applyAlignment="1" applyProtection="1">
      <alignment horizontal="left"/>
      <protection hidden="1"/>
    </xf>
    <xf numFmtId="0" fontId="115" fillId="0" borderId="56" xfId="59" applyFont="1" applyFill="1" applyBorder="1" applyAlignment="1" applyProtection="1">
      <alignment horizontal="left"/>
      <protection hidden="1"/>
    </xf>
    <xf numFmtId="0" fontId="122" fillId="0" borderId="0" xfId="59" applyFont="1" applyFill="1" applyAlignment="1" applyProtection="1">
      <alignment horizontal="left"/>
      <protection hidden="1"/>
    </xf>
    <xf numFmtId="164" fontId="114" fillId="0" borderId="42" xfId="59" applyNumberFormat="1" applyFont="1" applyFill="1" applyBorder="1" applyAlignment="1" applyProtection="1">
      <alignment horizontal="left"/>
      <protection hidden="1"/>
    </xf>
    <xf numFmtId="164" fontId="115" fillId="0" borderId="43" xfId="59" applyNumberFormat="1" applyFont="1" applyFill="1" applyBorder="1" applyAlignment="1" applyProtection="1">
      <alignment horizontal="left"/>
      <protection hidden="1"/>
    </xf>
    <xf numFmtId="164" fontId="114" fillId="0" borderId="12" xfId="59" applyNumberFormat="1" applyFont="1" applyFill="1" applyBorder="1" applyAlignment="1" applyProtection="1">
      <alignment horizontal="left"/>
      <protection hidden="1"/>
    </xf>
    <xf numFmtId="9" fontId="115" fillId="0" borderId="39" xfId="59" applyNumberFormat="1" applyFont="1" applyFill="1" applyBorder="1" applyAlignment="1" applyProtection="1">
      <alignment horizontal="left"/>
      <protection hidden="1"/>
    </xf>
    <xf numFmtId="0" fontId="114" fillId="0" borderId="0" xfId="0" applyFont="1" applyAlignment="1" applyProtection="1">
      <alignment horizontal="left" wrapText="1"/>
      <protection hidden="1"/>
    </xf>
    <xf numFmtId="0" fontId="122" fillId="0" borderId="0" xfId="59" applyFont="1" applyBorder="1" applyAlignment="1" applyProtection="1">
      <alignment horizontal="left"/>
      <protection hidden="1"/>
    </xf>
    <xf numFmtId="164" fontId="125" fillId="0" borderId="0" xfId="0" applyNumberFormat="1" applyFont="1" applyBorder="1" applyAlignment="1">
      <alignment horizontal="left"/>
    </xf>
    <xf numFmtId="0" fontId="115" fillId="0" borderId="43" xfId="0" applyFont="1" applyFill="1" applyBorder="1" applyAlignment="1" applyProtection="1">
      <alignment horizontal="left"/>
      <protection hidden="1"/>
    </xf>
    <xf numFmtId="0" fontId="117" fillId="0" borderId="0" xfId="59" applyFont="1" applyFill="1" applyBorder="1" applyAlignment="1" applyProtection="1">
      <alignment horizontal="left"/>
      <protection hidden="1"/>
    </xf>
    <xf numFmtId="164" fontId="122" fillId="0" borderId="0" xfId="61" applyNumberFormat="1" applyFont="1" applyBorder="1" applyAlignment="1">
      <alignment horizontal="left"/>
    </xf>
    <xf numFmtId="3" fontId="114" fillId="0" borderId="39" xfId="59" applyNumberFormat="1" applyFont="1" applyFill="1" applyBorder="1" applyAlignment="1" applyProtection="1">
      <alignment horizontal="left"/>
      <protection hidden="1"/>
    </xf>
    <xf numFmtId="164" fontId="114" fillId="0" borderId="33" xfId="59" applyNumberFormat="1" applyFont="1" applyFill="1" applyBorder="1" applyAlignment="1" applyProtection="1">
      <alignment horizontal="left"/>
      <protection hidden="1"/>
    </xf>
    <xf numFmtId="9" fontId="115" fillId="0" borderId="63" xfId="59" applyNumberFormat="1" applyFont="1" applyFill="1" applyBorder="1" applyAlignment="1" applyProtection="1">
      <alignment horizontal="left"/>
      <protection hidden="1"/>
    </xf>
    <xf numFmtId="164" fontId="114" fillId="0" borderId="65" xfId="59" applyNumberFormat="1" applyFont="1" applyFill="1" applyBorder="1" applyAlignment="1" applyProtection="1">
      <alignment horizontal="left"/>
      <protection hidden="1"/>
    </xf>
    <xf numFmtId="9" fontId="115" fillId="0" borderId="66" xfId="59" applyNumberFormat="1" applyFont="1" applyFill="1" applyBorder="1" applyAlignment="1" applyProtection="1">
      <alignment horizontal="left"/>
      <protection hidden="1"/>
    </xf>
    <xf numFmtId="9" fontId="115" fillId="0" borderId="0" xfId="59" applyNumberFormat="1" applyFont="1" applyFill="1" applyBorder="1" applyAlignment="1" applyProtection="1">
      <alignment horizontal="left"/>
      <protection hidden="1"/>
    </xf>
    <xf numFmtId="9" fontId="115" fillId="0" borderId="43" xfId="59" applyNumberFormat="1" applyFont="1" applyFill="1" applyBorder="1" applyAlignment="1" applyProtection="1">
      <alignment horizontal="left"/>
      <protection hidden="1"/>
    </xf>
    <xf numFmtId="3" fontId="114" fillId="0" borderId="46" xfId="59" applyNumberFormat="1" applyFont="1" applyFill="1" applyBorder="1" applyAlignment="1" applyProtection="1">
      <alignment horizontal="left"/>
      <protection hidden="1"/>
    </xf>
    <xf numFmtId="164" fontId="114" fillId="0" borderId="44" xfId="59" applyNumberFormat="1" applyFont="1" applyFill="1" applyBorder="1" applyAlignment="1" applyProtection="1">
      <alignment horizontal="left"/>
      <protection hidden="1"/>
    </xf>
    <xf numFmtId="164" fontId="115" fillId="0" borderId="46" xfId="59" applyNumberFormat="1" applyFont="1" applyFill="1" applyBorder="1" applyAlignment="1" applyProtection="1">
      <alignment horizontal="left"/>
      <protection hidden="1"/>
    </xf>
    <xf numFmtId="0" fontId="116" fillId="41" borderId="23" xfId="0" applyFont="1" applyFill="1" applyBorder="1" applyAlignment="1" applyProtection="1">
      <alignment horizontal="left"/>
      <protection hidden="1"/>
    </xf>
    <xf numFmtId="0" fontId="114" fillId="0" borderId="51" xfId="0" applyFont="1" applyFill="1" applyBorder="1" applyAlignment="1" applyProtection="1">
      <alignment horizontal="left"/>
      <protection hidden="1"/>
    </xf>
    <xf numFmtId="0" fontId="115" fillId="41" borderId="26" xfId="0" applyFont="1" applyFill="1" applyBorder="1" applyAlignment="1" applyProtection="1">
      <alignment horizontal="left"/>
      <protection hidden="1"/>
    </xf>
    <xf numFmtId="0" fontId="114" fillId="0" borderId="15" xfId="0" applyFont="1" applyFill="1" applyBorder="1" applyAlignment="1" applyProtection="1">
      <alignment horizontal="left"/>
      <protection hidden="1"/>
    </xf>
    <xf numFmtId="164" fontId="114" fillId="0" borderId="12" xfId="0" applyNumberFormat="1" applyFont="1" applyFill="1" applyBorder="1" applyAlignment="1" applyProtection="1">
      <alignment horizontal="left"/>
      <protection hidden="1"/>
    </xf>
    <xf numFmtId="0" fontId="114" fillId="0" borderId="12" xfId="0" applyFont="1" applyFill="1" applyBorder="1" applyAlignment="1" applyProtection="1">
      <alignment horizontal="left" wrapText="1"/>
      <protection hidden="1"/>
    </xf>
    <xf numFmtId="0" fontId="114" fillId="45" borderId="31" xfId="0" applyFont="1" applyFill="1" applyBorder="1" applyAlignment="1" applyProtection="1">
      <alignment horizontal="left"/>
      <protection hidden="1"/>
    </xf>
    <xf numFmtId="164" fontId="114" fillId="45" borderId="31" xfId="0" applyNumberFormat="1" applyFont="1" applyFill="1" applyBorder="1" applyAlignment="1" applyProtection="1">
      <alignment horizontal="left"/>
      <protection hidden="1"/>
    </xf>
    <xf numFmtId="0" fontId="114" fillId="0" borderId="47" xfId="0" applyFont="1" applyFill="1" applyBorder="1" applyAlignment="1" applyProtection="1">
      <alignment horizontal="left"/>
      <protection hidden="1"/>
    </xf>
    <xf numFmtId="0" fontId="114" fillId="0" borderId="44" xfId="0" applyFont="1" applyFill="1" applyBorder="1" applyAlignment="1" applyProtection="1">
      <alignment horizontal="left" wrapText="1"/>
      <protection hidden="1"/>
    </xf>
    <xf numFmtId="0" fontId="114" fillId="0" borderId="0" xfId="0" applyFont="1" applyFill="1" applyBorder="1" applyAlignment="1" applyProtection="1">
      <alignment horizontal="left" wrapText="1"/>
      <protection hidden="1"/>
    </xf>
    <xf numFmtId="0" fontId="115" fillId="0" borderId="42" xfId="0" applyFont="1" applyFill="1" applyBorder="1" applyAlignment="1" applyProtection="1">
      <alignment horizontal="left"/>
      <protection hidden="1"/>
    </xf>
    <xf numFmtId="0" fontId="115" fillId="0" borderId="42" xfId="0" applyFont="1" applyFill="1" applyBorder="1" applyAlignment="1" applyProtection="1">
      <alignment horizontal="left" wrapText="1"/>
      <protection hidden="1"/>
    </xf>
    <xf numFmtId="164" fontId="114" fillId="0" borderId="39" xfId="0" applyNumberFormat="1" applyFont="1" applyFill="1" applyBorder="1" applyAlignment="1" applyProtection="1">
      <alignment horizontal="left"/>
      <protection hidden="1"/>
    </xf>
    <xf numFmtId="164" fontId="114" fillId="0" borderId="0" xfId="61" applyNumberFormat="1" applyFont="1" applyFill="1" applyBorder="1" applyAlignment="1" applyProtection="1">
      <alignment horizontal="left"/>
      <protection hidden="1"/>
    </xf>
    <xf numFmtId="164" fontId="114" fillId="0" borderId="31" xfId="0" applyNumberFormat="1" applyFont="1" applyFill="1" applyBorder="1" applyAlignment="1" applyProtection="1">
      <alignment horizontal="left"/>
      <protection hidden="1"/>
    </xf>
    <xf numFmtId="164" fontId="114" fillId="0" borderId="61" xfId="0" applyNumberFormat="1" applyFont="1" applyFill="1" applyBorder="1" applyAlignment="1" applyProtection="1">
      <alignment horizontal="left"/>
      <protection hidden="1"/>
    </xf>
    <xf numFmtId="164" fontId="114" fillId="40" borderId="0" xfId="0" applyNumberFormat="1" applyFont="1" applyFill="1" applyBorder="1" applyAlignment="1" applyProtection="1">
      <alignment horizontal="left"/>
      <protection hidden="1"/>
    </xf>
    <xf numFmtId="164" fontId="114" fillId="24" borderId="12" xfId="0" applyNumberFormat="1" applyFont="1" applyFill="1" applyBorder="1" applyAlignment="1" applyProtection="1">
      <alignment horizontal="left"/>
      <protection hidden="1"/>
    </xf>
    <xf numFmtId="164" fontId="114" fillId="24" borderId="44" xfId="0" applyNumberFormat="1" applyFont="1" applyFill="1" applyBorder="1" applyAlignment="1" applyProtection="1">
      <alignment horizontal="left"/>
      <protection hidden="1"/>
    </xf>
    <xf numFmtId="164" fontId="114" fillId="0" borderId="44" xfId="0" applyNumberFormat="1" applyFont="1" applyFill="1" applyBorder="1" applyAlignment="1" applyProtection="1">
      <alignment horizontal="left"/>
      <protection hidden="1"/>
    </xf>
    <xf numFmtId="164" fontId="114" fillId="0" borderId="46" xfId="0" applyNumberFormat="1" applyFont="1" applyFill="1" applyBorder="1" applyAlignment="1" applyProtection="1">
      <alignment horizontal="left"/>
      <protection hidden="1"/>
    </xf>
    <xf numFmtId="0" fontId="114" fillId="0" borderId="0" xfId="0" applyFont="1" applyAlignment="1" applyProtection="1">
      <alignment horizontal="left" vertical="center"/>
      <protection hidden="1"/>
    </xf>
    <xf numFmtId="0" fontId="126" fillId="0" borderId="3" xfId="0" applyFont="1" applyFill="1" applyBorder="1" applyAlignment="1" applyProtection="1">
      <alignment horizontal="left" vertical="center"/>
      <protection hidden="1"/>
    </xf>
    <xf numFmtId="0" fontId="126" fillId="0" borderId="0" xfId="0" applyFont="1" applyAlignment="1" applyProtection="1">
      <alignment horizontal="left" vertical="center"/>
      <protection hidden="1"/>
    </xf>
    <xf numFmtId="0" fontId="114" fillId="0" borderId="3" xfId="0" applyFont="1" applyFill="1" applyBorder="1" applyAlignment="1" applyProtection="1">
      <alignment horizontal="left" vertical="center"/>
      <protection hidden="1"/>
    </xf>
    <xf numFmtId="0" fontId="114" fillId="0" borderId="3" xfId="0" applyFont="1" applyFill="1" applyBorder="1" applyAlignment="1" applyProtection="1">
      <alignment horizontal="left" vertical="center" wrapText="1"/>
      <protection hidden="1"/>
    </xf>
    <xf numFmtId="0" fontId="126" fillId="0" borderId="3" xfId="0" applyFont="1" applyBorder="1" applyAlignment="1" applyProtection="1">
      <alignment horizontal="left" vertical="center"/>
      <protection hidden="1"/>
    </xf>
    <xf numFmtId="0" fontId="114" fillId="0" borderId="0" xfId="59" applyFont="1" applyAlignment="1" applyProtection="1">
      <protection hidden="1"/>
    </xf>
    <xf numFmtId="0" fontId="114" fillId="0" borderId="0" xfId="59" applyFont="1" applyBorder="1" applyAlignment="1" applyProtection="1">
      <protection hidden="1"/>
    </xf>
    <xf numFmtId="0" fontId="115" fillId="0" borderId="0" xfId="59" applyFont="1" applyBorder="1" applyAlignment="1" applyProtection="1">
      <protection hidden="1"/>
    </xf>
    <xf numFmtId="169" fontId="114" fillId="0" borderId="0" xfId="0" applyNumberFormat="1" applyFont="1" applyBorder="1" applyAlignment="1" applyProtection="1">
      <protection hidden="1"/>
    </xf>
    <xf numFmtId="3" fontId="114" fillId="0" borderId="0" xfId="59" applyNumberFormat="1" applyFont="1" applyBorder="1" applyAlignment="1" applyProtection="1">
      <protection hidden="1"/>
    </xf>
    <xf numFmtId="0" fontId="114" fillId="0" borderId="0" xfId="0" applyFont="1" applyFill="1" applyAlignment="1" applyProtection="1">
      <protection hidden="1"/>
    </xf>
    <xf numFmtId="166" fontId="114" fillId="0" borderId="0" xfId="59" applyNumberFormat="1" applyFont="1" applyBorder="1" applyAlignment="1" applyProtection="1">
      <protection hidden="1"/>
    </xf>
    <xf numFmtId="1" fontId="114" fillId="0" borderId="0" xfId="0" applyNumberFormat="1" applyFont="1" applyAlignment="1" applyProtection="1">
      <protection hidden="1"/>
    </xf>
    <xf numFmtId="0" fontId="115" fillId="0" borderId="48" xfId="0" applyFont="1" applyBorder="1" applyAlignment="1" applyProtection="1">
      <alignment horizontal="left"/>
      <protection hidden="1"/>
    </xf>
    <xf numFmtId="0" fontId="115" fillId="0" borderId="35" xfId="0" applyFont="1" applyBorder="1" applyAlignment="1" applyProtection="1">
      <alignment horizontal="left"/>
      <protection hidden="1"/>
    </xf>
    <xf numFmtId="0" fontId="114" fillId="0" borderId="12" xfId="0" applyFont="1" applyBorder="1" applyAlignment="1" applyProtection="1">
      <alignment horizontal="left"/>
      <protection hidden="1"/>
    </xf>
    <xf numFmtId="0" fontId="122" fillId="0" borderId="12" xfId="0" applyFont="1" applyFill="1" applyBorder="1" applyAlignment="1">
      <alignment horizontal="left"/>
    </xf>
    <xf numFmtId="0" fontId="114" fillId="0" borderId="12" xfId="0" applyFont="1" applyFill="1" applyBorder="1" applyAlignment="1">
      <alignment horizontal="left"/>
    </xf>
    <xf numFmtId="0" fontId="116" fillId="0" borderId="0" xfId="0" applyFont="1" applyAlignment="1" applyProtection="1">
      <alignment horizontal="left"/>
      <protection hidden="1"/>
    </xf>
    <xf numFmtId="0" fontId="115" fillId="0" borderId="12" xfId="0" applyFont="1" applyBorder="1" applyAlignment="1" applyProtection="1">
      <alignment horizontal="left"/>
      <protection hidden="1"/>
    </xf>
    <xf numFmtId="0" fontId="114" fillId="0" borderId="31" xfId="0" applyFont="1" applyBorder="1" applyAlignment="1" applyProtection="1">
      <alignment horizontal="left"/>
      <protection hidden="1"/>
    </xf>
    <xf numFmtId="1" fontId="114" fillId="0" borderId="12" xfId="0" applyNumberFormat="1" applyFont="1" applyBorder="1" applyAlignment="1" applyProtection="1">
      <alignment horizontal="left"/>
      <protection hidden="1"/>
    </xf>
    <xf numFmtId="1" fontId="114" fillId="0" borderId="20" xfId="0" applyNumberFormat="1" applyFont="1" applyBorder="1" applyAlignment="1" applyProtection="1">
      <alignment horizontal="left"/>
      <protection hidden="1"/>
    </xf>
    <xf numFmtId="164" fontId="114" fillId="0" borderId="12" xfId="0" applyNumberFormat="1" applyFont="1" applyBorder="1" applyAlignment="1" applyProtection="1">
      <alignment horizontal="left"/>
      <protection hidden="1"/>
    </xf>
    <xf numFmtId="164" fontId="114" fillId="0" borderId="54" xfId="0" applyNumberFormat="1" applyFont="1" applyBorder="1" applyAlignment="1" applyProtection="1">
      <alignment horizontal="left"/>
      <protection hidden="1"/>
    </xf>
    <xf numFmtId="3" fontId="114" fillId="0" borderId="12" xfId="0" applyNumberFormat="1" applyFont="1" applyBorder="1" applyAlignment="1" applyProtection="1">
      <alignment horizontal="left"/>
      <protection hidden="1"/>
    </xf>
    <xf numFmtId="1" fontId="122" fillId="0" borderId="12" xfId="0" applyNumberFormat="1" applyFont="1" applyBorder="1" applyAlignment="1" applyProtection="1">
      <alignment horizontal="left"/>
      <protection hidden="1"/>
    </xf>
    <xf numFmtId="0" fontId="115" fillId="0" borderId="85" xfId="0" applyFont="1" applyBorder="1" applyAlignment="1" applyProtection="1">
      <alignment horizontal="left"/>
      <protection hidden="1"/>
    </xf>
    <xf numFmtId="164" fontId="115" fillId="0" borderId="86" xfId="0" applyNumberFormat="1" applyFont="1" applyFill="1" applyBorder="1" applyAlignment="1" applyProtection="1">
      <alignment horizontal="left"/>
      <protection hidden="1"/>
    </xf>
    <xf numFmtId="0" fontId="114" fillId="0" borderId="0" xfId="0" applyFont="1" applyBorder="1" applyAlignment="1" applyProtection="1">
      <alignment horizontal="left" vertical="center"/>
      <protection hidden="1"/>
    </xf>
    <xf numFmtId="0" fontId="126" fillId="0" borderId="0" xfId="0" applyFont="1" applyFill="1" applyBorder="1" applyAlignment="1" applyProtection="1">
      <alignment horizontal="left" vertical="center"/>
      <protection hidden="1"/>
    </xf>
    <xf numFmtId="0" fontId="114" fillId="0" borderId="0" xfId="0" applyFont="1" applyFill="1" applyBorder="1" applyAlignment="1" applyProtection="1">
      <alignment horizontal="left" vertical="center"/>
      <protection hidden="1"/>
    </xf>
    <xf numFmtId="0" fontId="114" fillId="0" borderId="0" xfId="0" applyFont="1" applyFill="1" applyBorder="1" applyAlignment="1" applyProtection="1">
      <alignment horizontal="left" vertical="center" wrapText="1"/>
      <protection hidden="1"/>
    </xf>
    <xf numFmtId="0" fontId="115" fillId="0" borderId="0" xfId="59" applyFont="1" applyAlignment="1" applyProtection="1">
      <protection hidden="1"/>
    </xf>
    <xf numFmtId="0" fontId="114" fillId="0" borderId="0" xfId="0" applyFont="1" applyAlignment="1" applyProtection="1">
      <alignment horizontal="left" vertical="top" wrapText="1"/>
      <protection hidden="1"/>
    </xf>
    <xf numFmtId="0" fontId="7" fillId="0" borderId="0" xfId="0" applyFont="1" applyAlignment="1">
      <alignment horizontal="left" wrapText="1"/>
    </xf>
    <xf numFmtId="0" fontId="0" fillId="0" borderId="26" xfId="0" applyFill="1" applyBorder="1" applyAlignment="1">
      <alignment horizontal="left" wrapText="1"/>
    </xf>
    <xf numFmtId="0" fontId="0" fillId="0" borderId="0" xfId="0" applyFill="1" applyBorder="1" applyAlignment="1">
      <alignment horizontal="left" wrapText="1"/>
    </xf>
    <xf numFmtId="0" fontId="0" fillId="0" borderId="27" xfId="0" applyFill="1" applyBorder="1" applyAlignment="1">
      <alignment horizontal="left" wrapText="1"/>
    </xf>
    <xf numFmtId="0" fontId="0" fillId="0" borderId="20" xfId="0" applyFill="1" applyBorder="1" applyAlignment="1" applyProtection="1">
      <alignment horizontal="left"/>
      <protection hidden="1"/>
    </xf>
    <xf numFmtId="0" fontId="0" fillId="0" borderId="3" xfId="0" applyFill="1" applyBorder="1" applyAlignment="1" applyProtection="1">
      <alignment horizontal="left"/>
      <protection hidden="1"/>
    </xf>
    <xf numFmtId="0" fontId="0" fillId="0" borderId="59" xfId="0" applyFill="1" applyBorder="1" applyAlignment="1" applyProtection="1">
      <alignment horizontal="left"/>
      <protection hidden="1"/>
    </xf>
    <xf numFmtId="0" fontId="9" fillId="0" borderId="0" xfId="59" applyFont="1" applyAlignment="1" applyProtection="1">
      <alignment horizontal="center"/>
      <protection hidden="1"/>
    </xf>
    <xf numFmtId="0" fontId="9" fillId="0" borderId="0" xfId="59" applyFont="1" applyBorder="1" applyAlignment="1" applyProtection="1">
      <alignment horizontal="center"/>
      <protection hidden="1"/>
    </xf>
    <xf numFmtId="0" fontId="0" fillId="0" borderId="20" xfId="0" applyFill="1" applyBorder="1" applyAlignment="1">
      <alignment horizontal="left"/>
    </xf>
    <xf numFmtId="0" fontId="0" fillId="0" borderId="3" xfId="0" applyFill="1" applyBorder="1" applyAlignment="1">
      <alignment horizontal="left"/>
    </xf>
    <xf numFmtId="0" fontId="0" fillId="0" borderId="59" xfId="0" applyFill="1" applyBorder="1" applyAlignment="1">
      <alignment horizontal="left"/>
    </xf>
    <xf numFmtId="0" fontId="9" fillId="0" borderId="34" xfId="0" applyFont="1" applyFill="1" applyBorder="1" applyAlignment="1" applyProtection="1">
      <alignment horizontal="left"/>
      <protection hidden="1"/>
    </xf>
    <xf numFmtId="0" fontId="9" fillId="0" borderId="0" xfId="0" applyFont="1" applyFill="1" applyBorder="1" applyAlignment="1" applyProtection="1">
      <alignment horizontal="left"/>
      <protection hidden="1"/>
    </xf>
    <xf numFmtId="0" fontId="9" fillId="0" borderId="27" xfId="0" applyFont="1" applyFill="1" applyBorder="1" applyAlignment="1" applyProtection="1">
      <alignment horizontal="left"/>
      <protection hidden="1"/>
    </xf>
    <xf numFmtId="0" fontId="0" fillId="0" borderId="32" xfId="0" applyFill="1" applyBorder="1" applyAlignment="1" applyProtection="1">
      <alignment horizontal="left"/>
      <protection hidden="1"/>
    </xf>
    <xf numFmtId="0" fontId="0" fillId="0" borderId="18" xfId="0" applyFill="1" applyBorder="1" applyAlignment="1" applyProtection="1">
      <alignment horizontal="left"/>
      <protection hidden="1"/>
    </xf>
    <xf numFmtId="0" fontId="0" fillId="0" borderId="52" xfId="0" applyFill="1" applyBorder="1" applyAlignment="1" applyProtection="1">
      <alignment horizontal="left"/>
      <protection hidden="1"/>
    </xf>
    <xf numFmtId="0" fontId="0" fillId="0" borderId="53" xfId="0" applyFill="1" applyBorder="1" applyAlignment="1" applyProtection="1">
      <alignment horizontal="left"/>
      <protection hidden="1"/>
    </xf>
    <xf numFmtId="0" fontId="0" fillId="0" borderId="24" xfId="0" applyFill="1" applyBorder="1" applyAlignment="1" applyProtection="1">
      <alignment horizontal="left"/>
      <protection hidden="1"/>
    </xf>
    <xf numFmtId="0" fontId="0" fillId="0" borderId="25" xfId="0" applyFill="1" applyBorder="1" applyAlignment="1" applyProtection="1">
      <alignment horizontal="left"/>
      <protection hidden="1"/>
    </xf>
    <xf numFmtId="0" fontId="4" fillId="0" borderId="20" xfId="0" applyFont="1" applyFill="1" applyBorder="1" applyAlignment="1" applyProtection="1">
      <alignment horizontal="left"/>
      <protection hidden="1"/>
    </xf>
    <xf numFmtId="0" fontId="4" fillId="0" borderId="3" xfId="0" applyFont="1" applyFill="1" applyBorder="1" applyAlignment="1" applyProtection="1">
      <alignment horizontal="left"/>
      <protection hidden="1"/>
    </xf>
    <xf numFmtId="0" fontId="4" fillId="0" borderId="59" xfId="0" applyFont="1" applyFill="1" applyBorder="1" applyAlignment="1" applyProtection="1">
      <alignment horizontal="left"/>
      <protection hidden="1"/>
    </xf>
    <xf numFmtId="0" fontId="4" fillId="0" borderId="0" xfId="0" applyFont="1" applyAlignment="1" applyProtection="1">
      <alignment horizontal="left" vertical="center" wrapText="1"/>
      <protection hidden="1"/>
    </xf>
    <xf numFmtId="0" fontId="64" fillId="0" borderId="0" xfId="0" applyFont="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64" fillId="0" borderId="0" xfId="0" applyFont="1" applyFill="1" applyBorder="1" applyAlignment="1" applyProtection="1">
      <alignment horizontal="left" wrapText="1"/>
      <protection hidden="1"/>
    </xf>
    <xf numFmtId="0" fontId="7" fillId="0" borderId="0" xfId="0" applyFont="1" applyAlignment="1" applyProtection="1">
      <alignment horizontal="left" vertical="center" wrapText="1"/>
      <protection hidden="1"/>
    </xf>
    <xf numFmtId="0" fontId="7" fillId="0" borderId="45" xfId="0" applyFont="1" applyFill="1" applyBorder="1" applyAlignment="1" applyProtection="1">
      <alignment horizontal="left"/>
      <protection hidden="1"/>
    </xf>
    <xf numFmtId="0" fontId="7" fillId="0" borderId="30" xfId="0" applyFont="1" applyFill="1" applyBorder="1" applyAlignment="1" applyProtection="1">
      <alignment horizontal="left"/>
      <protection hidden="1"/>
    </xf>
    <xf numFmtId="0" fontId="7" fillId="0" borderId="58" xfId="0" applyFont="1" applyFill="1" applyBorder="1" applyAlignment="1" applyProtection="1">
      <alignment horizontal="left"/>
      <protection hidden="1"/>
    </xf>
    <xf numFmtId="0" fontId="4" fillId="0" borderId="0" xfId="0" applyFont="1" applyAlignment="1" applyProtection="1">
      <alignment horizontal="left" vertical="top" wrapText="1"/>
      <protection hidden="1"/>
    </xf>
    <xf numFmtId="0" fontId="7" fillId="0" borderId="0" xfId="0" applyFont="1" applyFill="1" applyAlignment="1" applyProtection="1">
      <alignment horizontal="left" vertical="center" wrapText="1"/>
      <protection hidden="1"/>
    </xf>
    <xf numFmtId="0" fontId="4" fillId="0" borderId="0" xfId="0" applyFont="1" applyAlignment="1" applyProtection="1">
      <alignment horizontal="left" wrapText="1"/>
      <protection hidden="1"/>
    </xf>
    <xf numFmtId="0" fontId="7" fillId="0" borderId="0" xfId="61" applyFont="1" applyBorder="1" applyAlignment="1">
      <alignment horizontal="center"/>
    </xf>
    <xf numFmtId="0" fontId="7" fillId="0" borderId="0" xfId="61" applyFont="1" applyAlignment="1">
      <alignment horizontal="center"/>
    </xf>
    <xf numFmtId="164" fontId="65" fillId="0" borderId="0" xfId="61" applyNumberFormat="1" applyFont="1" applyBorder="1" applyAlignment="1">
      <alignment horizontal="left" wrapText="1"/>
    </xf>
    <xf numFmtId="0" fontId="4" fillId="36" borderId="0" xfId="61" applyFont="1" applyFill="1" applyBorder="1" applyAlignment="1">
      <alignment horizontal="center" wrapText="1"/>
    </xf>
    <xf numFmtId="0" fontId="6" fillId="0" borderId="0" xfId="61" applyFont="1" applyAlignment="1">
      <alignment horizontal="center"/>
    </xf>
    <xf numFmtId="0" fontId="9" fillId="0" borderId="12" xfId="61" applyFont="1" applyBorder="1" applyAlignment="1">
      <alignment horizontal="center" wrapText="1"/>
    </xf>
    <xf numFmtId="0" fontId="9" fillId="0" borderId="31" xfId="61" applyFont="1" applyBorder="1" applyAlignment="1">
      <alignment horizontal="center" wrapText="1"/>
    </xf>
    <xf numFmtId="0" fontId="7" fillId="0" borderId="20" xfId="61" applyFont="1" applyBorder="1" applyAlignment="1">
      <alignment horizontal="center"/>
    </xf>
    <xf numFmtId="0" fontId="7" fillId="0" borderId="54" xfId="61" applyFont="1" applyBorder="1" applyAlignment="1">
      <alignment horizontal="center"/>
    </xf>
    <xf numFmtId="0" fontId="65" fillId="0" borderId="0" xfId="61" applyFont="1" applyAlignment="1">
      <alignment horizontal="left" wrapText="1"/>
    </xf>
    <xf numFmtId="0" fontId="9" fillId="0" borderId="38" xfId="61" applyFont="1" applyBorder="1" applyAlignment="1">
      <alignment horizontal="center"/>
    </xf>
    <xf numFmtId="0" fontId="9" fillId="0" borderId="48" xfId="61" applyFont="1" applyBorder="1" applyAlignment="1">
      <alignment horizontal="center"/>
    </xf>
    <xf numFmtId="0" fontId="9" fillId="0" borderId="35" xfId="61" applyFont="1" applyBorder="1" applyAlignment="1">
      <alignment horizontal="center"/>
    </xf>
    <xf numFmtId="0" fontId="7" fillId="0" borderId="31" xfId="61" applyFont="1" applyBorder="1" applyAlignment="1">
      <alignment horizontal="center" vertical="center" wrapText="1"/>
    </xf>
    <xf numFmtId="0" fontId="7" fillId="0" borderId="15" xfId="61" applyFont="1" applyBorder="1" applyAlignment="1">
      <alignment horizontal="center" vertical="center" wrapText="1"/>
    </xf>
    <xf numFmtId="0" fontId="7" fillId="0" borderId="33" xfId="61" applyFont="1" applyBorder="1" applyAlignment="1">
      <alignment horizontal="center" vertical="center" wrapText="1"/>
    </xf>
    <xf numFmtId="0" fontId="7" fillId="0" borderId="12" xfId="61" applyFont="1" applyBorder="1" applyAlignment="1">
      <alignment horizontal="center"/>
    </xf>
    <xf numFmtId="0" fontId="7" fillId="0" borderId="0" xfId="58" applyFont="1" applyAlignment="1">
      <alignment horizontal="center" wrapText="1"/>
    </xf>
    <xf numFmtId="0" fontId="7" fillId="0" borderId="18" xfId="58" applyFont="1" applyBorder="1" applyAlignment="1">
      <alignment horizontal="center" wrapText="1"/>
    </xf>
    <xf numFmtId="166" fontId="7" fillId="32" borderId="12" xfId="58" applyNumberFormat="1" applyFont="1" applyFill="1" applyBorder="1" applyAlignment="1">
      <alignment horizontal="center" wrapText="1"/>
    </xf>
    <xf numFmtId="166" fontId="7" fillId="0" borderId="12" xfId="58" applyNumberFormat="1" applyFont="1" applyFill="1" applyBorder="1" applyAlignment="1">
      <alignment horizontal="center" wrapText="1"/>
    </xf>
    <xf numFmtId="0" fontId="7" fillId="0" borderId="12" xfId="58" applyFont="1" applyBorder="1" applyAlignment="1">
      <alignment horizontal="center" wrapText="1"/>
    </xf>
    <xf numFmtId="0" fontId="7" fillId="0" borderId="12" xfId="58" applyFont="1" applyBorder="1" applyAlignment="1" applyProtection="1">
      <alignment vertical="top"/>
      <protection hidden="1"/>
    </xf>
    <xf numFmtId="0" fontId="7" fillId="0" borderId="12" xfId="58" applyFont="1" applyBorder="1" applyAlignment="1"/>
    <xf numFmtId="0" fontId="7" fillId="0" borderId="31" xfId="58" applyFont="1" applyBorder="1" applyAlignment="1">
      <alignment horizontal="center" wrapText="1"/>
    </xf>
    <xf numFmtId="0" fontId="7" fillId="0" borderId="15" xfId="58" applyFont="1" applyBorder="1" applyAlignment="1">
      <alignment horizontal="center" wrapText="1"/>
    </xf>
    <xf numFmtId="0" fontId="7" fillId="0" borderId="33" xfId="58" applyFont="1" applyBorder="1" applyAlignment="1">
      <alignment horizontal="center" wrapText="1"/>
    </xf>
    <xf numFmtId="0" fontId="9" fillId="0" borderId="31" xfId="58" applyFont="1" applyBorder="1" applyAlignment="1" applyProtection="1">
      <alignment horizontal="left" vertical="top"/>
      <protection hidden="1"/>
    </xf>
    <xf numFmtId="0" fontId="7" fillId="0" borderId="31" xfId="58" applyFont="1" applyBorder="1" applyAlignment="1"/>
    <xf numFmtId="0" fontId="7" fillId="0" borderId="38" xfId="58" applyFont="1" applyBorder="1" applyAlignment="1"/>
    <xf numFmtId="0" fontId="7" fillId="0" borderId="12" xfId="58" applyFont="1" applyFill="1" applyBorder="1" applyAlignment="1" applyProtection="1">
      <alignment vertical="top"/>
      <protection hidden="1"/>
    </xf>
    <xf numFmtId="0" fontId="7" fillId="0" borderId="12" xfId="58" applyFont="1" applyFill="1" applyBorder="1" applyAlignment="1"/>
    <xf numFmtId="0" fontId="7" fillId="0" borderId="20" xfId="58" applyFont="1" applyFill="1" applyBorder="1" applyAlignment="1" applyProtection="1">
      <alignment vertical="top"/>
      <protection hidden="1"/>
    </xf>
    <xf numFmtId="0" fontId="7" fillId="0" borderId="3" xfId="58" applyFont="1" applyFill="1" applyBorder="1" applyAlignment="1" applyProtection="1">
      <alignment vertical="top"/>
      <protection hidden="1"/>
    </xf>
    <xf numFmtId="0" fontId="7" fillId="0" borderId="54" xfId="58" applyFont="1" applyFill="1" applyBorder="1" applyAlignment="1" applyProtection="1">
      <alignment vertical="top"/>
      <protection hidden="1"/>
    </xf>
    <xf numFmtId="0" fontId="7" fillId="0" borderId="20" xfId="58" applyFont="1" applyFill="1" applyBorder="1" applyAlignment="1" applyProtection="1">
      <alignment horizontal="left" vertical="top"/>
      <protection hidden="1"/>
    </xf>
    <xf numFmtId="0" fontId="7" fillId="0" borderId="3" xfId="58" applyFont="1" applyFill="1" applyBorder="1" applyAlignment="1" applyProtection="1">
      <alignment horizontal="left" vertical="top"/>
      <protection hidden="1"/>
    </xf>
    <xf numFmtId="0" fontId="7" fillId="0" borderId="54" xfId="58" applyFont="1" applyFill="1" applyBorder="1" applyAlignment="1" applyProtection="1">
      <alignment horizontal="left" vertical="top"/>
      <protection hidden="1"/>
    </xf>
    <xf numFmtId="0" fontId="9" fillId="0" borderId="12" xfId="58" applyFont="1" applyFill="1" applyBorder="1" applyAlignment="1" applyProtection="1">
      <alignment vertical="top"/>
      <protection hidden="1"/>
    </xf>
    <xf numFmtId="0" fontId="65" fillId="0" borderId="0" xfId="58" applyFont="1" applyAlignment="1">
      <alignment horizontal="center" wrapText="1"/>
    </xf>
    <xf numFmtId="0" fontId="4" fillId="0" borderId="12" xfId="58" applyFont="1" applyBorder="1" applyAlignment="1">
      <alignment horizontal="center" wrapText="1"/>
    </xf>
    <xf numFmtId="0" fontId="7" fillId="0" borderId="20" xfId="58" applyFont="1" applyFill="1" applyBorder="1" applyAlignment="1"/>
    <xf numFmtId="166" fontId="4" fillId="0" borderId="12" xfId="58" applyNumberFormat="1" applyFont="1" applyFill="1" applyBorder="1" applyAlignment="1">
      <alignment horizontal="center" wrapText="1"/>
    </xf>
    <xf numFmtId="0" fontId="4" fillId="0" borderId="31" xfId="58" applyFont="1" applyBorder="1" applyAlignment="1">
      <alignment horizontal="center" wrapText="1"/>
    </xf>
    <xf numFmtId="0" fontId="7" fillId="0" borderId="0" xfId="58" applyFont="1" applyAlignment="1">
      <alignment horizontal="left" wrapText="1"/>
    </xf>
    <xf numFmtId="0" fontId="7" fillId="0" borderId="0" xfId="58" applyNumberFormat="1" applyFont="1" applyAlignment="1">
      <alignment horizontal="left" wrapText="1"/>
    </xf>
    <xf numFmtId="0" fontId="7" fillId="0" borderId="20" xfId="58" applyFont="1" applyBorder="1" applyAlignment="1"/>
    <xf numFmtId="164" fontId="7" fillId="0" borderId="0" xfId="59" applyNumberFormat="1" applyFont="1" applyFill="1" applyAlignment="1" applyProtection="1">
      <alignment horizontal="center" vertical="center"/>
      <protection hidden="1"/>
    </xf>
    <xf numFmtId="0" fontId="0" fillId="0" borderId="12" xfId="0" applyFill="1" applyBorder="1" applyAlignment="1">
      <alignment horizontal="left"/>
    </xf>
    <xf numFmtId="0" fontId="0" fillId="0" borderId="39" xfId="0" applyFill="1" applyBorder="1" applyAlignment="1">
      <alignment horizontal="left"/>
    </xf>
    <xf numFmtId="0" fontId="0" fillId="0" borderId="12" xfId="0" applyFill="1" applyBorder="1" applyAlignment="1" applyProtection="1">
      <alignment horizontal="left"/>
      <protection hidden="1"/>
    </xf>
    <xf numFmtId="0" fontId="0" fillId="0" borderId="39" xfId="0" applyFill="1" applyBorder="1" applyAlignment="1" applyProtection="1">
      <alignment horizontal="left"/>
      <protection hidden="1"/>
    </xf>
    <xf numFmtId="0" fontId="4" fillId="0" borderId="12" xfId="0" applyFont="1" applyFill="1" applyBorder="1" applyAlignment="1" applyProtection="1">
      <alignment horizontal="left"/>
      <protection hidden="1"/>
    </xf>
    <xf numFmtId="0" fontId="4" fillId="0" borderId="39" xfId="0" applyFont="1" applyFill="1" applyBorder="1" applyAlignment="1" applyProtection="1">
      <alignment horizontal="left"/>
      <protection hidden="1"/>
    </xf>
    <xf numFmtId="0" fontId="7" fillId="0" borderId="44" xfId="0" applyFont="1" applyFill="1" applyBorder="1" applyAlignment="1" applyProtection="1">
      <alignment horizontal="left"/>
      <protection hidden="1"/>
    </xf>
    <xf numFmtId="0" fontId="0" fillId="0" borderId="44" xfId="0" applyFill="1" applyBorder="1" applyAlignment="1" applyProtection="1">
      <alignment horizontal="left"/>
      <protection hidden="1"/>
    </xf>
    <xf numFmtId="0" fontId="0" fillId="0" borderId="46" xfId="0" applyFill="1" applyBorder="1" applyAlignment="1" applyProtection="1">
      <alignment horizontal="left"/>
      <protection hidden="1"/>
    </xf>
    <xf numFmtId="0" fontId="7" fillId="0" borderId="0" xfId="0" applyFont="1" applyFill="1" applyBorder="1" applyAlignment="1" applyProtection="1">
      <alignment horizontal="left" vertical="center" wrapText="1"/>
      <protection hidden="1"/>
    </xf>
    <xf numFmtId="0" fontId="4" fillId="0" borderId="0" xfId="61" applyFont="1" applyBorder="1" applyAlignment="1">
      <alignment horizontal="center"/>
    </xf>
    <xf numFmtId="0" fontId="4" fillId="0" borderId="0" xfId="61" applyFont="1" applyAlignment="1">
      <alignment horizontal="center"/>
    </xf>
    <xf numFmtId="0" fontId="4" fillId="0" borderId="0" xfId="61" applyFont="1" applyAlignment="1">
      <alignment horizontal="center" wrapText="1"/>
    </xf>
    <xf numFmtId="0" fontId="4" fillId="0" borderId="12" xfId="61" applyFont="1" applyBorder="1" applyAlignment="1">
      <alignment horizontal="center"/>
    </xf>
    <xf numFmtId="0" fontId="4" fillId="0" borderId="31" xfId="61" applyFont="1" applyBorder="1" applyAlignment="1">
      <alignment horizontal="center" vertical="center" wrapText="1"/>
    </xf>
    <xf numFmtId="0" fontId="4" fillId="0" borderId="15" xfId="61" applyFont="1" applyBorder="1" applyAlignment="1">
      <alignment horizontal="center" vertical="center" wrapText="1"/>
    </xf>
    <xf numFmtId="0" fontId="4" fillId="0" borderId="33" xfId="61" applyFont="1" applyBorder="1" applyAlignment="1">
      <alignment horizontal="center" vertical="center" wrapText="1"/>
    </xf>
    <xf numFmtId="0" fontId="4" fillId="0" borderId="20" xfId="61" applyFont="1" applyBorder="1" applyAlignment="1">
      <alignment horizontal="center"/>
    </xf>
    <xf numFmtId="0" fontId="4" fillId="0" borderId="54" xfId="61" applyFont="1" applyBorder="1" applyAlignment="1">
      <alignment horizontal="center"/>
    </xf>
    <xf numFmtId="0" fontId="4" fillId="0" borderId="0" xfId="61" applyFont="1" applyAlignment="1">
      <alignment horizontal="left" wrapText="1"/>
    </xf>
    <xf numFmtId="0" fontId="7" fillId="0" borderId="18" xfId="61" applyFont="1" applyBorder="1" applyAlignment="1">
      <alignment horizontal="center"/>
    </xf>
    <xf numFmtId="0" fontId="7" fillId="0" borderId="0" xfId="61" applyFont="1" applyAlignment="1">
      <alignment horizontal="center" wrapText="1"/>
    </xf>
    <xf numFmtId="0" fontId="7" fillId="29" borderId="34" xfId="61" applyFont="1" applyFill="1" applyBorder="1" applyAlignment="1">
      <alignment horizontal="center" vertical="center" wrapText="1"/>
    </xf>
    <xf numFmtId="0" fontId="7" fillId="29" borderId="0" xfId="61" applyFont="1" applyFill="1" applyAlignment="1">
      <alignment horizontal="center" vertical="center" wrapText="1"/>
    </xf>
    <xf numFmtId="164" fontId="7" fillId="0" borderId="12" xfId="61" applyNumberFormat="1" applyFont="1" applyBorder="1" applyAlignment="1">
      <alignment horizontal="center" wrapText="1"/>
    </xf>
    <xf numFmtId="164" fontId="7" fillId="0" borderId="0" xfId="61" applyNumberFormat="1" applyFont="1" applyAlignment="1">
      <alignment horizontal="left" wrapText="1"/>
    </xf>
    <xf numFmtId="0" fontId="7" fillId="0" borderId="12" xfId="61" applyFont="1" applyBorder="1" applyAlignment="1">
      <alignment horizontal="center" wrapText="1"/>
    </xf>
    <xf numFmtId="164" fontId="7" fillId="0" borderId="12" xfId="61" applyNumberFormat="1" applyFont="1" applyBorder="1" applyAlignment="1">
      <alignment horizontal="center"/>
    </xf>
    <xf numFmtId="5" fontId="7" fillId="0" borderId="0" xfId="61" applyNumberFormat="1" applyFont="1" applyAlignment="1">
      <alignment horizontal="left" wrapText="1"/>
    </xf>
    <xf numFmtId="0" fontId="7" fillId="0" borderId="55" xfId="61" applyFont="1" applyBorder="1" applyAlignment="1">
      <alignment horizontal="center"/>
    </xf>
    <xf numFmtId="0" fontId="7" fillId="0" borderId="16" xfId="61" applyFont="1" applyBorder="1" applyAlignment="1">
      <alignment horizontal="center"/>
    </xf>
    <xf numFmtId="0" fontId="7" fillId="0" borderId="56" xfId="61" applyFont="1" applyBorder="1" applyAlignment="1">
      <alignment horizontal="center"/>
    </xf>
    <xf numFmtId="0" fontId="7" fillId="0" borderId="21" xfId="61" applyFont="1" applyBorder="1" applyAlignment="1">
      <alignment horizontal="center"/>
    </xf>
    <xf numFmtId="0" fontId="7" fillId="0" borderId="57" xfId="61" applyFont="1" applyBorder="1" applyAlignment="1">
      <alignment horizontal="center"/>
    </xf>
    <xf numFmtId="0" fontId="7" fillId="0" borderId="22" xfId="61" applyFont="1" applyBorder="1" applyAlignment="1">
      <alignment horizontal="center"/>
    </xf>
    <xf numFmtId="0" fontId="7" fillId="0" borderId="0" xfId="0" applyFont="1" applyAlignment="1">
      <alignment horizontal="center" wrapText="1"/>
    </xf>
    <xf numFmtId="0" fontId="114" fillId="0" borderId="0" xfId="0" applyFont="1" applyAlignment="1" applyProtection="1">
      <alignment horizontal="left" vertical="top" wrapText="1"/>
      <protection hidden="1"/>
    </xf>
    <xf numFmtId="0" fontId="114" fillId="0" borderId="0" xfId="0" applyFont="1" applyAlignment="1" applyProtection="1">
      <alignment horizontal="left" vertical="center" wrapText="1"/>
      <protection hidden="1"/>
    </xf>
    <xf numFmtId="0" fontId="115" fillId="0" borderId="0" xfId="0" applyFont="1" applyFill="1" applyAlignment="1" applyProtection="1">
      <alignment horizontal="left"/>
      <protection hidden="1"/>
    </xf>
    <xf numFmtId="0" fontId="115" fillId="0" borderId="0" xfId="0" applyFont="1" applyFill="1" applyBorder="1" applyAlignment="1" applyProtection="1">
      <alignment horizontal="left"/>
      <protection hidden="1"/>
    </xf>
    <xf numFmtId="0" fontId="114" fillId="0" borderId="0" xfId="0" applyFont="1" applyAlignment="1" applyProtection="1">
      <alignment horizontal="left" vertical="center"/>
      <protection hidden="1"/>
    </xf>
    <xf numFmtId="0" fontId="64" fillId="0" borderId="0" xfId="0" applyFont="1" applyFill="1" applyBorder="1" applyAlignment="1" applyProtection="1">
      <alignment horizontal="left" vertical="center" wrapText="1"/>
      <protection hidden="1"/>
    </xf>
    <xf numFmtId="0" fontId="4" fillId="0" borderId="0" xfId="0" applyFont="1" applyFill="1" applyAlignment="1" applyProtection="1">
      <alignment horizontal="left" vertical="center" wrapText="1"/>
      <protection hidden="1"/>
    </xf>
    <xf numFmtId="0" fontId="4" fillId="36" borderId="0" xfId="61" applyFont="1" applyFill="1" applyBorder="1" applyAlignment="1">
      <alignment horizontal="center" vertical="center" wrapText="1"/>
    </xf>
    <xf numFmtId="0" fontId="4" fillId="0" borderId="23" xfId="61" applyFont="1" applyBorder="1" applyAlignment="1">
      <alignment horizontal="center" wrapText="1"/>
    </xf>
    <xf numFmtId="0" fontId="4" fillId="0" borderId="24" xfId="61" applyFont="1" applyBorder="1" applyAlignment="1">
      <alignment horizontal="center" wrapText="1"/>
    </xf>
    <xf numFmtId="0" fontId="4" fillId="0" borderId="25" xfId="61" applyFont="1" applyBorder="1" applyAlignment="1">
      <alignment horizontal="center" wrapText="1"/>
    </xf>
    <xf numFmtId="0" fontId="4" fillId="0" borderId="28" xfId="61" applyFont="1" applyBorder="1" applyAlignment="1">
      <alignment horizontal="center" wrapText="1"/>
    </xf>
    <xf numFmtId="0" fontId="4" fillId="0" borderId="17" xfId="61" applyFont="1" applyBorder="1" applyAlignment="1">
      <alignment horizontal="center" wrapText="1"/>
    </xf>
    <xf numFmtId="0" fontId="4" fillId="0" borderId="29" xfId="61" applyFont="1" applyBorder="1" applyAlignment="1">
      <alignment horizontal="center" wrapText="1"/>
    </xf>
    <xf numFmtId="0" fontId="114" fillId="0" borderId="20" xfId="0" applyFont="1" applyBorder="1" applyAlignment="1" applyProtection="1">
      <alignment horizontal="left" vertical="center" wrapText="1"/>
      <protection hidden="1"/>
    </xf>
    <xf numFmtId="0" fontId="114" fillId="0" borderId="3" xfId="0" applyFont="1" applyBorder="1" applyAlignment="1" applyProtection="1">
      <alignment horizontal="left" vertical="center" wrapText="1"/>
      <protection hidden="1"/>
    </xf>
    <xf numFmtId="0" fontId="114" fillId="0" borderId="54" xfId="0" applyFont="1" applyBorder="1" applyAlignment="1" applyProtection="1">
      <alignment horizontal="left" vertical="center" wrapText="1"/>
      <protection hidden="1"/>
    </xf>
    <xf numFmtId="0" fontId="126" fillId="0" borderId="3" xfId="0" applyFont="1" applyFill="1" applyBorder="1" applyAlignment="1" applyProtection="1">
      <alignment horizontal="left" vertical="center" wrapText="1"/>
      <protection hidden="1"/>
    </xf>
    <xf numFmtId="0" fontId="126" fillId="0" borderId="54" xfId="0" applyFont="1" applyFill="1" applyBorder="1" applyAlignment="1" applyProtection="1">
      <alignment horizontal="left" vertical="center" wrapText="1"/>
      <protection hidden="1"/>
    </xf>
    <xf numFmtId="0" fontId="126" fillId="0" borderId="20" xfId="0" applyFont="1" applyBorder="1" applyAlignment="1" applyProtection="1">
      <alignment horizontal="left" vertical="center" wrapText="1"/>
      <protection hidden="1"/>
    </xf>
    <xf numFmtId="0" fontId="126" fillId="0" borderId="3" xfId="0" applyFont="1" applyBorder="1" applyAlignment="1" applyProtection="1">
      <alignment horizontal="left" vertical="center" wrapText="1"/>
      <protection hidden="1"/>
    </xf>
    <xf numFmtId="0" fontId="126" fillId="0" borderId="54" xfId="0" applyFont="1" applyBorder="1" applyAlignment="1" applyProtection="1">
      <alignment horizontal="left" vertical="center" wrapText="1"/>
      <protection hidden="1"/>
    </xf>
    <xf numFmtId="0" fontId="114" fillId="0" borderId="3" xfId="0" applyFont="1" applyBorder="1" applyAlignment="1">
      <alignment horizontal="left" vertical="center" wrapText="1"/>
    </xf>
    <xf numFmtId="0" fontId="114" fillId="0" borderId="54" xfId="0" applyFont="1" applyBorder="1" applyAlignment="1">
      <alignment horizontal="left" vertical="center" wrapText="1"/>
    </xf>
    <xf numFmtId="49" fontId="114" fillId="0" borderId="3" xfId="0" applyNumberFormat="1" applyFont="1" applyBorder="1" applyAlignment="1" applyProtection="1">
      <alignment horizontal="left" vertical="center" wrapText="1"/>
      <protection hidden="1"/>
    </xf>
    <xf numFmtId="49" fontId="114" fillId="0" borderId="3" xfId="0" applyNumberFormat="1" applyFont="1" applyBorder="1" applyAlignment="1">
      <alignment horizontal="left" vertical="center" wrapText="1"/>
    </xf>
    <xf numFmtId="49" fontId="114" fillId="0" borderId="54" xfId="0" applyNumberFormat="1" applyFont="1" applyBorder="1" applyAlignment="1">
      <alignment horizontal="left" vertical="center" wrapText="1"/>
    </xf>
    <xf numFmtId="0" fontId="114" fillId="0" borderId="20" xfId="0" applyFont="1" applyBorder="1" applyAlignment="1" applyProtection="1">
      <alignment horizontal="left" vertical="center"/>
      <protection hidden="1"/>
    </xf>
    <xf numFmtId="0" fontId="114" fillId="0" borderId="3" xfId="0" applyFont="1" applyBorder="1" applyAlignment="1" applyProtection="1">
      <alignment horizontal="left" vertical="center"/>
      <protection hidden="1"/>
    </xf>
    <xf numFmtId="0" fontId="114" fillId="0" borderId="54" xfId="0" applyFont="1" applyBorder="1" applyAlignment="1" applyProtection="1">
      <alignment horizontal="left" vertical="center"/>
      <protection hidden="1"/>
    </xf>
    <xf numFmtId="0" fontId="0" fillId="0" borderId="3" xfId="0" applyBorder="1" applyAlignment="1">
      <alignment horizontal="left" vertical="center" wrapText="1"/>
    </xf>
    <xf numFmtId="0" fontId="0" fillId="0" borderId="54" xfId="0" applyBorder="1" applyAlignment="1">
      <alignment horizontal="left" vertical="center" wrapText="1"/>
    </xf>
    <xf numFmtId="0" fontId="115" fillId="0" borderId="0" xfId="59" applyFont="1" applyBorder="1" applyAlignment="1" applyProtection="1">
      <alignment horizontal="left"/>
      <protection hidden="1"/>
    </xf>
    <xf numFmtId="0" fontId="115" fillId="0" borderId="51" xfId="0" applyFont="1" applyFill="1" applyBorder="1" applyAlignment="1" applyProtection="1">
      <alignment horizontal="left" vertical="center"/>
      <protection hidden="1"/>
    </xf>
    <xf numFmtId="0" fontId="115" fillId="0" borderId="33" xfId="0" applyFont="1" applyFill="1" applyBorder="1" applyAlignment="1" applyProtection="1">
      <alignment horizontal="left" vertical="center"/>
      <protection hidden="1"/>
    </xf>
    <xf numFmtId="0" fontId="114" fillId="0" borderId="20" xfId="0" applyFont="1" applyFill="1" applyBorder="1" applyAlignment="1" applyProtection="1">
      <alignment horizontal="left" vertical="center"/>
      <protection hidden="1"/>
    </xf>
    <xf numFmtId="0" fontId="114" fillId="0" borderId="3" xfId="0" applyFont="1" applyFill="1" applyBorder="1" applyAlignment="1" applyProtection="1">
      <alignment horizontal="left" vertical="center"/>
      <protection hidden="1"/>
    </xf>
    <xf numFmtId="0" fontId="114" fillId="0" borderId="54" xfId="0" applyFont="1" applyFill="1" applyBorder="1" applyAlignment="1" applyProtection="1">
      <alignment horizontal="left" vertical="center"/>
      <protection hidden="1"/>
    </xf>
    <xf numFmtId="0" fontId="114" fillId="0" borderId="20" xfId="0" applyFont="1" applyFill="1" applyBorder="1" applyAlignment="1" applyProtection="1">
      <alignment horizontal="left" vertical="center" wrapText="1"/>
      <protection hidden="1"/>
    </xf>
    <xf numFmtId="0" fontId="114" fillId="0" borderId="3" xfId="0" applyFont="1" applyFill="1" applyBorder="1" applyAlignment="1" applyProtection="1">
      <alignment horizontal="left" vertical="center" wrapText="1"/>
      <protection hidden="1"/>
    </xf>
    <xf numFmtId="0" fontId="114" fillId="0" borderId="54" xfId="0" applyFont="1" applyFill="1" applyBorder="1" applyAlignment="1" applyProtection="1">
      <alignment horizontal="left" vertical="center" wrapText="1"/>
      <protection hidden="1"/>
    </xf>
    <xf numFmtId="0" fontId="4" fillId="0" borderId="18" xfId="61" applyFont="1" applyBorder="1" applyAlignment="1">
      <alignment horizontal="center"/>
    </xf>
    <xf numFmtId="0" fontId="4" fillId="0" borderId="0" xfId="61" applyFont="1" applyAlignment="1">
      <alignment horizontal="center" vertical="center" wrapText="1"/>
    </xf>
    <xf numFmtId="0" fontId="4" fillId="0" borderId="20" xfId="58" applyFont="1" applyFill="1" applyBorder="1" applyAlignment="1" applyProtection="1">
      <alignment horizontal="left" vertical="top"/>
      <protection hidden="1"/>
    </xf>
    <xf numFmtId="0" fontId="114" fillId="0" borderId="0" xfId="0" applyFont="1" applyBorder="1" applyAlignment="1" applyProtection="1">
      <alignment horizontal="left" vertical="center" wrapText="1"/>
      <protection hidden="1"/>
    </xf>
    <xf numFmtId="0" fontId="114" fillId="0" borderId="0" xfId="0" applyFont="1" applyBorder="1" applyAlignment="1" applyProtection="1">
      <alignment horizontal="left" wrapText="1"/>
      <protection hidden="1"/>
    </xf>
    <xf numFmtId="0" fontId="114" fillId="0" borderId="0" xfId="0" applyFont="1" applyFill="1" applyBorder="1" applyAlignment="1" applyProtection="1">
      <alignment horizontal="left" vertical="center" wrapText="1"/>
      <protection hidden="1"/>
    </xf>
    <xf numFmtId="0" fontId="114" fillId="0" borderId="0" xfId="0" applyFont="1" applyAlignment="1" applyProtection="1">
      <alignment horizontal="left" wrapText="1"/>
      <protection hidden="1"/>
    </xf>
    <xf numFmtId="0" fontId="126" fillId="0" borderId="0" xfId="0" applyFont="1" applyFill="1" applyBorder="1" applyAlignment="1" applyProtection="1">
      <alignment horizontal="left" vertical="center" wrapText="1"/>
      <protection hidden="1"/>
    </xf>
    <xf numFmtId="0" fontId="10" fillId="0" borderId="0" xfId="0" applyFont="1" applyAlignment="1">
      <alignment horizontal="center"/>
    </xf>
    <xf numFmtId="0" fontId="0" fillId="0" borderId="0" xfId="0" applyAlignment="1">
      <alignment horizontal="center"/>
    </xf>
    <xf numFmtId="0" fontId="65" fillId="0" borderId="0" xfId="0" applyFont="1" applyAlignment="1">
      <alignment horizontal="left" wrapText="1"/>
    </xf>
    <xf numFmtId="49" fontId="112" fillId="52" borderId="87" xfId="0" applyNumberFormat="1" applyFont="1" applyFill="1" applyBorder="1" applyAlignment="1">
      <alignment horizontal="left" vertical="center"/>
    </xf>
    <xf numFmtId="49" fontId="112" fillId="52" borderId="87" xfId="0" applyNumberFormat="1" applyFont="1" applyFill="1" applyBorder="1" applyAlignment="1">
      <alignment horizontal="center" vertical="center" wrapText="1"/>
    </xf>
    <xf numFmtId="0" fontId="64" fillId="0" borderId="0" xfId="0" applyFont="1" applyAlignment="1">
      <alignment horizontal="center" wrapText="1"/>
    </xf>
    <xf numFmtId="0" fontId="55" fillId="42" borderId="12" xfId="0" applyFont="1" applyFill="1" applyBorder="1" applyAlignment="1" applyProtection="1">
      <alignment wrapText="1"/>
    </xf>
    <xf numFmtId="0" fontId="81" fillId="42" borderId="12" xfId="0" applyFont="1" applyFill="1" applyBorder="1" applyAlignment="1"/>
    <xf numFmtId="0" fontId="9" fillId="25" borderId="12" xfId="0" applyFont="1" applyFill="1" applyBorder="1" applyAlignment="1">
      <alignment horizontal="left"/>
    </xf>
    <xf numFmtId="0" fontId="0" fillId="0" borderId="12" xfId="0" applyBorder="1" applyAlignment="1"/>
    <xf numFmtId="0" fontId="55" fillId="25" borderId="12" xfId="0" quotePrefix="1" applyFont="1" applyFill="1" applyBorder="1" applyAlignment="1" applyProtection="1">
      <alignment horizontal="left"/>
    </xf>
    <xf numFmtId="0" fontId="4" fillId="48" borderId="24" xfId="0" applyFont="1" applyFill="1" applyBorder="1" applyAlignment="1" applyProtection="1">
      <alignment horizontal="center"/>
    </xf>
    <xf numFmtId="176" fontId="75" fillId="28" borderId="23" xfId="0" applyNumberFormat="1" applyFont="1" applyFill="1" applyBorder="1" applyAlignment="1" applyProtection="1">
      <alignment horizontal="center"/>
    </xf>
    <xf numFmtId="176" fontId="75" fillId="28" borderId="24" xfId="0" applyNumberFormat="1" applyFont="1" applyFill="1" applyBorder="1" applyAlignment="1" applyProtection="1">
      <alignment horizontal="center"/>
    </xf>
    <xf numFmtId="176" fontId="75" fillId="28" borderId="25" xfId="0" applyNumberFormat="1" applyFont="1" applyFill="1" applyBorder="1" applyAlignment="1" applyProtection="1">
      <alignment horizontal="center"/>
    </xf>
    <xf numFmtId="0" fontId="75" fillId="28" borderId="75" xfId="0" applyFont="1" applyFill="1" applyBorder="1" applyAlignment="1">
      <alignment horizontal="center"/>
    </xf>
    <xf numFmtId="0" fontId="75" fillId="28" borderId="69" xfId="0" applyFont="1" applyFill="1" applyBorder="1" applyAlignment="1">
      <alignment horizontal="center"/>
    </xf>
    <xf numFmtId="0" fontId="75" fillId="28" borderId="70" xfId="0" applyFont="1" applyFill="1" applyBorder="1" applyAlignment="1">
      <alignment horizontal="center"/>
    </xf>
    <xf numFmtId="0" fontId="83" fillId="48" borderId="24" xfId="0" applyFont="1" applyFill="1" applyBorder="1" applyAlignment="1" applyProtection="1">
      <alignment horizontal="center"/>
    </xf>
    <xf numFmtId="0" fontId="75" fillId="28" borderId="77" xfId="0" applyFont="1" applyFill="1" applyBorder="1" applyAlignment="1">
      <alignment horizontal="left"/>
    </xf>
    <xf numFmtId="0" fontId="0" fillId="0" borderId="0" xfId="0" applyBorder="1" applyAlignment="1">
      <alignment horizontal="left"/>
    </xf>
    <xf numFmtId="0" fontId="99" fillId="0" borderId="0" xfId="0" applyFont="1" applyAlignment="1">
      <alignment vertical="top" wrapText="1"/>
    </xf>
    <xf numFmtId="0" fontId="51" fillId="0" borderId="0" xfId="0" applyFont="1" applyAlignment="1">
      <alignment vertical="top" wrapText="1"/>
    </xf>
    <xf numFmtId="0" fontId="4" fillId="0" borderId="0" xfId="0" applyFont="1" applyAlignment="1">
      <alignment horizontal="center" wrapText="1"/>
    </xf>
    <xf numFmtId="0" fontId="4" fillId="0" borderId="0" xfId="0" applyFont="1" applyAlignment="1">
      <alignment horizontal="center"/>
    </xf>
    <xf numFmtId="0" fontId="4" fillId="35" borderId="0" xfId="0" applyFont="1" applyFill="1" applyAlignment="1">
      <alignment horizontal="center" wrapText="1"/>
    </xf>
    <xf numFmtId="0" fontId="0" fillId="0" borderId="0" xfId="0" applyAlignment="1">
      <alignment horizontal="center" vertical="center" wrapText="1"/>
    </xf>
    <xf numFmtId="0" fontId="0" fillId="0" borderId="0" xfId="0" applyAlignment="1">
      <alignment horizontal="center" wrapText="1"/>
    </xf>
    <xf numFmtId="0" fontId="4" fillId="0" borderId="0" xfId="0" applyFont="1" applyAlignment="1">
      <alignment horizontal="center" vertical="center" wrapText="1"/>
    </xf>
    <xf numFmtId="0" fontId="9" fillId="0" borderId="0" xfId="61" applyFont="1" applyFill="1" applyBorder="1" applyAlignment="1">
      <alignment horizontal="center" wrapText="1"/>
    </xf>
    <xf numFmtId="0" fontId="105" fillId="0" borderId="0" xfId="61" applyFont="1" applyAlignment="1">
      <alignment horizontal="left" vertical="center" wrapText="1"/>
    </xf>
    <xf numFmtId="164" fontId="105" fillId="0" borderId="0" xfId="61" applyNumberFormat="1" applyFont="1" applyFill="1" applyBorder="1" applyAlignment="1">
      <alignment horizontal="left" wrapText="1"/>
    </xf>
    <xf numFmtId="0" fontId="7" fillId="0" borderId="0" xfId="61" applyFont="1" applyFill="1" applyBorder="1" applyAlignment="1">
      <alignment horizontal="center"/>
    </xf>
    <xf numFmtId="0" fontId="9" fillId="0" borderId="0" xfId="61" applyFont="1" applyFill="1" applyBorder="1" applyAlignment="1">
      <alignment horizontal="center"/>
    </xf>
  </cellXfs>
  <cellStyles count="101">
    <cellStyle name="%" xfId="1"/>
    <cellStyle name="% 2" xfId="2"/>
    <cellStyle name="% 2 2" xfId="90"/>
    <cellStyle name="]_x000d__x000a_Zoomed=1_x000d__x000a_Row=0_x000d__x000a_Column=0_x000d__x000a_Height=0_x000d__x000a_Width=0_x000d__x000a_FontName=FoxFont_x000d__x000a_FontStyle=0_x000d__x000a_FontSize=9_x000d__x000a_PrtFontName=FoxPrin" xfId="3"/>
    <cellStyle name="0,0_x000d__x000d_NA_x000d__x000d_" xfId="4"/>
    <cellStyle name="0,0_x000d__x000d_NA_x000d__x000d_ 2" xfId="91"/>
    <cellStyle name="20% - Accent1" xfId="5" builtinId="30" customBuiltin="1"/>
    <cellStyle name="20% - Accent2" xfId="6" builtinId="34" customBuiltin="1"/>
    <cellStyle name="20% - Accent3" xfId="7" builtinId="38" customBuiltin="1"/>
    <cellStyle name="20% - Accent4" xfId="8" builtinId="42" customBuiltin="1"/>
    <cellStyle name="20% - Accent5" xfId="9" builtinId="46" customBuiltin="1"/>
    <cellStyle name="20% - Accent6" xfId="10" builtinId="50" customBuiltin="1"/>
    <cellStyle name="40% - Accent1" xfId="11" builtinId="31" customBuiltin="1"/>
    <cellStyle name="40% - Accent2" xfId="12" builtinId="35" customBuiltin="1"/>
    <cellStyle name="40% - Accent3" xfId="13" builtinId="39" customBuiltin="1"/>
    <cellStyle name="40% - Accent4" xfId="14" builtinId="43" customBuiltin="1"/>
    <cellStyle name="40% - Accent5" xfId="15" builtinId="47" customBuiltin="1"/>
    <cellStyle name="40% - Accent6" xfId="16" builtinId="51" customBuiltin="1"/>
    <cellStyle name="60% - Accent1" xfId="17" builtinId="32" customBuiltin="1"/>
    <cellStyle name="60% - Accent2" xfId="18" builtinId="36" customBuiltin="1"/>
    <cellStyle name="60% - Accent3" xfId="19" builtinId="40" customBuiltin="1"/>
    <cellStyle name="60% - Accent4" xfId="20" builtinId="44" customBuiltin="1"/>
    <cellStyle name="60% - Accent5" xfId="21" builtinId="48" customBuiltin="1"/>
    <cellStyle name="60% - Accent6" xfId="22" builtinId="52" customBuiltin="1"/>
    <cellStyle name="Accent1" xfId="23" builtinId="29" customBuiltin="1"/>
    <cellStyle name="Accent2" xfId="24" builtinId="33" customBuiltin="1"/>
    <cellStyle name="Accent3" xfId="25" builtinId="37" customBuiltin="1"/>
    <cellStyle name="Accent4" xfId="26" builtinId="41" customBuiltin="1"/>
    <cellStyle name="Accent5" xfId="27" builtinId="45" customBuiltin="1"/>
    <cellStyle name="Accent6" xfId="28" builtinId="49" customBuiltin="1"/>
    <cellStyle name="Bad" xfId="29" builtinId="27" customBuiltin="1"/>
    <cellStyle name="Calculation" xfId="30" builtinId="22" customBuiltin="1"/>
    <cellStyle name="Check Cell" xfId="31" builtinId="23" customBuiltin="1"/>
    <cellStyle name="Comma" xfId="89" builtinId="3"/>
    <cellStyle name="Comma 2" xfId="32"/>
    <cellStyle name="Comma 3" xfId="85"/>
    <cellStyle name="Currency 2" xfId="33"/>
    <cellStyle name="Estimated" xfId="34"/>
    <cellStyle name="Explanatory Text" xfId="35" builtinId="53" customBuiltin="1"/>
    <cellStyle name="external input" xfId="36"/>
    <cellStyle name="Good" xfId="37" builtinId="26" customBuiltin="1"/>
    <cellStyle name="Grant" xfId="38"/>
    <cellStyle name="Header" xfId="39"/>
    <cellStyle name="HeaderGrant" xfId="40"/>
    <cellStyle name="HeaderGrant 2" xfId="92"/>
    <cellStyle name="HeaderLEA" xfId="41"/>
    <cellStyle name="Heading 1" xfId="42" builtinId="16" customBuiltin="1"/>
    <cellStyle name="Heading 2" xfId="43" builtinId="17" customBuiltin="1"/>
    <cellStyle name="Heading 3" xfId="44" builtinId="18" customBuiltin="1"/>
    <cellStyle name="Heading 4" xfId="45" builtinId="19" customBuiltin="1"/>
    <cellStyle name="Imported" xfId="46"/>
    <cellStyle name="Input" xfId="47" builtinId="20" customBuiltin="1"/>
    <cellStyle name="LEAName" xfId="48"/>
    <cellStyle name="LEAName 2" xfId="93"/>
    <cellStyle name="LEANumber" xfId="49"/>
    <cellStyle name="LEANumber 2" xfId="94"/>
    <cellStyle name="Linked Cell" xfId="50" builtinId="24" customBuiltin="1"/>
    <cellStyle name="log projection" xfId="51"/>
    <cellStyle name="Neutral" xfId="52" builtinId="28" customBuiltin="1"/>
    <cellStyle name="Normal" xfId="0" builtinId="0"/>
    <cellStyle name="Normal 2" xfId="53"/>
    <cellStyle name="Normal 2 2" xfId="54"/>
    <cellStyle name="Normal 2 2 2" xfId="87"/>
    <cellStyle name="Normal 2 2 3" xfId="95"/>
    <cellStyle name="Normal 2 3" xfId="86"/>
    <cellStyle name="Normal 3" xfId="55"/>
    <cellStyle name="Normal 3 2" xfId="96"/>
    <cellStyle name="Normal 4" xfId="56"/>
    <cellStyle name="Normal 4 2" xfId="97"/>
    <cellStyle name="Normal 5" xfId="57"/>
    <cellStyle name="Normal 6" xfId="58"/>
    <cellStyle name="Normal 7" xfId="84"/>
    <cellStyle name="Normal 8" xfId="99"/>
    <cellStyle name="Normal_0242 1998-99 ESTIMATE" xfId="59"/>
    <cellStyle name="Normal_Sheet1" xfId="60"/>
    <cellStyle name="Normal_Special Schools - Band Descriptors" xfId="61"/>
    <cellStyle name="Normal_Special Schools - Band Descriptors (Amended)" xfId="62"/>
    <cellStyle name="Note" xfId="63" builtinId="10" customBuiltin="1"/>
    <cellStyle name="Number" xfId="64"/>
    <cellStyle name="Number 2" xfId="98"/>
    <cellStyle name="Output" xfId="65" builtinId="21" customBuiltin="1"/>
    <cellStyle name="Percent" xfId="100" builtinId="5"/>
    <cellStyle name="provisional PN158/97" xfId="66"/>
    <cellStyle name="SAPBEXaggData" xfId="67"/>
    <cellStyle name="SAPBEXchaText" xfId="68"/>
    <cellStyle name="SAPBEXHLevel0" xfId="69"/>
    <cellStyle name="SAPBEXHLevel2" xfId="70"/>
    <cellStyle name="SAPBEXHLevel3" xfId="71"/>
    <cellStyle name="SAPBEXstdItem" xfId="88"/>
    <cellStyle name="SAPBEXstdItemX" xfId="72"/>
    <cellStyle name="SAPBEXtitle" xfId="73"/>
    <cellStyle name="Style 1" xfId="74"/>
    <cellStyle name="sub" xfId="75"/>
    <cellStyle name="table imported" xfId="76"/>
    <cellStyle name="table sum" xfId="77"/>
    <cellStyle name="table values" xfId="78"/>
    <cellStyle name="Title" xfId="79" builtinId="15" customBuiltin="1"/>
    <cellStyle name="Total" xfId="80" builtinId="25" customBuiltin="1"/>
    <cellStyle name="u5shares" xfId="81"/>
    <cellStyle name="Variable assumptions" xfId="82"/>
    <cellStyle name="Warning Text" xfId="83"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39994506668294322"/>
        </patternFill>
      </fill>
    </dxf>
  </dxfs>
  <tableStyles count="0" defaultTableStyle="TableStyleMedium2" defaultPivotStyle="PivotStyleLight16"/>
  <colors>
    <mruColors>
      <color rgb="FF92D050"/>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4.xml"/><Relationship Id="rId84" Type="http://schemas.openxmlformats.org/officeDocument/2006/relationships/externalLink" Target="externalLinks/externalLink12.xml"/><Relationship Id="rId89" Type="http://schemas.openxmlformats.org/officeDocument/2006/relationships/externalLink" Target="externalLinks/externalLink1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2.xml"/><Relationship Id="rId79" Type="http://schemas.openxmlformats.org/officeDocument/2006/relationships/externalLink" Target="externalLinks/externalLink7.xml"/><Relationship Id="rId87" Type="http://schemas.openxmlformats.org/officeDocument/2006/relationships/externalLink" Target="externalLinks/externalLink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0.xml"/><Relationship Id="rId90" Type="http://schemas.openxmlformats.org/officeDocument/2006/relationships/externalLink" Target="externalLinks/externalLink18.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8.xml"/><Relationship Id="rId85" Type="http://schemas.openxmlformats.org/officeDocument/2006/relationships/externalLink" Target="externalLinks/externalLink13.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3.xml"/><Relationship Id="rId83" Type="http://schemas.openxmlformats.org/officeDocument/2006/relationships/externalLink" Target="externalLinks/externalLink11.xml"/><Relationship Id="rId88" Type="http://schemas.openxmlformats.org/officeDocument/2006/relationships/externalLink" Target="externalLinks/externalLink16.xml"/><Relationship Id="rId91" Type="http://schemas.openxmlformats.org/officeDocument/2006/relationships/externalLink" Target="externalLinks/externalLink19.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externalLink" Target="externalLinks/externalLink6.xml"/><Relationship Id="rId81" Type="http://schemas.openxmlformats.org/officeDocument/2006/relationships/externalLink" Target="externalLinks/externalLink9.xml"/><Relationship Id="rId86" Type="http://schemas.openxmlformats.org/officeDocument/2006/relationships/externalLink" Target="externalLinks/externalLink14.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14</xdr:row>
      <xdr:rowOff>0</xdr:rowOff>
    </xdr:to>
    <xdr:sp macro="" textlink="">
      <xdr:nvSpPr>
        <xdr:cNvPr id="3" name="Right Brace 2"/>
        <xdr:cNvSpPr/>
      </xdr:nvSpPr>
      <xdr:spPr>
        <a:xfrm>
          <a:off x="3160059" y="2017059"/>
          <a:ext cx="324970" cy="47064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15</xdr:row>
      <xdr:rowOff>134470</xdr:rowOff>
    </xdr:to>
    <xdr:sp macro="" textlink="">
      <xdr:nvSpPr>
        <xdr:cNvPr id="4" name="Right Brace 3"/>
        <xdr:cNvSpPr/>
      </xdr:nvSpPr>
      <xdr:spPr>
        <a:xfrm>
          <a:off x="7059706" y="1546413"/>
          <a:ext cx="425823" cy="107576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523875</xdr:colOff>
      <xdr:row>24</xdr:row>
      <xdr:rowOff>47626</xdr:rowOff>
    </xdr:from>
    <xdr:to>
      <xdr:col>3</xdr:col>
      <xdr:colOff>523876</xdr:colOff>
      <xdr:row>26</xdr:row>
      <xdr:rowOff>47625</xdr:rowOff>
    </xdr:to>
    <xdr:cxnSp macro="">
      <xdr:nvCxnSpPr>
        <xdr:cNvPr id="3" name="Straight Arrow Connector 2"/>
        <xdr:cNvCxnSpPr/>
      </xdr:nvCxnSpPr>
      <xdr:spPr>
        <a:xfrm flipV="1">
          <a:off x="3705225" y="4419601"/>
          <a:ext cx="1" cy="32384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56029</xdr:colOff>
      <xdr:row>7</xdr:row>
      <xdr:rowOff>44823</xdr:rowOff>
    </xdr:from>
    <xdr:to>
      <xdr:col>5</xdr:col>
      <xdr:colOff>0</xdr:colOff>
      <xdr:row>8</xdr:row>
      <xdr:rowOff>134469</xdr:rowOff>
    </xdr:to>
    <xdr:sp macro="" textlink="">
      <xdr:nvSpPr>
        <xdr:cNvPr id="4" name="Left Arrow 3"/>
        <xdr:cNvSpPr/>
      </xdr:nvSpPr>
      <xdr:spPr>
        <a:xfrm flipV="1">
          <a:off x="5132294" y="1154205"/>
          <a:ext cx="616324" cy="2465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19</xdr:row>
      <xdr:rowOff>0</xdr:rowOff>
    </xdr:from>
    <xdr:to>
      <xdr:col>3</xdr:col>
      <xdr:colOff>616324</xdr:colOff>
      <xdr:row>20</xdr:row>
      <xdr:rowOff>89646</xdr:rowOff>
    </xdr:to>
    <xdr:sp macro="" textlink="">
      <xdr:nvSpPr>
        <xdr:cNvPr id="5" name="Left Arrow 4"/>
        <xdr:cNvSpPr/>
      </xdr:nvSpPr>
      <xdr:spPr>
        <a:xfrm flipV="1">
          <a:off x="4403912" y="3014382"/>
          <a:ext cx="616324" cy="2465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324970</xdr:colOff>
      <xdr:row>15</xdr:row>
      <xdr:rowOff>0</xdr:rowOff>
    </xdr:to>
    <xdr:sp macro="" textlink="">
      <xdr:nvSpPr>
        <xdr:cNvPr id="2" name="Right Brace 1"/>
        <xdr:cNvSpPr/>
      </xdr:nvSpPr>
      <xdr:spPr>
        <a:xfrm>
          <a:off x="3162300" y="2066925"/>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0</xdr:rowOff>
    </xdr:from>
    <xdr:to>
      <xdr:col>4</xdr:col>
      <xdr:colOff>78441</xdr:colOff>
      <xdr:row>17</xdr:row>
      <xdr:rowOff>11205</xdr:rowOff>
    </xdr:to>
    <xdr:sp macro="" textlink="">
      <xdr:nvSpPr>
        <xdr:cNvPr id="3" name="Right Brace 2"/>
        <xdr:cNvSpPr/>
      </xdr:nvSpPr>
      <xdr:spPr>
        <a:xfrm>
          <a:off x="7056344" y="1581150"/>
          <a:ext cx="423022" cy="13066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7</xdr:col>
      <xdr:colOff>1736911</xdr:colOff>
      <xdr:row>26</xdr:row>
      <xdr:rowOff>0</xdr:rowOff>
    </xdr:from>
    <xdr:to>
      <xdr:col>7</xdr:col>
      <xdr:colOff>2061881</xdr:colOff>
      <xdr:row>29</xdr:row>
      <xdr:rowOff>0</xdr:rowOff>
    </xdr:to>
    <xdr:sp macro="" textlink="">
      <xdr:nvSpPr>
        <xdr:cNvPr id="4" name="Right Brace 3"/>
        <xdr:cNvSpPr/>
      </xdr:nvSpPr>
      <xdr:spPr>
        <a:xfrm>
          <a:off x="12919261" y="4333875"/>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71</xdr:row>
          <xdr:rowOff>19050</xdr:rowOff>
        </xdr:from>
        <xdr:to>
          <xdr:col>0</xdr:col>
          <xdr:colOff>660400</xdr:colOff>
          <xdr:row>73</xdr:row>
          <xdr:rowOff>95250</xdr:rowOff>
        </xdr:to>
        <xdr:sp macro="" textlink="">
          <xdr:nvSpPr>
            <xdr:cNvPr id="25601" name="Object 1" hidden="1">
              <a:extLst>
                <a:ext uri="{63B3BB69-23CF-44E3-9099-C40C66FF867C}">
                  <a14:compatExt spid="_x0000_s2560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537883</xdr:colOff>
      <xdr:row>1</xdr:row>
      <xdr:rowOff>112058</xdr:rowOff>
    </xdr:from>
    <xdr:to>
      <xdr:col>2</xdr:col>
      <xdr:colOff>7470</xdr:colOff>
      <xdr:row>10</xdr:row>
      <xdr:rowOff>7470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7883" y="268940"/>
          <a:ext cx="9651999" cy="1307354"/>
        </a:xfrm>
        <a:prstGeom prst="rect">
          <a:avLst/>
        </a:prstGeom>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1344706</xdr:colOff>
      <xdr:row>6</xdr:row>
      <xdr:rowOff>22410</xdr:rowOff>
    </xdr:from>
    <xdr:to>
      <xdr:col>7</xdr:col>
      <xdr:colOff>100853</xdr:colOff>
      <xdr:row>12</xdr:row>
      <xdr:rowOff>156881</xdr:rowOff>
    </xdr:to>
    <xdr:sp macro="" textlink="">
      <xdr:nvSpPr>
        <xdr:cNvPr id="3" name="Right Brace 2"/>
        <xdr:cNvSpPr/>
      </xdr:nvSpPr>
      <xdr:spPr>
        <a:xfrm>
          <a:off x="10421471" y="1098175"/>
          <a:ext cx="268941" cy="107576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13</xdr:row>
      <xdr:rowOff>0</xdr:rowOff>
    </xdr:to>
    <xdr:sp macro="" textlink="">
      <xdr:nvSpPr>
        <xdr:cNvPr id="2" name="Right Brace 1"/>
        <xdr:cNvSpPr/>
      </xdr:nvSpPr>
      <xdr:spPr>
        <a:xfrm>
          <a:off x="3162300" y="1905000"/>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14</xdr:row>
      <xdr:rowOff>134470</xdr:rowOff>
    </xdr:to>
    <xdr:sp macro="" textlink="">
      <xdr:nvSpPr>
        <xdr:cNvPr id="3" name="Right Brace 2"/>
        <xdr:cNvSpPr/>
      </xdr:nvSpPr>
      <xdr:spPr>
        <a:xfrm>
          <a:off x="7056344" y="1581151"/>
          <a:ext cx="423022" cy="110601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13</xdr:row>
      <xdr:rowOff>0</xdr:rowOff>
    </xdr:to>
    <xdr:sp macro="" textlink="">
      <xdr:nvSpPr>
        <xdr:cNvPr id="4" name="Right Brace 3"/>
        <xdr:cNvSpPr/>
      </xdr:nvSpPr>
      <xdr:spPr>
        <a:xfrm>
          <a:off x="3162300" y="1905000"/>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14</xdr:row>
      <xdr:rowOff>134470</xdr:rowOff>
    </xdr:to>
    <xdr:sp macro="" textlink="">
      <xdr:nvSpPr>
        <xdr:cNvPr id="5" name="Right Brace 4"/>
        <xdr:cNvSpPr/>
      </xdr:nvSpPr>
      <xdr:spPr>
        <a:xfrm>
          <a:off x="7056344" y="1581151"/>
          <a:ext cx="423022" cy="110601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470647</xdr:colOff>
      <xdr:row>23</xdr:row>
      <xdr:rowOff>44824</xdr:rowOff>
    </xdr:from>
    <xdr:to>
      <xdr:col>39</xdr:col>
      <xdr:colOff>728382</xdr:colOff>
      <xdr:row>28</xdr:row>
      <xdr:rowOff>0</xdr:rowOff>
    </xdr:to>
    <xdr:cxnSp macro="">
      <xdr:nvCxnSpPr>
        <xdr:cNvPr id="3" name="Straight Arrow Connector 2"/>
        <xdr:cNvCxnSpPr/>
      </xdr:nvCxnSpPr>
      <xdr:spPr>
        <a:xfrm flipV="1">
          <a:off x="31634206" y="4056530"/>
          <a:ext cx="941294" cy="117661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1703295</xdr:colOff>
      <xdr:row>9</xdr:row>
      <xdr:rowOff>1</xdr:rowOff>
    </xdr:from>
    <xdr:to>
      <xdr:col>4</xdr:col>
      <xdr:colOff>1</xdr:colOff>
      <xdr:row>14</xdr:row>
      <xdr:rowOff>145677</xdr:rowOff>
    </xdr:to>
    <xdr:sp macro="" textlink="">
      <xdr:nvSpPr>
        <xdr:cNvPr id="5" name="Right Brace 4"/>
        <xdr:cNvSpPr/>
      </xdr:nvSpPr>
      <xdr:spPr>
        <a:xfrm>
          <a:off x="7384677" y="2028266"/>
          <a:ext cx="470648" cy="7732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11</xdr:row>
      <xdr:rowOff>0</xdr:rowOff>
    </xdr:from>
    <xdr:to>
      <xdr:col>1</xdr:col>
      <xdr:colOff>1176618</xdr:colOff>
      <xdr:row>14</xdr:row>
      <xdr:rowOff>0</xdr:rowOff>
    </xdr:to>
    <xdr:sp macro="" textlink="">
      <xdr:nvSpPr>
        <xdr:cNvPr id="21" name="Right Brace 20"/>
        <xdr:cNvSpPr/>
      </xdr:nvSpPr>
      <xdr:spPr>
        <a:xfrm>
          <a:off x="4915648" y="2136588"/>
          <a:ext cx="324970" cy="58270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495300</xdr:colOff>
      <xdr:row>27</xdr:row>
      <xdr:rowOff>28576</xdr:rowOff>
    </xdr:from>
    <xdr:to>
      <xdr:col>11</xdr:col>
      <xdr:colOff>504825</xdr:colOff>
      <xdr:row>30</xdr:row>
      <xdr:rowOff>28575</xdr:rowOff>
    </xdr:to>
    <xdr:cxnSp macro="">
      <xdr:nvCxnSpPr>
        <xdr:cNvPr id="3" name="Straight Arrow Connector 2"/>
        <xdr:cNvCxnSpPr/>
      </xdr:nvCxnSpPr>
      <xdr:spPr>
        <a:xfrm flipV="1">
          <a:off x="12077700" y="4810126"/>
          <a:ext cx="9525" cy="48577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mp.lincolnshire.gov.uk/Documents%20and%20Settings/julie.hulme.HBSLINC/Local%20Settings/Temporary%20Internet%20Files/OLK5/Special%20Schools%20Funding%20-%202013-14%20Budget%20Shares%20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david.leonard.LINCSCC/AppData/Local/Microsoft/Windows/Temporary%20Internet%20Files/Content.Outlook/ZDF4I2B6/1718%20Budget%20Share%20-%20Rebased%20with%20Band%204+%20Moderation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esktop/mark.popplewell/Desktop/Special%20Schools%20Meeting/1819%20Band%20Profile%20-%20Summary%20-%20MP%20-%20modelling.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david.leonard/AppData/Roaming/OpenText/OTEdit/EC_imp/c43575630/DSG%203m%20underspend.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david.leonard.LINCSCC/AppData/Local/Microsoft/Windows/Temporary%20Internet%20Files/Content.Outlook/ZDF4I2B6/1819%20Band%20Profile%20-%20Summary%20-%20MP%20-%20modelling.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david.leonard/AppData/Roaming/OpenText/OTEdit/EC_imp/c37659615/Special%20Schools%20Budget%20Shares%202017-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david.leonard/AppData/Roaming/OpenText/OTEdit/EC_imp/c58075333/Teaching%20Assistants%20Under%205%20Years%20Salary%20Scales%202020-21.xlsx%20-%20Updated%2027.08.20%202.75%25%2015.09.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unding Model"/>
      <sheetName val="2013-14 Places"/>
      <sheetName val="2013-14 Funding (pre 16)"/>
      <sheetName val="2013-14 Funding"/>
      <sheetName val="2012-13 Top-ups"/>
      <sheetName val="Sheet1"/>
      <sheetName val="BS 2012-13"/>
      <sheetName val="Band Calculations"/>
      <sheetName val="2010-11 Funding"/>
      <sheetName val="Mainstreamed Grants"/>
      <sheetName val="Revised Band Returns"/>
      <sheetName val="Transition"/>
      <sheetName val="Ash Villa2"/>
      <sheetName val="Boston 2"/>
      <sheetName val="Gainsborough"/>
      <sheetName val="PFI Summary"/>
      <sheetName val="1112 Unitary Charge Bench"/>
    </sheetNames>
    <sheetDataSet>
      <sheetData sheetId="0"/>
      <sheetData sheetId="1"/>
      <sheetData sheetId="2"/>
      <sheetData sheetId="3"/>
      <sheetData sheetId="4"/>
      <sheetData sheetId="5"/>
      <sheetData sheetId="6"/>
      <sheetData sheetId="7"/>
      <sheetData sheetId="8">
        <row r="24">
          <cell r="I24">
            <v>20</v>
          </cell>
          <cell r="K24">
            <v>233840.41276193573</v>
          </cell>
        </row>
        <row r="25">
          <cell r="I25">
            <v>9</v>
          </cell>
          <cell r="K25">
            <v>105228.18574287108</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 Rebase"/>
      <sheetName val="Funding Detail - Rebase"/>
      <sheetName val="Band Calculations - Rebase"/>
      <sheetName val="Revised Bands - Re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18">
          <cell r="V118">
            <v>118.91666666666667</v>
          </cell>
        </row>
      </sheetData>
      <sheetData sheetId="3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d Profiles"/>
      <sheetName val="Band Descriptors"/>
      <sheetName val="Teacher Pay Scales"/>
      <sheetName val="TA Pay scales"/>
      <sheetName val="GLEA Pay Scales"/>
      <sheetName val="Place Numbers"/>
      <sheetName val="Finance Analysis"/>
      <sheetName val="Basic Staffing Block"/>
      <sheetName val="Non Staffing Block"/>
      <sheetName val="Previous Non-Staffing"/>
      <sheetName val="Leadership Pay Scale"/>
    </sheetNames>
    <sheetDataSet>
      <sheetData sheetId="0"/>
      <sheetData sheetId="1">
        <row r="5">
          <cell r="F5">
            <v>14004.235952555704</v>
          </cell>
        </row>
        <row r="8">
          <cell r="F8">
            <v>6829.0826228613796</v>
          </cell>
        </row>
        <row r="11">
          <cell r="F11">
            <v>5740.9218150011166</v>
          </cell>
        </row>
        <row r="14">
          <cell r="F14">
            <v>14004.235952555704</v>
          </cell>
        </row>
        <row r="17">
          <cell r="F17">
            <v>11263.412317184524</v>
          </cell>
        </row>
        <row r="22">
          <cell r="F22">
            <v>14877.000599571715</v>
          </cell>
        </row>
        <row r="24">
          <cell r="F24">
            <v>22512.750755794426</v>
          </cell>
        </row>
      </sheetData>
      <sheetData sheetId="2"/>
      <sheetData sheetId="3"/>
      <sheetData sheetId="4"/>
      <sheetData sheetId="5"/>
      <sheetData sheetId="6"/>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V6"/>
      <sheetName val="Summary V7"/>
      <sheetName val="Summary V8"/>
      <sheetName val="Pri Sec V6"/>
      <sheetName val="Pri Sec V7"/>
      <sheetName val="Pri Sec V8"/>
      <sheetName val="Nursery Schools"/>
      <sheetName val="Special Schools"/>
      <sheetName val="Jan 18 APT"/>
      <sheetName val="Jan 17 APT"/>
      <sheetName val="Jan 18 APT V7"/>
      <sheetName val="Jan 18 APT V8"/>
    </sheetNames>
    <sheetDataSet>
      <sheetData sheetId="0">
        <row r="24">
          <cell r="B24">
            <v>166096.01284005385</v>
          </cell>
        </row>
      </sheetData>
      <sheetData sheetId="1"/>
      <sheetData sheetId="2">
        <row r="12">
          <cell r="C12">
            <v>1.0693422712905052</v>
          </cell>
        </row>
        <row r="17">
          <cell r="C17">
            <v>165614.38426611698</v>
          </cell>
        </row>
      </sheetData>
      <sheetData sheetId="3"/>
      <sheetData sheetId="4"/>
      <sheetData sheetId="5"/>
      <sheetData sheetId="6"/>
      <sheetData sheetId="7">
        <row r="45">
          <cell r="I45">
            <v>154877.8125</v>
          </cell>
        </row>
      </sheetData>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d Profiles"/>
      <sheetName val="Band Descriptors"/>
      <sheetName val="Teacher Pay Scales"/>
      <sheetName val="TA Pay scales"/>
      <sheetName val="GLEA Pay Scales"/>
      <sheetName val="Place Numbers"/>
      <sheetName val="Finance Analysis"/>
      <sheetName val="Basic Staffing Block"/>
      <sheetName val="Non Staffing Block"/>
      <sheetName val="Previous Non-Staffing"/>
      <sheetName val="Leadership Pay Scale"/>
    </sheetNames>
    <sheetDataSet>
      <sheetData sheetId="0" refreshError="1"/>
      <sheetData sheetId="1" refreshError="1"/>
      <sheetData sheetId="2">
        <row r="44">
          <cell r="I44">
            <v>36849</v>
          </cell>
          <cell r="M44">
            <v>43118</v>
          </cell>
        </row>
      </sheetData>
      <sheetData sheetId="3">
        <row r="45">
          <cell r="L45">
            <v>19807.100655021834</v>
          </cell>
          <cell r="N45">
            <v>22171.648471615721</v>
          </cell>
        </row>
      </sheetData>
      <sheetData sheetId="4">
        <row r="21">
          <cell r="K21">
            <v>20409.239999999998</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7">
          <cell r="D47">
            <v>11692.020638096787</v>
          </cell>
        </row>
        <row r="49">
          <cell r="D49">
            <v>7350.1419469065795</v>
          </cell>
        </row>
        <row r="51">
          <cell r="D51">
            <v>6243.7244928897762</v>
          </cell>
        </row>
        <row r="53">
          <cell r="D53">
            <v>11692.020638096787</v>
          </cell>
        </row>
        <row r="57">
          <cell r="D57">
            <v>11692.020638096787</v>
          </cell>
        </row>
      </sheetData>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CHING ASSISTANT 202021"/>
      <sheetName val="Sheet2"/>
    </sheetNames>
    <sheetDataSet>
      <sheetData sheetId="0" refreshError="1"/>
      <sheetData sheetId="1" refreshError="1">
        <row r="21">
          <cell r="E21">
            <v>18430.267500000002</v>
          </cell>
        </row>
        <row r="22">
          <cell r="E22">
            <v>18561.787500000002</v>
          </cell>
        </row>
        <row r="23">
          <cell r="E23">
            <v>18925.522500000003</v>
          </cell>
        </row>
        <row r="24">
          <cell r="E24">
            <v>19333.440000000002</v>
          </cell>
        </row>
        <row r="27">
          <cell r="E27">
            <v>20412.315000000002</v>
          </cell>
        </row>
        <row r="28">
          <cell r="E28">
            <v>20903.460000000003</v>
          </cell>
        </row>
        <row r="29">
          <cell r="E29">
            <v>21730.597500000003</v>
          </cell>
        </row>
        <row r="30">
          <cell r="E30">
            <v>22637.88</v>
          </cell>
        </row>
        <row r="31">
          <cell r="E31">
            <v>23541.052500000002</v>
          </cell>
        </row>
        <row r="32">
          <cell r="E32">
            <v>24333.255000000001</v>
          </cell>
        </row>
        <row r="33">
          <cell r="E33">
            <v>25123.4025</v>
          </cell>
        </row>
        <row r="34">
          <cell r="E34">
            <v>25990.612500000003</v>
          </cell>
        </row>
        <row r="35">
          <cell r="E35">
            <v>26784.870000000003</v>
          </cell>
        </row>
        <row r="36">
          <cell r="E36">
            <v>27729.142500000002</v>
          </cell>
        </row>
        <row r="37">
          <cell r="E37">
            <v>28672.387500000001</v>
          </cell>
        </row>
        <row r="38">
          <cell r="E38">
            <v>29919.772500000003</v>
          </cell>
        </row>
        <row r="39">
          <cell r="E39">
            <v>31053.105000000003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4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48.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3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3.vml"/></Relationships>
</file>

<file path=xl/worksheets/_rels/sheet6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printerSettings" Target="../printerSettings/printerSettings40.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2:I30"/>
  <sheetViews>
    <sheetView topLeftCell="A4" zoomScale="85" zoomScaleNormal="85" workbookViewId="0">
      <selection activeCell="H26" sqref="H26"/>
    </sheetView>
  </sheetViews>
  <sheetFormatPr defaultRowHeight="12.5" x14ac:dyDescent="0.25"/>
  <cols>
    <col min="1" max="1" width="51.453125" customWidth="1"/>
    <col min="2" max="2" width="15.7265625" style="16" customWidth="1"/>
    <col min="3" max="3" width="57.54296875" style="2" customWidth="1"/>
    <col min="4" max="4" width="15.7265625" style="2" customWidth="1"/>
    <col min="5" max="5" width="1" customWidth="1"/>
    <col min="6" max="6" width="15.7265625" style="2" customWidth="1"/>
    <col min="7" max="7" width="0.81640625" customWidth="1"/>
    <col min="8" max="8" width="42" customWidth="1"/>
    <col min="9" max="9" width="15.7265625" customWidth="1"/>
  </cols>
  <sheetData>
    <row r="2" spans="1:9" ht="13" x14ac:dyDescent="0.3">
      <c r="A2" s="1" t="s">
        <v>505</v>
      </c>
      <c r="B2" s="503" t="s">
        <v>463</v>
      </c>
      <c r="C2" s="503"/>
      <c r="D2" s="503" t="s">
        <v>523</v>
      </c>
      <c r="E2" s="504"/>
      <c r="F2" s="503" t="s">
        <v>524</v>
      </c>
    </row>
    <row r="4" spans="1:9" x14ac:dyDescent="0.25">
      <c r="A4" s="6" t="s">
        <v>511</v>
      </c>
      <c r="B4" s="418">
        <f>'2015-16 Funding Detail'!X25</f>
        <v>24719233.529910587</v>
      </c>
      <c r="D4" s="16">
        <v>24612982.282721058</v>
      </c>
      <c r="E4" s="502"/>
      <c r="F4" s="16">
        <f>B4-D4</f>
        <v>106251.24718952924</v>
      </c>
      <c r="H4" s="6" t="s">
        <v>527</v>
      </c>
    </row>
    <row r="5" spans="1:9" x14ac:dyDescent="0.25">
      <c r="A5" s="6" t="s">
        <v>512</v>
      </c>
      <c r="B5" s="418">
        <f>'2015-16 Funding Detail'!F25</f>
        <v>850820</v>
      </c>
      <c r="D5" s="16">
        <v>839504</v>
      </c>
      <c r="E5" s="502"/>
      <c r="F5" s="16">
        <f t="shared" ref="F5:F10" si="0">B5-D5</f>
        <v>11316</v>
      </c>
      <c r="H5" s="6" t="s">
        <v>370</v>
      </c>
    </row>
    <row r="6" spans="1:9" x14ac:dyDescent="0.25">
      <c r="A6" s="6" t="s">
        <v>506</v>
      </c>
      <c r="B6" s="418">
        <f>'2015-16 Other Funding'!AA64+'2015-16 Other Funding'!AB64+'2015-16 Other Funding'!AC64</f>
        <v>757936</v>
      </c>
      <c r="D6" s="16">
        <v>551936</v>
      </c>
      <c r="E6" s="502"/>
      <c r="F6" s="16">
        <f t="shared" si="0"/>
        <v>206000</v>
      </c>
      <c r="H6" s="415" t="s">
        <v>212</v>
      </c>
      <c r="I6" s="346"/>
    </row>
    <row r="7" spans="1:9" ht="13" x14ac:dyDescent="0.3">
      <c r="A7" s="6" t="s">
        <v>183</v>
      </c>
      <c r="B7" s="418">
        <v>317322</v>
      </c>
      <c r="D7" s="16">
        <v>317322</v>
      </c>
      <c r="E7" s="502"/>
      <c r="F7" s="16">
        <f t="shared" si="0"/>
        <v>0</v>
      </c>
      <c r="H7" s="416"/>
      <c r="I7" s="417"/>
    </row>
    <row r="8" spans="1:9" x14ac:dyDescent="0.25">
      <c r="A8" s="6" t="s">
        <v>184</v>
      </c>
      <c r="B8" s="418">
        <f>'2015-16 Other Funding'!AD26</f>
        <v>910212</v>
      </c>
      <c r="D8" s="16">
        <v>910212</v>
      </c>
      <c r="E8" s="502"/>
      <c r="F8" s="16">
        <f t="shared" si="0"/>
        <v>0</v>
      </c>
      <c r="H8" s="20"/>
      <c r="I8" s="20"/>
    </row>
    <row r="9" spans="1:9" x14ac:dyDescent="0.25">
      <c r="A9" s="6" t="s">
        <v>507</v>
      </c>
      <c r="B9" s="418">
        <v>1235496</v>
      </c>
      <c r="D9" s="16">
        <v>1000899</v>
      </c>
      <c r="E9" s="502"/>
      <c r="F9" s="16">
        <f t="shared" si="0"/>
        <v>234597</v>
      </c>
      <c r="H9" s="505" t="s">
        <v>526</v>
      </c>
      <c r="I9" s="20"/>
    </row>
    <row r="10" spans="1:9" x14ac:dyDescent="0.25">
      <c r="A10" s="6" t="s">
        <v>508</v>
      </c>
      <c r="B10" s="346">
        <v>294788</v>
      </c>
      <c r="D10" s="16">
        <v>245233</v>
      </c>
      <c r="E10" s="502"/>
      <c r="F10" s="16">
        <f t="shared" si="0"/>
        <v>49555</v>
      </c>
      <c r="H10" s="6" t="s">
        <v>525</v>
      </c>
    </row>
    <row r="11" spans="1:9" ht="13" x14ac:dyDescent="0.3">
      <c r="A11" s="6"/>
      <c r="B11" s="346"/>
      <c r="D11" s="16"/>
      <c r="E11" s="502"/>
      <c r="F11" s="419"/>
    </row>
    <row r="12" spans="1:9" ht="13" x14ac:dyDescent="0.3">
      <c r="A12" s="424" t="s">
        <v>515</v>
      </c>
      <c r="B12" s="174">
        <f>SUM(B4:B10)</f>
        <v>29085807.529910587</v>
      </c>
      <c r="D12" s="419">
        <f>SUM(D4:D11)</f>
        <v>28478088.282721058</v>
      </c>
      <c r="E12" s="419"/>
      <c r="F12" s="419">
        <f>SUM(F4:F11)</f>
        <v>607719.24718952924</v>
      </c>
      <c r="G12" s="20"/>
      <c r="H12" s="423"/>
    </row>
    <row r="13" spans="1:9" ht="13" x14ac:dyDescent="0.3">
      <c r="A13" s="6"/>
      <c r="B13" s="174"/>
      <c r="F13" s="417"/>
      <c r="H13" s="420"/>
    </row>
    <row r="14" spans="1:9" ht="13" x14ac:dyDescent="0.3">
      <c r="A14" s="415" t="s">
        <v>516</v>
      </c>
      <c r="B14" s="425">
        <v>28487536</v>
      </c>
      <c r="D14" s="16">
        <f>B14-D12</f>
        <v>9447.7172789424658</v>
      </c>
      <c r="F14" s="417"/>
      <c r="H14" s="420"/>
    </row>
    <row r="15" spans="1:9" ht="13" x14ac:dyDescent="0.3">
      <c r="A15" s="415" t="s">
        <v>522</v>
      </c>
      <c r="B15" s="425">
        <v>206000</v>
      </c>
      <c r="C15" s="426" t="s">
        <v>212</v>
      </c>
      <c r="F15" s="417"/>
      <c r="H15" s="420"/>
    </row>
    <row r="16" spans="1:9" ht="13" x14ac:dyDescent="0.3">
      <c r="A16" s="6"/>
      <c r="B16" s="174"/>
      <c r="F16" s="417"/>
      <c r="H16" s="420"/>
    </row>
    <row r="17" spans="1:8" ht="13" x14ac:dyDescent="0.3">
      <c r="A17" s="420" t="s">
        <v>104</v>
      </c>
      <c r="B17" s="174">
        <f>B12-B14-B15</f>
        <v>392271.52991058677</v>
      </c>
      <c r="F17" s="417"/>
      <c r="H17" s="420"/>
    </row>
    <row r="18" spans="1:8" ht="13" x14ac:dyDescent="0.3">
      <c r="A18" s="6"/>
      <c r="B18" s="174"/>
      <c r="F18" s="417"/>
      <c r="H18" s="420"/>
    </row>
    <row r="19" spans="1:8" ht="13" x14ac:dyDescent="0.3">
      <c r="A19" s="1851" t="s">
        <v>517</v>
      </c>
      <c r="B19" s="425">
        <v>352528.66189884982</v>
      </c>
      <c r="C19" s="426" t="s">
        <v>528</v>
      </c>
      <c r="F19" s="417"/>
      <c r="H19" s="615">
        <f>SUM(B12-F9)-B14-B15</f>
        <v>157674.52991058677</v>
      </c>
    </row>
    <row r="20" spans="1:8" ht="13" x14ac:dyDescent="0.3">
      <c r="A20" s="1851"/>
      <c r="B20" s="425"/>
      <c r="F20" s="417"/>
      <c r="H20" s="420"/>
    </row>
    <row r="21" spans="1:8" ht="13" x14ac:dyDescent="0.3">
      <c r="A21" s="427"/>
      <c r="B21" s="425"/>
      <c r="F21" s="417"/>
      <c r="H21" s="615">
        <f>SUM(H19-B19)</f>
        <v>-194854.13198826305</v>
      </c>
    </row>
    <row r="22" spans="1:8" ht="13" x14ac:dyDescent="0.3">
      <c r="A22" s="427"/>
      <c r="B22" s="425">
        <f>B17-B19</f>
        <v>39742.868011736951</v>
      </c>
      <c r="C22" s="426" t="s">
        <v>518</v>
      </c>
      <c r="F22" s="417"/>
      <c r="H22" s="420"/>
    </row>
    <row r="23" spans="1:8" ht="13" x14ac:dyDescent="0.3">
      <c r="A23" s="427"/>
      <c r="B23" s="425"/>
      <c r="F23" s="417"/>
      <c r="H23" s="420"/>
    </row>
    <row r="24" spans="1:8" ht="13" x14ac:dyDescent="0.3">
      <c r="A24" s="427" t="s">
        <v>519</v>
      </c>
      <c r="B24" s="425">
        <v>946120</v>
      </c>
      <c r="C24" s="426" t="s">
        <v>521</v>
      </c>
      <c r="F24" s="417"/>
      <c r="H24" s="615">
        <f>SUM(B12-F9)</f>
        <v>28851210.529910587</v>
      </c>
    </row>
    <row r="25" spans="1:8" ht="13" x14ac:dyDescent="0.3">
      <c r="A25" s="427"/>
      <c r="B25" s="425"/>
      <c r="F25" s="417"/>
      <c r="H25" s="420"/>
    </row>
    <row r="26" spans="1:8" ht="13" x14ac:dyDescent="0.3">
      <c r="A26" s="427" t="s">
        <v>520</v>
      </c>
      <c r="B26" s="425">
        <f>B24-B22</f>
        <v>906377.13198826299</v>
      </c>
      <c r="F26" s="417"/>
      <c r="H26" s="420"/>
    </row>
    <row r="27" spans="1:8" ht="13" x14ac:dyDescent="0.3">
      <c r="A27" s="427"/>
      <c r="B27" s="425"/>
      <c r="F27" s="417"/>
      <c r="H27" s="420"/>
    </row>
    <row r="28" spans="1:8" ht="13" x14ac:dyDescent="0.3">
      <c r="A28" s="427"/>
      <c r="B28" s="425"/>
      <c r="F28" s="417"/>
      <c r="H28" s="420"/>
    </row>
    <row r="29" spans="1:8" ht="13" x14ac:dyDescent="0.3">
      <c r="A29" s="427"/>
      <c r="B29" s="425"/>
      <c r="F29" s="417"/>
      <c r="H29" s="420"/>
    </row>
    <row r="30" spans="1:8" ht="13" x14ac:dyDescent="0.3">
      <c r="A30" s="6" t="s">
        <v>509</v>
      </c>
      <c r="B30" s="16">
        <v>326000</v>
      </c>
      <c r="C30" s="421" t="s">
        <v>510</v>
      </c>
    </row>
  </sheetData>
  <mergeCells count="1">
    <mergeCell ref="A19:A20"/>
  </mergeCells>
  <pageMargins left="0.70866141732283472" right="0.70866141732283472" top="0.74803149606299213" bottom="0.74803149606299213" header="0.31496062992125984" footer="0.31496062992125984"/>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A1:AN127"/>
  <sheetViews>
    <sheetView topLeftCell="A118" zoomScale="85" zoomScaleNormal="85" workbookViewId="0">
      <pane xSplit="2" topLeftCell="C1" activePane="topRight" state="frozen"/>
      <selection pane="topRight" activeCell="M123" sqref="M123"/>
    </sheetView>
  </sheetViews>
  <sheetFormatPr defaultColWidth="10.26953125" defaultRowHeight="12.5" x14ac:dyDescent="0.25"/>
  <cols>
    <col min="1" max="1" width="9.1796875" style="526" customWidth="1"/>
    <col min="2" max="2" width="26.7265625" style="526" customWidth="1"/>
    <col min="3" max="3" width="6.26953125" style="526" bestFit="1" customWidth="1"/>
    <col min="4" max="5" width="11.26953125" style="526" customWidth="1"/>
    <col min="6" max="6" width="11.1796875" style="526" customWidth="1"/>
    <col min="7" max="8" width="10.26953125" style="526" customWidth="1"/>
    <col min="9" max="9" width="11.54296875" style="571" customWidth="1"/>
    <col min="10" max="10" width="11.1796875" style="571" customWidth="1"/>
    <col min="11" max="11" width="11" style="526" customWidth="1"/>
    <col min="12" max="12" width="11.1796875" style="526" customWidth="1"/>
    <col min="13" max="13" width="11.26953125" style="526" customWidth="1"/>
    <col min="14" max="14" width="10.54296875" style="526" customWidth="1"/>
    <col min="15" max="15" width="12.81640625" style="526" customWidth="1"/>
    <col min="16" max="16" width="11.54296875" style="526" customWidth="1"/>
    <col min="17" max="17" width="11" style="526" customWidth="1"/>
    <col min="18" max="18" width="11.54296875" style="526" customWidth="1"/>
    <col min="19" max="19" width="12.453125" style="526" customWidth="1"/>
    <col min="20" max="20" width="12.26953125" style="526" customWidth="1"/>
    <col min="21" max="22" width="11.26953125" style="526" bestFit="1" customWidth="1"/>
    <col min="23" max="25" width="10.26953125" style="526"/>
    <col min="26" max="26" width="11.26953125" style="526" bestFit="1" customWidth="1"/>
    <col min="27" max="36" width="10.26953125" style="526"/>
    <col min="37" max="37" width="2" style="526" customWidth="1"/>
    <col min="38" max="16384" width="10.26953125" style="526"/>
  </cols>
  <sheetData>
    <row r="1" spans="1:24" x14ac:dyDescent="0.25">
      <c r="A1" s="574" t="s">
        <v>97</v>
      </c>
      <c r="C1" s="527"/>
      <c r="S1" s="1948" t="s">
        <v>379</v>
      </c>
      <c r="T1" s="575"/>
      <c r="U1" s="1947" t="s">
        <v>380</v>
      </c>
      <c r="V1" s="1947"/>
      <c r="W1" s="1947"/>
    </row>
    <row r="2" spans="1:24" ht="13" x14ac:dyDescent="0.3">
      <c r="A2" s="574"/>
      <c r="C2" s="527"/>
      <c r="E2" s="332" t="s">
        <v>376</v>
      </c>
      <c r="S2" s="1949"/>
      <c r="T2" s="576"/>
      <c r="U2" s="1947" t="s">
        <v>381</v>
      </c>
      <c r="V2" s="1947"/>
      <c r="W2" s="1947"/>
    </row>
    <row r="3" spans="1:24" ht="13" x14ac:dyDescent="0.3">
      <c r="A3" s="230" t="s">
        <v>282</v>
      </c>
      <c r="C3" s="531"/>
      <c r="I3" s="231" t="s">
        <v>286</v>
      </c>
      <c r="S3" s="1949"/>
      <c r="T3" s="577"/>
      <c r="U3" s="1947" t="s">
        <v>382</v>
      </c>
      <c r="V3" s="1947"/>
      <c r="W3" s="1947"/>
    </row>
    <row r="4" spans="1:24" x14ac:dyDescent="0.25">
      <c r="B4" s="578"/>
      <c r="C4" s="578"/>
      <c r="P4" s="1951" t="s">
        <v>332</v>
      </c>
      <c r="Q4" s="1952"/>
      <c r="S4" s="1950"/>
      <c r="T4" s="579"/>
      <c r="U4" s="1947" t="s">
        <v>383</v>
      </c>
      <c r="V4" s="1947"/>
      <c r="W4" s="1947"/>
    </row>
    <row r="5" spans="1:24" ht="37.5" x14ac:dyDescent="0.25">
      <c r="A5" s="580" t="s">
        <v>201</v>
      </c>
      <c r="B5" s="535" t="s">
        <v>66</v>
      </c>
      <c r="C5" s="539" t="s">
        <v>51</v>
      </c>
      <c r="D5" s="526" t="s">
        <v>256</v>
      </c>
      <c r="E5" s="526" t="s">
        <v>257</v>
      </c>
      <c r="F5" s="526" t="s">
        <v>258</v>
      </c>
      <c r="G5" s="526" t="s">
        <v>259</v>
      </c>
      <c r="H5" s="526" t="s">
        <v>260</v>
      </c>
      <c r="I5" s="572" t="s">
        <v>252</v>
      </c>
      <c r="J5" s="572" t="s">
        <v>253</v>
      </c>
      <c r="K5" s="572" t="s">
        <v>251</v>
      </c>
      <c r="L5" s="572" t="s">
        <v>385</v>
      </c>
      <c r="M5" s="572" t="s">
        <v>336</v>
      </c>
      <c r="N5" s="572" t="s">
        <v>386</v>
      </c>
      <c r="O5" s="572" t="s">
        <v>387</v>
      </c>
      <c r="P5" s="581" t="s">
        <v>337</v>
      </c>
      <c r="Q5" s="581" t="s">
        <v>338</v>
      </c>
    </row>
    <row r="6" spans="1:24" x14ac:dyDescent="0.25">
      <c r="A6" s="544">
        <v>9257010</v>
      </c>
      <c r="B6" s="545" t="s">
        <v>67</v>
      </c>
      <c r="C6" s="582">
        <v>3</v>
      </c>
      <c r="D6" s="583">
        <v>0.40476190476190477</v>
      </c>
      <c r="E6" s="583">
        <v>0.2857142857142857</v>
      </c>
      <c r="F6" s="583">
        <v>0.11904761904761904</v>
      </c>
      <c r="G6" s="583">
        <v>0.11904761904761904</v>
      </c>
      <c r="H6" s="583">
        <v>7.1428571428571425E-2</v>
      </c>
      <c r="I6" s="584">
        <v>0</v>
      </c>
      <c r="J6" s="584">
        <v>34</v>
      </c>
      <c r="K6" s="585">
        <f>SUM(I6:J6)</f>
        <v>34</v>
      </c>
      <c r="L6" s="530">
        <f>((((I6*D6)*$G$92)+((I6*E6)*$G$94)+((I6*F6)*$G$96)+((I6*G6)*$G$98)+((I6*H6)*$G$100)))*(5/12)</f>
        <v>0</v>
      </c>
      <c r="M6" s="530">
        <f>((((J6*D6)*$G$92)+((J6*E6)*$G$94)+((J6*F6)*$G$96)+((J6*G6)*$G$98)+((J6*H6)*$G$100))*(5/12))</f>
        <v>138874.09345745452</v>
      </c>
      <c r="N6" s="530">
        <f>((K6*H6)*$G$102)*(5/12)</f>
        <v>2666.4175068952254</v>
      </c>
      <c r="O6" s="530">
        <f>SUM(L6:N6)</f>
        <v>141540.51096434976</v>
      </c>
      <c r="P6" s="586">
        <f>(K6*(5/12))*10000</f>
        <v>141666.66666666669</v>
      </c>
      <c r="Q6" s="586">
        <v>124822.87087295152</v>
      </c>
      <c r="R6" s="533"/>
      <c r="S6" s="530"/>
      <c r="T6" s="533"/>
      <c r="U6" s="231" t="s">
        <v>377</v>
      </c>
      <c r="X6" s="533"/>
    </row>
    <row r="7" spans="1:24" ht="12.75" customHeight="1" x14ac:dyDescent="0.25">
      <c r="A7" s="544">
        <v>9257005</v>
      </c>
      <c r="B7" s="545" t="s">
        <v>68</v>
      </c>
      <c r="C7" s="587">
        <v>4</v>
      </c>
      <c r="D7" s="583">
        <v>0.13157894736842105</v>
      </c>
      <c r="E7" s="583">
        <v>0.35526315789473684</v>
      </c>
      <c r="F7" s="583">
        <v>0.17105263157894737</v>
      </c>
      <c r="G7" s="583">
        <v>0.14473684210526316</v>
      </c>
      <c r="H7" s="583">
        <v>0.19736842105263158</v>
      </c>
      <c r="I7" s="584">
        <v>0</v>
      </c>
      <c r="J7" s="584">
        <v>48</v>
      </c>
      <c r="K7" s="585">
        <f t="shared" ref="K7:K23" si="0">SUM(I7:J7)</f>
        <v>48</v>
      </c>
      <c r="L7" s="530">
        <f t="shared" ref="L7:L23" si="1">((((I7*D7)*$G$92)+((I7*E7)*$G$94)+((I7*F7)*$G$96)+((I7*G7)*$G$98)+((I7*H7)*$G$100)))*(5/12)</f>
        <v>0</v>
      </c>
      <c r="M7" s="530">
        <f t="shared" ref="M7:M23" si="2">((((J7*D7)*$G$92)+((J7*E7)*$G$94)+((J7*F7)*$G$96)+((J7*G7)*$G$98)+((J7*H7)*$G$100))*(5/12))</f>
        <v>184351.3141961919</v>
      </c>
      <c r="N7" s="530">
        <f t="shared" ref="N7:N23" si="3">((K7*H7)*$G$102)*(5/12)</f>
        <v>10401.504825659393</v>
      </c>
      <c r="O7" s="530">
        <f t="shared" ref="O7:O23" si="4">SUM(L7:N7)</f>
        <v>194752.81902185129</v>
      </c>
      <c r="P7" s="586">
        <f t="shared" ref="P7:P23" si="5">(K7*(5/12))*10000</f>
        <v>200000</v>
      </c>
      <c r="Q7" s="586">
        <v>131355.26213540827</v>
      </c>
      <c r="R7" s="533"/>
      <c r="S7" s="530"/>
      <c r="T7" s="533"/>
      <c r="U7" s="1953" t="s">
        <v>378</v>
      </c>
      <c r="V7" s="1953"/>
      <c r="W7" s="1953"/>
      <c r="X7" s="533"/>
    </row>
    <row r="8" spans="1:24" x14ac:dyDescent="0.25">
      <c r="A8" s="544">
        <v>9257025</v>
      </c>
      <c r="B8" s="545" t="s">
        <v>69</v>
      </c>
      <c r="C8" s="582">
        <v>4</v>
      </c>
      <c r="D8" s="583">
        <v>0.26415094339622641</v>
      </c>
      <c r="E8" s="583">
        <v>0.41509433962264153</v>
      </c>
      <c r="F8" s="583">
        <v>5.6603773584905662E-2</v>
      </c>
      <c r="G8" s="583">
        <v>5.6603773584905662E-2</v>
      </c>
      <c r="H8" s="583">
        <v>0.20754716981132076</v>
      </c>
      <c r="I8" s="584">
        <v>10</v>
      </c>
      <c r="J8" s="584">
        <v>39</v>
      </c>
      <c r="K8" s="585">
        <f t="shared" si="0"/>
        <v>49</v>
      </c>
      <c r="L8" s="530">
        <f t="shared" si="1"/>
        <v>39922.238535953147</v>
      </c>
      <c r="M8" s="530">
        <f t="shared" si="2"/>
        <v>155696.7302902173</v>
      </c>
      <c r="N8" s="530">
        <f t="shared" si="3"/>
        <v>11165.808272492439</v>
      </c>
      <c r="O8" s="530">
        <f t="shared" si="4"/>
        <v>206784.77709866286</v>
      </c>
      <c r="P8" s="586">
        <f t="shared" si="5"/>
        <v>204166.66666666669</v>
      </c>
      <c r="Q8" s="586">
        <v>177481.97910073696</v>
      </c>
      <c r="R8" s="533"/>
      <c r="S8" s="530"/>
      <c r="T8" s="533"/>
      <c r="U8" s="1953"/>
      <c r="V8" s="1953"/>
      <c r="W8" s="1953"/>
      <c r="X8" s="533"/>
    </row>
    <row r="9" spans="1:24" x14ac:dyDescent="0.25">
      <c r="A9" s="544">
        <v>9257011</v>
      </c>
      <c r="B9" s="545" t="s">
        <v>70</v>
      </c>
      <c r="C9" s="582">
        <v>3</v>
      </c>
      <c r="D9" s="583">
        <v>0.4</v>
      </c>
      <c r="E9" s="583">
        <v>0.42222222222222222</v>
      </c>
      <c r="F9" s="583">
        <v>0</v>
      </c>
      <c r="G9" s="583">
        <v>2.2222222222222223E-2</v>
      </c>
      <c r="H9" s="583">
        <v>0.15555555555555556</v>
      </c>
      <c r="I9" s="584">
        <v>0</v>
      </c>
      <c r="J9" s="584">
        <v>42</v>
      </c>
      <c r="K9" s="585">
        <f t="shared" si="0"/>
        <v>42</v>
      </c>
      <c r="L9" s="530">
        <f t="shared" si="1"/>
        <v>0</v>
      </c>
      <c r="M9" s="530">
        <f t="shared" si="2"/>
        <v>172528.70194845504</v>
      </c>
      <c r="N9" s="530">
        <f t="shared" si="3"/>
        <v>7173.1859205102928</v>
      </c>
      <c r="O9" s="530">
        <f t="shared" si="4"/>
        <v>179701.88786896534</v>
      </c>
      <c r="P9" s="586">
        <f t="shared" si="5"/>
        <v>175000</v>
      </c>
      <c r="Q9" s="586">
        <v>164889.69418953877</v>
      </c>
      <c r="R9" s="533"/>
      <c r="S9" s="530"/>
      <c r="T9" s="533"/>
      <c r="U9" s="1953"/>
      <c r="V9" s="1953"/>
      <c r="W9" s="1953"/>
      <c r="X9" s="533"/>
    </row>
    <row r="10" spans="1:24" x14ac:dyDescent="0.25">
      <c r="A10" s="544">
        <v>9257024</v>
      </c>
      <c r="B10" s="545" t="s">
        <v>71</v>
      </c>
      <c r="C10" s="587">
        <v>3</v>
      </c>
      <c r="D10" s="583">
        <v>0.2</v>
      </c>
      <c r="E10" s="583">
        <v>0.5636363636363636</v>
      </c>
      <c r="F10" s="583">
        <v>1.8181818181818181E-2</v>
      </c>
      <c r="G10" s="583">
        <v>0.16363636363636364</v>
      </c>
      <c r="H10" s="583">
        <v>5.4545454545454543E-2</v>
      </c>
      <c r="I10" s="584">
        <v>5</v>
      </c>
      <c r="J10" s="584">
        <v>39</v>
      </c>
      <c r="K10" s="585">
        <f t="shared" si="0"/>
        <v>44</v>
      </c>
      <c r="L10" s="530">
        <f t="shared" si="1"/>
        <v>19053.583315273478</v>
      </c>
      <c r="M10" s="530">
        <f t="shared" si="2"/>
        <v>148617.94985913316</v>
      </c>
      <c r="N10" s="530">
        <f t="shared" si="3"/>
        <v>2635.0478891670464</v>
      </c>
      <c r="O10" s="530">
        <f t="shared" si="4"/>
        <v>170306.58106357369</v>
      </c>
      <c r="P10" s="586">
        <f t="shared" si="5"/>
        <v>183333.33333333334</v>
      </c>
      <c r="Q10" s="586">
        <v>121915.65467659711</v>
      </c>
      <c r="R10" s="533"/>
      <c r="S10" s="530"/>
      <c r="T10" s="533"/>
      <c r="U10" s="1953"/>
      <c r="V10" s="1953"/>
      <c r="W10" s="1953"/>
      <c r="X10" s="533"/>
    </row>
    <row r="11" spans="1:24" x14ac:dyDescent="0.25">
      <c r="A11" s="544">
        <v>9257031</v>
      </c>
      <c r="B11" s="545" t="s">
        <v>98</v>
      </c>
      <c r="C11" s="582">
        <v>3</v>
      </c>
      <c r="D11" s="583">
        <v>0</v>
      </c>
      <c r="E11" s="583">
        <v>0</v>
      </c>
      <c r="F11" s="583">
        <v>0</v>
      </c>
      <c r="G11" s="583">
        <v>0</v>
      </c>
      <c r="H11" s="583">
        <v>1</v>
      </c>
      <c r="I11" s="584">
        <v>0</v>
      </c>
      <c r="J11" s="584">
        <v>62</v>
      </c>
      <c r="K11" s="585">
        <f t="shared" si="0"/>
        <v>62</v>
      </c>
      <c r="L11" s="530">
        <f t="shared" si="1"/>
        <v>0</v>
      </c>
      <c r="M11" s="530">
        <f t="shared" si="2"/>
        <v>302043.866484167</v>
      </c>
      <c r="N11" s="530">
        <f t="shared" si="3"/>
        <v>68072.070470148697</v>
      </c>
      <c r="O11" s="530">
        <f t="shared" si="4"/>
        <v>370115.93695431569</v>
      </c>
      <c r="P11" s="586">
        <f t="shared" si="5"/>
        <v>258333.33333333334</v>
      </c>
      <c r="Q11" s="586">
        <v>260212.55274657084</v>
      </c>
      <c r="R11" s="533"/>
      <c r="S11" s="530"/>
      <c r="T11" s="533"/>
      <c r="U11" s="588"/>
      <c r="V11" s="588"/>
      <c r="W11" s="588"/>
      <c r="X11" s="533"/>
    </row>
    <row r="12" spans="1:24" x14ac:dyDescent="0.25">
      <c r="A12" s="544">
        <v>9257033</v>
      </c>
      <c r="B12" s="545" t="s">
        <v>72</v>
      </c>
      <c r="C12" s="582">
        <v>3</v>
      </c>
      <c r="D12" s="583">
        <v>3.6363636363636362E-2</v>
      </c>
      <c r="E12" s="583">
        <v>0.29090909090909089</v>
      </c>
      <c r="F12" s="583">
        <v>0.27272727272727271</v>
      </c>
      <c r="G12" s="583">
        <v>5.4545454545454543E-2</v>
      </c>
      <c r="H12" s="583">
        <v>0.34545454545454546</v>
      </c>
      <c r="I12" s="584">
        <v>10</v>
      </c>
      <c r="J12" s="584">
        <v>50</v>
      </c>
      <c r="K12" s="585">
        <f t="shared" si="0"/>
        <v>60</v>
      </c>
      <c r="L12" s="530">
        <f t="shared" si="1"/>
        <v>37262.62377713446</v>
      </c>
      <c r="M12" s="530">
        <f t="shared" si="2"/>
        <v>186313.11888567227</v>
      </c>
      <c r="N12" s="530">
        <f t="shared" si="3"/>
        <v>22757.231770079037</v>
      </c>
      <c r="O12" s="530">
        <f t="shared" si="4"/>
        <v>246332.97443288576</v>
      </c>
      <c r="P12" s="586">
        <f t="shared" si="5"/>
        <v>250000</v>
      </c>
      <c r="Q12" s="586">
        <v>161401.34871968155</v>
      </c>
      <c r="R12" s="533"/>
      <c r="S12" s="530"/>
      <c r="T12" s="533"/>
      <c r="U12" s="588"/>
      <c r="V12" s="588"/>
      <c r="W12" s="588"/>
      <c r="X12" s="533"/>
    </row>
    <row r="13" spans="1:24" x14ac:dyDescent="0.25">
      <c r="A13" s="544">
        <v>9257008</v>
      </c>
      <c r="B13" s="545" t="s">
        <v>73</v>
      </c>
      <c r="C13" s="589">
        <v>4</v>
      </c>
      <c r="D13" s="583">
        <v>0</v>
      </c>
      <c r="E13" s="583">
        <v>8.2352941176470587E-2</v>
      </c>
      <c r="F13" s="583">
        <v>0.61176470588235299</v>
      </c>
      <c r="G13" s="583">
        <v>2.3529411764705882E-2</v>
      </c>
      <c r="H13" s="583">
        <v>0.28235294117647058</v>
      </c>
      <c r="I13" s="584">
        <v>10</v>
      </c>
      <c r="J13" s="584">
        <v>80</v>
      </c>
      <c r="K13" s="585">
        <f t="shared" si="0"/>
        <v>90</v>
      </c>
      <c r="L13" s="530">
        <f t="shared" si="1"/>
        <v>33339.078620055436</v>
      </c>
      <c r="M13" s="530">
        <f t="shared" si="2"/>
        <v>266712.62896044349</v>
      </c>
      <c r="N13" s="530">
        <f t="shared" si="3"/>
        <v>27900.507061768727</v>
      </c>
      <c r="O13" s="530">
        <f t="shared" si="4"/>
        <v>327952.21464226767</v>
      </c>
      <c r="P13" s="586">
        <f t="shared" si="5"/>
        <v>375000</v>
      </c>
      <c r="Q13" s="586">
        <v>166765.61789210761</v>
      </c>
      <c r="R13" s="533"/>
      <c r="S13" s="530"/>
      <c r="T13" s="533"/>
      <c r="X13" s="533"/>
    </row>
    <row r="14" spans="1:24" x14ac:dyDescent="0.25">
      <c r="A14" s="544">
        <v>9257034</v>
      </c>
      <c r="B14" s="545" t="s">
        <v>74</v>
      </c>
      <c r="C14" s="582">
        <v>5</v>
      </c>
      <c r="D14" s="583">
        <v>7.0866141732283464E-2</v>
      </c>
      <c r="E14" s="583">
        <v>0.16535433070866143</v>
      </c>
      <c r="F14" s="583">
        <v>0.51968503937007871</v>
      </c>
      <c r="G14" s="583">
        <v>3.937007874015748E-2</v>
      </c>
      <c r="H14" s="583">
        <v>0.20472440944881889</v>
      </c>
      <c r="I14" s="584">
        <v>0</v>
      </c>
      <c r="J14" s="584">
        <v>96</v>
      </c>
      <c r="K14" s="585">
        <f t="shared" si="0"/>
        <v>96</v>
      </c>
      <c r="L14" s="530">
        <f t="shared" si="1"/>
        <v>0</v>
      </c>
      <c r="M14" s="530">
        <f t="shared" si="2"/>
        <v>325706.96785500314</v>
      </c>
      <c r="N14" s="530">
        <f t="shared" si="3"/>
        <v>21578.344919163217</v>
      </c>
      <c r="O14" s="530">
        <f t="shared" si="4"/>
        <v>347285.31277416635</v>
      </c>
      <c r="P14" s="586">
        <f t="shared" si="5"/>
        <v>400000</v>
      </c>
      <c r="Q14" s="586">
        <v>124725.8430470342</v>
      </c>
      <c r="R14" s="533"/>
      <c r="S14" s="530"/>
      <c r="T14" s="533"/>
      <c r="X14" s="533"/>
    </row>
    <row r="15" spans="1:24" x14ac:dyDescent="0.25">
      <c r="A15" s="544">
        <v>9257002</v>
      </c>
      <c r="B15" s="545" t="s">
        <v>75</v>
      </c>
      <c r="C15" s="587">
        <v>4</v>
      </c>
      <c r="D15" s="583">
        <v>8.4033613445378148E-3</v>
      </c>
      <c r="E15" s="583">
        <v>0.27731092436974791</v>
      </c>
      <c r="F15" s="583">
        <v>0.59663865546218486</v>
      </c>
      <c r="G15" s="583">
        <v>2.5210084033613446E-2</v>
      </c>
      <c r="H15" s="583">
        <v>9.2436974789915971E-2</v>
      </c>
      <c r="I15" s="584">
        <v>0</v>
      </c>
      <c r="J15" s="584">
        <v>122</v>
      </c>
      <c r="K15" s="585">
        <f t="shared" si="0"/>
        <v>122</v>
      </c>
      <c r="L15" s="530">
        <f t="shared" si="1"/>
        <v>0</v>
      </c>
      <c r="M15" s="530">
        <f t="shared" si="2"/>
        <v>367896.39637035807</v>
      </c>
      <c r="N15" s="530">
        <f t="shared" si="3"/>
        <v>12381.772644475408</v>
      </c>
      <c r="O15" s="530">
        <f t="shared" si="4"/>
        <v>380278.16901483346</v>
      </c>
      <c r="P15" s="586">
        <f t="shared" si="5"/>
        <v>508333.33333333337</v>
      </c>
      <c r="Q15" s="586">
        <v>86000.790280022833</v>
      </c>
      <c r="R15" s="533"/>
      <c r="S15" s="530"/>
      <c r="T15" s="533"/>
      <c r="X15" s="533"/>
    </row>
    <row r="16" spans="1:24" x14ac:dyDescent="0.25">
      <c r="A16" s="544">
        <v>9257009</v>
      </c>
      <c r="B16" s="545" t="s">
        <v>76</v>
      </c>
      <c r="C16" s="582">
        <v>4</v>
      </c>
      <c r="D16" s="583">
        <v>0</v>
      </c>
      <c r="E16" s="583">
        <v>0.14615384615384616</v>
      </c>
      <c r="F16" s="583">
        <v>0.7</v>
      </c>
      <c r="G16" s="583">
        <v>1.5384615384615385E-2</v>
      </c>
      <c r="H16" s="583">
        <v>0.13846153846153847</v>
      </c>
      <c r="I16" s="584">
        <v>0</v>
      </c>
      <c r="J16" s="584">
        <v>130</v>
      </c>
      <c r="K16" s="585">
        <f t="shared" si="0"/>
        <v>130</v>
      </c>
      <c r="L16" s="530">
        <f t="shared" si="1"/>
        <v>0</v>
      </c>
      <c r="M16" s="530">
        <f t="shared" si="2"/>
        <v>392363.34941922099</v>
      </c>
      <c r="N16" s="530">
        <f t="shared" si="3"/>
        <v>19762.85916875285</v>
      </c>
      <c r="O16" s="530">
        <f t="shared" si="4"/>
        <v>412126.20858797384</v>
      </c>
      <c r="P16" s="586">
        <f t="shared" si="5"/>
        <v>541666.66666666674</v>
      </c>
      <c r="Q16" s="586">
        <v>83214.433324511498</v>
      </c>
      <c r="R16" s="533"/>
      <c r="S16" s="530"/>
      <c r="T16" s="533"/>
      <c r="X16" s="533"/>
    </row>
    <row r="17" spans="1:24" x14ac:dyDescent="0.25">
      <c r="A17" s="544">
        <v>9257029</v>
      </c>
      <c r="B17" s="545" t="s">
        <v>99</v>
      </c>
      <c r="C17" s="590">
        <v>3</v>
      </c>
      <c r="D17" s="583">
        <v>0</v>
      </c>
      <c r="E17" s="583">
        <v>0</v>
      </c>
      <c r="F17" s="583">
        <v>0</v>
      </c>
      <c r="G17" s="583">
        <v>0</v>
      </c>
      <c r="H17" s="583">
        <v>1</v>
      </c>
      <c r="I17" s="584">
        <v>0</v>
      </c>
      <c r="J17" s="584">
        <v>55</v>
      </c>
      <c r="K17" s="585">
        <f t="shared" si="0"/>
        <v>55</v>
      </c>
      <c r="L17" s="530">
        <f t="shared" si="1"/>
        <v>0</v>
      </c>
      <c r="M17" s="530">
        <f t="shared" si="2"/>
        <v>267942.13962305133</v>
      </c>
      <c r="N17" s="530">
        <f t="shared" si="3"/>
        <v>60386.51412674482</v>
      </c>
      <c r="O17" s="530">
        <f t="shared" si="4"/>
        <v>328328.65374979615</v>
      </c>
      <c r="P17" s="586">
        <f t="shared" si="5"/>
        <v>229166.66666666669</v>
      </c>
      <c r="Q17" s="586">
        <v>271892.00203930959</v>
      </c>
      <c r="R17" s="533"/>
      <c r="S17" s="530"/>
      <c r="T17" s="533"/>
      <c r="X17" s="533"/>
    </row>
    <row r="18" spans="1:24" x14ac:dyDescent="0.25">
      <c r="A18" s="544">
        <v>9257032</v>
      </c>
      <c r="B18" s="545" t="s">
        <v>100</v>
      </c>
      <c r="C18" s="582">
        <v>4</v>
      </c>
      <c r="D18" s="583">
        <v>0</v>
      </c>
      <c r="E18" s="583">
        <v>0</v>
      </c>
      <c r="F18" s="583">
        <v>0</v>
      </c>
      <c r="G18" s="583">
        <v>0</v>
      </c>
      <c r="H18" s="583">
        <v>1</v>
      </c>
      <c r="I18" s="584">
        <v>0</v>
      </c>
      <c r="J18" s="584">
        <v>60</v>
      </c>
      <c r="K18" s="585">
        <f t="shared" si="0"/>
        <v>60</v>
      </c>
      <c r="L18" s="530">
        <f t="shared" si="1"/>
        <v>0</v>
      </c>
      <c r="M18" s="530">
        <f t="shared" si="2"/>
        <v>292300.51595241966</v>
      </c>
      <c r="N18" s="530">
        <f t="shared" si="3"/>
        <v>65876.197229176163</v>
      </c>
      <c r="O18" s="530">
        <f t="shared" si="4"/>
        <v>358176.71318159584</v>
      </c>
      <c r="P18" s="586">
        <f t="shared" si="5"/>
        <v>250000</v>
      </c>
      <c r="Q18" s="586">
        <v>285935.59201976832</v>
      </c>
      <c r="R18" s="533"/>
      <c r="S18" s="530"/>
      <c r="T18" s="533"/>
      <c r="X18" s="533"/>
    </row>
    <row r="19" spans="1:24" x14ac:dyDescent="0.25">
      <c r="A19" s="544">
        <v>9257030</v>
      </c>
      <c r="B19" s="545" t="s">
        <v>92</v>
      </c>
      <c r="C19" s="582">
        <v>4</v>
      </c>
      <c r="D19" s="583">
        <v>0</v>
      </c>
      <c r="E19" s="583">
        <v>0</v>
      </c>
      <c r="F19" s="583">
        <v>0</v>
      </c>
      <c r="G19" s="583">
        <v>0</v>
      </c>
      <c r="H19" s="583">
        <v>1</v>
      </c>
      <c r="I19" s="584">
        <v>0</v>
      </c>
      <c r="J19" s="584">
        <v>55</v>
      </c>
      <c r="K19" s="585">
        <f t="shared" si="0"/>
        <v>55</v>
      </c>
      <c r="L19" s="530">
        <f t="shared" si="1"/>
        <v>0</v>
      </c>
      <c r="M19" s="530">
        <f t="shared" si="2"/>
        <v>267942.13962305133</v>
      </c>
      <c r="N19" s="530">
        <f t="shared" si="3"/>
        <v>60386.51412674482</v>
      </c>
      <c r="O19" s="530">
        <f t="shared" si="4"/>
        <v>328328.65374979615</v>
      </c>
      <c r="P19" s="586">
        <f t="shared" si="5"/>
        <v>229166.66666666669</v>
      </c>
      <c r="Q19" s="586">
        <v>269983.2976712684</v>
      </c>
      <c r="R19" s="533"/>
      <c r="S19" s="530"/>
      <c r="T19" s="533"/>
      <c r="X19" s="533"/>
    </row>
    <row r="20" spans="1:24" x14ac:dyDescent="0.25">
      <c r="A20" s="544">
        <v>9257028</v>
      </c>
      <c r="B20" s="545" t="s">
        <v>77</v>
      </c>
      <c r="C20" s="590">
        <v>4</v>
      </c>
      <c r="D20" s="583">
        <v>0.23943661971830985</v>
      </c>
      <c r="E20" s="583">
        <v>0.3380281690140845</v>
      </c>
      <c r="F20" s="583">
        <v>0</v>
      </c>
      <c r="G20" s="583">
        <v>0.18309859154929578</v>
      </c>
      <c r="H20" s="583">
        <v>0.23943661971830985</v>
      </c>
      <c r="I20" s="584">
        <v>5</v>
      </c>
      <c r="J20" s="584">
        <v>50</v>
      </c>
      <c r="K20" s="585">
        <f t="shared" si="0"/>
        <v>55</v>
      </c>
      <c r="L20" s="591">
        <f t="shared" si="1"/>
        <v>21300.715279234355</v>
      </c>
      <c r="M20" s="530">
        <f t="shared" si="2"/>
        <v>213007.15279234358</v>
      </c>
      <c r="N20" s="530">
        <f t="shared" si="3"/>
        <v>14458.742819079744</v>
      </c>
      <c r="O20" s="530">
        <f t="shared" si="4"/>
        <v>248766.61089065767</v>
      </c>
      <c r="P20" s="586">
        <f t="shared" si="5"/>
        <v>229166.66666666669</v>
      </c>
      <c r="Q20" s="586">
        <v>186747.22634206183</v>
      </c>
      <c r="R20" s="533"/>
      <c r="S20" s="530"/>
      <c r="T20" s="533"/>
      <c r="U20" s="526" t="s">
        <v>491</v>
      </c>
      <c r="X20" s="533"/>
    </row>
    <row r="21" spans="1:24" x14ac:dyDescent="0.25">
      <c r="A21" s="544">
        <v>9257021</v>
      </c>
      <c r="B21" s="545" t="s">
        <v>78</v>
      </c>
      <c r="C21" s="590">
        <v>4</v>
      </c>
      <c r="D21" s="583">
        <v>0</v>
      </c>
      <c r="E21" s="583">
        <v>9.8591549295774641E-2</v>
      </c>
      <c r="F21" s="583">
        <v>0.71830985915492962</v>
      </c>
      <c r="G21" s="583">
        <v>4.2253521126760563E-2</v>
      </c>
      <c r="H21" s="583">
        <v>0.14084507042253522</v>
      </c>
      <c r="I21" s="584">
        <v>0</v>
      </c>
      <c r="J21" s="584">
        <v>141</v>
      </c>
      <c r="K21" s="585">
        <f t="shared" si="0"/>
        <v>141</v>
      </c>
      <c r="L21" s="530">
        <f t="shared" si="1"/>
        <v>0</v>
      </c>
      <c r="M21" s="530">
        <f t="shared" si="2"/>
        <v>431835.01619482733</v>
      </c>
      <c r="N21" s="530">
        <f t="shared" si="3"/>
        <v>21804.093449093518</v>
      </c>
      <c r="O21" s="530">
        <f t="shared" si="4"/>
        <v>453639.10964392085</v>
      </c>
      <c r="P21" s="586">
        <f t="shared" si="5"/>
        <v>587500</v>
      </c>
      <c r="Q21" s="586">
        <v>89902.13611468178</v>
      </c>
      <c r="R21" s="533"/>
      <c r="S21" s="530"/>
      <c r="T21" s="533"/>
      <c r="X21" s="533"/>
    </row>
    <row r="22" spans="1:24" x14ac:dyDescent="0.25">
      <c r="A22" s="544">
        <v>9257015</v>
      </c>
      <c r="B22" s="545" t="s">
        <v>55</v>
      </c>
      <c r="C22" s="582">
        <v>6</v>
      </c>
      <c r="D22" s="583">
        <v>6.0483870967741937E-2</v>
      </c>
      <c r="E22" s="583">
        <v>0.22177419354838709</v>
      </c>
      <c r="F22" s="583">
        <v>0.65322580645161288</v>
      </c>
      <c r="G22" s="583">
        <v>0</v>
      </c>
      <c r="H22" s="583">
        <v>6.4516129032258063E-2</v>
      </c>
      <c r="I22" s="584">
        <v>10</v>
      </c>
      <c r="J22" s="584">
        <v>231</v>
      </c>
      <c r="K22" s="585">
        <f t="shared" si="0"/>
        <v>241</v>
      </c>
      <c r="L22" s="530">
        <f t="shared" si="1"/>
        <v>29875.568123471203</v>
      </c>
      <c r="M22" s="530">
        <f t="shared" si="2"/>
        <v>690125.62365218473</v>
      </c>
      <c r="N22" s="530">
        <f t="shared" si="3"/>
        <v>17071.143583044573</v>
      </c>
      <c r="O22" s="530">
        <f t="shared" si="4"/>
        <v>737072.33535870048</v>
      </c>
      <c r="P22" s="586">
        <f t="shared" si="5"/>
        <v>1004166.6666666667</v>
      </c>
      <c r="Q22" s="586">
        <v>25324.109187496026</v>
      </c>
      <c r="R22" s="533"/>
      <c r="S22" s="530"/>
      <c r="T22" s="533"/>
      <c r="X22" s="533"/>
    </row>
    <row r="23" spans="1:24" x14ac:dyDescent="0.25">
      <c r="A23" s="544">
        <v>9257016</v>
      </c>
      <c r="B23" s="545" t="s">
        <v>80</v>
      </c>
      <c r="C23" s="582">
        <v>7</v>
      </c>
      <c r="D23" s="583">
        <v>0.50370370370370365</v>
      </c>
      <c r="E23" s="583">
        <v>0</v>
      </c>
      <c r="F23" s="583">
        <v>0.28888888888888886</v>
      </c>
      <c r="G23" s="583">
        <v>0.2074074074074074</v>
      </c>
      <c r="H23" s="583">
        <v>0</v>
      </c>
      <c r="I23" s="584">
        <v>0</v>
      </c>
      <c r="J23" s="584">
        <v>79</v>
      </c>
      <c r="K23" s="585">
        <f t="shared" si="0"/>
        <v>79</v>
      </c>
      <c r="L23" s="530">
        <f t="shared" si="1"/>
        <v>0</v>
      </c>
      <c r="M23" s="530">
        <f t="shared" si="2"/>
        <v>333053.08543802291</v>
      </c>
      <c r="N23" s="530">
        <f t="shared" si="3"/>
        <v>0</v>
      </c>
      <c r="O23" s="530">
        <f t="shared" si="4"/>
        <v>333053.08543802291</v>
      </c>
      <c r="P23" s="586">
        <f t="shared" si="5"/>
        <v>329166.66666666669</v>
      </c>
      <c r="Q23" s="586">
        <v>217449.30498477549</v>
      </c>
      <c r="R23" s="533"/>
      <c r="S23" s="530"/>
      <c r="T23" s="533"/>
      <c r="X23" s="533"/>
    </row>
    <row r="24" spans="1:24" x14ac:dyDescent="0.25">
      <c r="A24" s="559"/>
      <c r="B24" s="556"/>
      <c r="C24" s="554"/>
      <c r="D24" s="583"/>
      <c r="E24" s="583"/>
      <c r="F24" s="583"/>
      <c r="G24" s="583"/>
      <c r="H24" s="583"/>
      <c r="I24" s="585"/>
      <c r="J24" s="585"/>
      <c r="K24" s="585"/>
      <c r="L24" s="530"/>
      <c r="M24" s="530"/>
      <c r="N24" s="530"/>
      <c r="O24" s="530"/>
      <c r="P24" s="585"/>
      <c r="Q24" s="585"/>
    </row>
    <row r="25" spans="1:24" ht="13" x14ac:dyDescent="0.3">
      <c r="A25" s="230" t="s">
        <v>283</v>
      </c>
      <c r="B25" s="556"/>
      <c r="C25" s="554"/>
      <c r="D25" s="583"/>
      <c r="E25" s="583"/>
      <c r="F25" s="583"/>
      <c r="G25" s="583"/>
      <c r="H25" s="583"/>
      <c r="I25" s="585"/>
      <c r="J25" s="585"/>
      <c r="K25" s="585"/>
      <c r="L25" s="530"/>
      <c r="M25" s="530"/>
      <c r="N25" s="530"/>
      <c r="O25" s="530"/>
      <c r="P25" s="585"/>
      <c r="Q25" s="585"/>
    </row>
    <row r="26" spans="1:24" x14ac:dyDescent="0.25">
      <c r="A26" s="559"/>
      <c r="B26" s="556"/>
      <c r="C26" s="554"/>
      <c r="D26" s="583"/>
      <c r="E26" s="583"/>
      <c r="F26" s="583"/>
      <c r="G26" s="583"/>
      <c r="H26" s="583"/>
      <c r="I26" s="231" t="s">
        <v>286</v>
      </c>
      <c r="J26" s="585"/>
      <c r="K26" s="585"/>
      <c r="L26" s="530"/>
      <c r="M26" s="1951" t="s">
        <v>332</v>
      </c>
      <c r="N26" s="1952"/>
      <c r="O26" s="530"/>
      <c r="P26" s="585"/>
      <c r="Q26" s="585"/>
    </row>
    <row r="27" spans="1:24" ht="37.5" x14ac:dyDescent="0.25">
      <c r="A27" s="580" t="s">
        <v>201</v>
      </c>
      <c r="B27" s="535" t="s">
        <v>66</v>
      </c>
      <c r="C27" s="539" t="s">
        <v>51</v>
      </c>
      <c r="D27" s="526" t="s">
        <v>256</v>
      </c>
      <c r="E27" s="526" t="s">
        <v>257</v>
      </c>
      <c r="F27" s="526" t="s">
        <v>258</v>
      </c>
      <c r="G27" s="526" t="s">
        <v>259</v>
      </c>
      <c r="H27" s="526" t="s">
        <v>260</v>
      </c>
      <c r="I27" s="572" t="s">
        <v>185</v>
      </c>
      <c r="J27" s="572" t="s">
        <v>288</v>
      </c>
      <c r="K27" s="572" t="s">
        <v>388</v>
      </c>
      <c r="L27" s="572" t="s">
        <v>288</v>
      </c>
      <c r="M27" s="592" t="s">
        <v>330</v>
      </c>
      <c r="N27" s="572" t="s">
        <v>339</v>
      </c>
      <c r="O27" s="572"/>
      <c r="P27" s="572"/>
      <c r="Q27" s="572"/>
    </row>
    <row r="28" spans="1:24" x14ac:dyDescent="0.25">
      <c r="A28" s="544">
        <v>9257010</v>
      </c>
      <c r="B28" s="545" t="s">
        <v>67</v>
      </c>
      <c r="C28" s="582">
        <v>3</v>
      </c>
      <c r="D28" s="583">
        <v>0.40476190476190477</v>
      </c>
      <c r="E28" s="583">
        <v>0.2857142857142857</v>
      </c>
      <c r="F28" s="583">
        <v>0.11904761904761904</v>
      </c>
      <c r="G28" s="583">
        <v>0.11904761904761904</v>
      </c>
      <c r="H28" s="583">
        <v>7.1428571428571425E-2</v>
      </c>
      <c r="I28" s="584">
        <v>10</v>
      </c>
      <c r="J28" s="530">
        <f>((((I28*D28)*$G$92)+((I28*E28)*$G$94)+((I28*F28)*$G$96)+((I28*G28)*$G$98)+((I28*H28)*$G$100)))*(4/12)</f>
        <v>32676.257284106938</v>
      </c>
      <c r="K28" s="530">
        <f>((I28*H28)*$G$102)*(4/12)</f>
        <v>627.39235456358233</v>
      </c>
      <c r="L28" s="530">
        <f>SUM(J28:K28)</f>
        <v>33303.649638670518</v>
      </c>
      <c r="M28" s="586">
        <f>(I28*(4/12))*10000</f>
        <v>33333.333333333328</v>
      </c>
      <c r="N28" s="586">
        <v>29370.08726422389</v>
      </c>
      <c r="O28" s="530"/>
      <c r="P28" s="530"/>
      <c r="Q28" s="530"/>
      <c r="R28" s="530"/>
      <c r="S28" s="533"/>
      <c r="T28" s="533"/>
    </row>
    <row r="29" spans="1:24" x14ac:dyDescent="0.25">
      <c r="A29" s="544">
        <v>9257005</v>
      </c>
      <c r="B29" s="545" t="s">
        <v>68</v>
      </c>
      <c r="C29" s="587">
        <v>4</v>
      </c>
      <c r="D29" s="583">
        <v>0.13157894736842105</v>
      </c>
      <c r="E29" s="583">
        <v>0.35526315789473684</v>
      </c>
      <c r="F29" s="583">
        <v>0.17105263157894737</v>
      </c>
      <c r="G29" s="583">
        <v>0.14473684210526316</v>
      </c>
      <c r="H29" s="583">
        <v>0.19736842105263158</v>
      </c>
      <c r="I29" s="584">
        <v>29</v>
      </c>
      <c r="J29" s="530">
        <f t="shared" ref="J29:J45" si="6">((((I29*D29)*$G$92)+((I29*E29)*$G$94)+((I29*F29)*$G$96)+((I29*G29)*$G$98)+((I29*H29)*$G$100)))*(4/12)</f>
        <v>89103.135194826071</v>
      </c>
      <c r="K29" s="530">
        <f t="shared" ref="K29:K45" si="7">((I29*H29)*$G$102)*(4/12)</f>
        <v>5027.3939990687068</v>
      </c>
      <c r="L29" s="530">
        <f t="shared" ref="L29:L45" si="8">SUM(J29:K29)</f>
        <v>94130.529193894778</v>
      </c>
      <c r="M29" s="586">
        <f t="shared" ref="M29:M45" si="9">(I29*(4/12))*10000</f>
        <v>96666.666666666657</v>
      </c>
      <c r="N29" s="586">
        <v>63488.376698780667</v>
      </c>
      <c r="O29" s="530"/>
      <c r="P29" s="530"/>
      <c r="Q29" s="530"/>
      <c r="R29" s="530"/>
      <c r="S29" s="533"/>
      <c r="T29" s="533"/>
    </row>
    <row r="30" spans="1:24" x14ac:dyDescent="0.25">
      <c r="A30" s="544">
        <v>9257025</v>
      </c>
      <c r="B30" s="545" t="s">
        <v>69</v>
      </c>
      <c r="C30" s="582">
        <v>4</v>
      </c>
      <c r="D30" s="583">
        <v>0.26415094339622641</v>
      </c>
      <c r="E30" s="583">
        <v>0.41509433962264153</v>
      </c>
      <c r="F30" s="583">
        <v>5.6603773584905662E-2</v>
      </c>
      <c r="G30" s="583">
        <v>5.6603773584905662E-2</v>
      </c>
      <c r="H30" s="583">
        <v>0.20754716981132076</v>
      </c>
      <c r="I30" s="584">
        <v>13</v>
      </c>
      <c r="J30" s="530">
        <f t="shared" si="6"/>
        <v>41519.128077391273</v>
      </c>
      <c r="K30" s="530">
        <f t="shared" si="7"/>
        <v>2369.8858374269662</v>
      </c>
      <c r="L30" s="530">
        <f t="shared" si="8"/>
        <v>43889.013914818242</v>
      </c>
      <c r="M30" s="586">
        <f t="shared" si="9"/>
        <v>43333.333333333328</v>
      </c>
      <c r="N30" s="586">
        <v>37669.644543829891</v>
      </c>
      <c r="O30" s="530"/>
      <c r="P30" s="530"/>
      <c r="Q30" s="530"/>
      <c r="R30" s="530"/>
      <c r="S30" s="533"/>
      <c r="T30" s="533"/>
    </row>
    <row r="31" spans="1:24" x14ac:dyDescent="0.25">
      <c r="A31" s="544">
        <v>9257011</v>
      </c>
      <c r="B31" s="545" t="s">
        <v>70</v>
      </c>
      <c r="C31" s="582">
        <v>3</v>
      </c>
      <c r="D31" s="583">
        <v>0.4</v>
      </c>
      <c r="E31" s="583">
        <v>0.42222222222222222</v>
      </c>
      <c r="F31" s="583">
        <v>0</v>
      </c>
      <c r="G31" s="583">
        <v>2.2222222222222223E-2</v>
      </c>
      <c r="H31" s="583">
        <v>0.15555555555555556</v>
      </c>
      <c r="I31" s="584">
        <v>3</v>
      </c>
      <c r="J31" s="530">
        <f t="shared" si="6"/>
        <v>9858.7829684831449</v>
      </c>
      <c r="K31" s="530">
        <f t="shared" si="7"/>
        <v>409.8963383148739</v>
      </c>
      <c r="L31" s="530">
        <f t="shared" si="8"/>
        <v>10268.679306798018</v>
      </c>
      <c r="M31" s="586">
        <f t="shared" si="9"/>
        <v>10000</v>
      </c>
      <c r="N31" s="586">
        <v>9422.2682394022158</v>
      </c>
      <c r="O31" s="530"/>
      <c r="P31" s="530"/>
      <c r="Q31" s="530"/>
      <c r="R31" s="530"/>
      <c r="S31" s="533"/>
      <c r="T31" s="533"/>
    </row>
    <row r="32" spans="1:24" x14ac:dyDescent="0.25">
      <c r="A32" s="544">
        <v>9257024</v>
      </c>
      <c r="B32" s="545" t="s">
        <v>71</v>
      </c>
      <c r="C32" s="587">
        <v>3</v>
      </c>
      <c r="D32" s="583">
        <v>0.2</v>
      </c>
      <c r="E32" s="583">
        <v>0.5636363636363636</v>
      </c>
      <c r="F32" s="583">
        <v>1.8181818181818181E-2</v>
      </c>
      <c r="G32" s="583">
        <v>0.16363636363636364</v>
      </c>
      <c r="H32" s="583">
        <v>5.4545454545454543E-2</v>
      </c>
      <c r="I32" s="584">
        <v>13</v>
      </c>
      <c r="J32" s="530">
        <f t="shared" si="6"/>
        <v>39631.453295768835</v>
      </c>
      <c r="K32" s="530">
        <f t="shared" si="7"/>
        <v>622.82950107584725</v>
      </c>
      <c r="L32" s="530">
        <f t="shared" si="8"/>
        <v>40254.28279684468</v>
      </c>
      <c r="M32" s="586">
        <f t="shared" si="9"/>
        <v>43333.333333333328</v>
      </c>
      <c r="N32" s="586">
        <v>28816.427469013859</v>
      </c>
      <c r="O32" s="530"/>
      <c r="P32" s="530"/>
      <c r="Q32" s="530"/>
      <c r="R32" s="530"/>
      <c r="S32" s="533"/>
      <c r="T32" s="533"/>
    </row>
    <row r="33" spans="1:20" x14ac:dyDescent="0.25">
      <c r="A33" s="544">
        <v>9257031</v>
      </c>
      <c r="B33" s="545" t="s">
        <v>98</v>
      </c>
      <c r="C33" s="582">
        <v>3</v>
      </c>
      <c r="D33" s="583">
        <v>0</v>
      </c>
      <c r="E33" s="583">
        <v>0</v>
      </c>
      <c r="F33" s="583">
        <v>0</v>
      </c>
      <c r="G33" s="583">
        <v>0</v>
      </c>
      <c r="H33" s="583">
        <v>1</v>
      </c>
      <c r="I33" s="584">
        <v>0</v>
      </c>
      <c r="J33" s="530">
        <f t="shared" si="6"/>
        <v>0</v>
      </c>
      <c r="K33" s="530">
        <f t="shared" si="7"/>
        <v>0</v>
      </c>
      <c r="L33" s="530">
        <f t="shared" si="8"/>
        <v>0</v>
      </c>
      <c r="M33" s="586">
        <f t="shared" si="9"/>
        <v>0</v>
      </c>
      <c r="N33" s="586">
        <v>0</v>
      </c>
      <c r="O33" s="530"/>
      <c r="P33" s="530"/>
      <c r="Q33" s="530"/>
      <c r="R33" s="530"/>
      <c r="S33" s="533"/>
      <c r="T33" s="533"/>
    </row>
    <row r="34" spans="1:20" x14ac:dyDescent="0.25">
      <c r="A34" s="544">
        <v>9257033</v>
      </c>
      <c r="B34" s="545" t="s">
        <v>72</v>
      </c>
      <c r="C34" s="582">
        <v>3</v>
      </c>
      <c r="D34" s="583">
        <v>3.6363636363636362E-2</v>
      </c>
      <c r="E34" s="583">
        <v>0.29090909090909089</v>
      </c>
      <c r="F34" s="583">
        <v>0.27272727272727271</v>
      </c>
      <c r="G34" s="583">
        <v>5.4545454545454543E-2</v>
      </c>
      <c r="H34" s="583">
        <v>0.34545454545454546</v>
      </c>
      <c r="I34" s="584">
        <v>0</v>
      </c>
      <c r="J34" s="530">
        <f t="shared" si="6"/>
        <v>0</v>
      </c>
      <c r="K34" s="530">
        <f t="shared" si="7"/>
        <v>0</v>
      </c>
      <c r="L34" s="530">
        <f t="shared" si="8"/>
        <v>0</v>
      </c>
      <c r="M34" s="586">
        <f t="shared" si="9"/>
        <v>0</v>
      </c>
      <c r="N34" s="586">
        <v>0</v>
      </c>
      <c r="O34" s="530"/>
      <c r="P34" s="530"/>
      <c r="Q34" s="530"/>
      <c r="R34" s="530"/>
      <c r="S34" s="533"/>
      <c r="T34" s="533"/>
    </row>
    <row r="35" spans="1:20" x14ac:dyDescent="0.25">
      <c r="A35" s="544">
        <v>9257008</v>
      </c>
      <c r="B35" s="545" t="s">
        <v>73</v>
      </c>
      <c r="C35" s="589">
        <v>4</v>
      </c>
      <c r="D35" s="583">
        <v>0</v>
      </c>
      <c r="E35" s="583">
        <v>8.2352941176470587E-2</v>
      </c>
      <c r="F35" s="583">
        <v>0.61176470588235299</v>
      </c>
      <c r="G35" s="583">
        <v>2.3529411764705882E-2</v>
      </c>
      <c r="H35" s="583">
        <v>0.28235294117647058</v>
      </c>
      <c r="I35" s="584">
        <v>0</v>
      </c>
      <c r="J35" s="530">
        <f t="shared" si="6"/>
        <v>0</v>
      </c>
      <c r="K35" s="530">
        <f t="shared" si="7"/>
        <v>0</v>
      </c>
      <c r="L35" s="530">
        <f t="shared" si="8"/>
        <v>0</v>
      </c>
      <c r="M35" s="586">
        <f t="shared" si="9"/>
        <v>0</v>
      </c>
      <c r="N35" s="586">
        <v>0</v>
      </c>
      <c r="O35" s="530"/>
      <c r="P35" s="530"/>
      <c r="Q35" s="530"/>
      <c r="R35" s="530"/>
      <c r="S35" s="533"/>
      <c r="T35" s="533"/>
    </row>
    <row r="36" spans="1:20" x14ac:dyDescent="0.25">
      <c r="A36" s="544">
        <v>9257034</v>
      </c>
      <c r="B36" s="545" t="s">
        <v>74</v>
      </c>
      <c r="C36" s="582">
        <v>5</v>
      </c>
      <c r="D36" s="583">
        <v>7.0866141732283464E-2</v>
      </c>
      <c r="E36" s="583">
        <v>0.16535433070866143</v>
      </c>
      <c r="F36" s="583">
        <v>0.51968503937007871</v>
      </c>
      <c r="G36" s="583">
        <v>3.937007874015748E-2</v>
      </c>
      <c r="H36" s="583">
        <v>0.20472440944881889</v>
      </c>
      <c r="I36" s="584">
        <v>31</v>
      </c>
      <c r="J36" s="530">
        <f t="shared" si="6"/>
        <v>84140.966695875803</v>
      </c>
      <c r="K36" s="530">
        <f t="shared" si="7"/>
        <v>5574.4057707838301</v>
      </c>
      <c r="L36" s="530">
        <f t="shared" si="8"/>
        <v>89715.372466659639</v>
      </c>
      <c r="M36" s="586">
        <f t="shared" si="9"/>
        <v>103333.33333333333</v>
      </c>
      <c r="N36" s="586">
        <v>32220.842787150508</v>
      </c>
      <c r="O36" s="530"/>
      <c r="P36" s="530"/>
      <c r="Q36" s="530"/>
      <c r="R36" s="530"/>
      <c r="S36" s="533"/>
      <c r="T36" s="533"/>
    </row>
    <row r="37" spans="1:20" x14ac:dyDescent="0.25">
      <c r="A37" s="544">
        <v>9257002</v>
      </c>
      <c r="B37" s="545" t="s">
        <v>75</v>
      </c>
      <c r="C37" s="587">
        <v>4</v>
      </c>
      <c r="D37" s="583">
        <v>8.4033613445378148E-3</v>
      </c>
      <c r="E37" s="583">
        <v>0.27731092436974791</v>
      </c>
      <c r="F37" s="583">
        <v>0.59663865546218486</v>
      </c>
      <c r="G37" s="583">
        <v>2.5210084033613446E-2</v>
      </c>
      <c r="H37" s="583">
        <v>9.2436974789915971E-2</v>
      </c>
      <c r="I37" s="584">
        <v>0</v>
      </c>
      <c r="J37" s="530">
        <f t="shared" si="6"/>
        <v>0</v>
      </c>
      <c r="K37" s="530">
        <f t="shared" si="7"/>
        <v>0</v>
      </c>
      <c r="L37" s="530">
        <f t="shared" si="8"/>
        <v>0</v>
      </c>
      <c r="M37" s="586">
        <f t="shared" si="9"/>
        <v>0</v>
      </c>
      <c r="N37" s="586">
        <v>0</v>
      </c>
      <c r="O37" s="530"/>
      <c r="P37" s="530"/>
      <c r="Q37" s="530"/>
      <c r="R37" s="530"/>
      <c r="S37" s="533"/>
      <c r="T37" s="533"/>
    </row>
    <row r="38" spans="1:20" x14ac:dyDescent="0.25">
      <c r="A38" s="544">
        <v>9257009</v>
      </c>
      <c r="B38" s="545" t="s">
        <v>76</v>
      </c>
      <c r="C38" s="582">
        <v>4</v>
      </c>
      <c r="D38" s="583">
        <v>0</v>
      </c>
      <c r="E38" s="583">
        <v>0.14615384615384616</v>
      </c>
      <c r="F38" s="583">
        <v>0.7</v>
      </c>
      <c r="G38" s="583">
        <v>1.5384615384615385E-2</v>
      </c>
      <c r="H38" s="583">
        <v>0.13846153846153847</v>
      </c>
      <c r="I38" s="584">
        <v>0</v>
      </c>
      <c r="J38" s="530">
        <f t="shared" si="6"/>
        <v>0</v>
      </c>
      <c r="K38" s="530">
        <f t="shared" si="7"/>
        <v>0</v>
      </c>
      <c r="L38" s="530">
        <f t="shared" si="8"/>
        <v>0</v>
      </c>
      <c r="M38" s="586">
        <f t="shared" si="9"/>
        <v>0</v>
      </c>
      <c r="N38" s="586">
        <v>0</v>
      </c>
      <c r="O38" s="530"/>
      <c r="P38" s="530"/>
      <c r="Q38" s="530"/>
      <c r="R38" s="530"/>
      <c r="S38" s="533"/>
      <c r="T38" s="533"/>
    </row>
    <row r="39" spans="1:20" x14ac:dyDescent="0.25">
      <c r="A39" s="544">
        <v>9257029</v>
      </c>
      <c r="B39" s="545" t="s">
        <v>99</v>
      </c>
      <c r="C39" s="590">
        <v>3</v>
      </c>
      <c r="D39" s="583">
        <v>0</v>
      </c>
      <c r="E39" s="583">
        <v>0</v>
      </c>
      <c r="F39" s="583">
        <v>0</v>
      </c>
      <c r="G39" s="583">
        <v>0</v>
      </c>
      <c r="H39" s="583">
        <v>1</v>
      </c>
      <c r="I39" s="584">
        <v>0</v>
      </c>
      <c r="J39" s="530">
        <f t="shared" si="6"/>
        <v>0</v>
      </c>
      <c r="K39" s="530">
        <f t="shared" si="7"/>
        <v>0</v>
      </c>
      <c r="L39" s="530">
        <f t="shared" si="8"/>
        <v>0</v>
      </c>
      <c r="M39" s="586">
        <f t="shared" si="9"/>
        <v>0</v>
      </c>
      <c r="N39" s="586">
        <v>0</v>
      </c>
      <c r="O39" s="530"/>
      <c r="P39" s="530"/>
      <c r="Q39" s="530"/>
      <c r="R39" s="530"/>
      <c r="S39" s="533"/>
      <c r="T39" s="533"/>
    </row>
    <row r="40" spans="1:20" x14ac:dyDescent="0.25">
      <c r="A40" s="544">
        <v>9257032</v>
      </c>
      <c r="B40" s="545" t="s">
        <v>100</v>
      </c>
      <c r="C40" s="582">
        <v>4</v>
      </c>
      <c r="D40" s="583">
        <v>0</v>
      </c>
      <c r="E40" s="583">
        <v>0</v>
      </c>
      <c r="F40" s="583">
        <v>0</v>
      </c>
      <c r="G40" s="583">
        <v>0</v>
      </c>
      <c r="H40" s="583">
        <v>1</v>
      </c>
      <c r="I40" s="584">
        <v>0</v>
      </c>
      <c r="J40" s="530">
        <f t="shared" si="6"/>
        <v>0</v>
      </c>
      <c r="K40" s="530">
        <f t="shared" si="7"/>
        <v>0</v>
      </c>
      <c r="L40" s="530">
        <f t="shared" si="8"/>
        <v>0</v>
      </c>
      <c r="M40" s="586">
        <f t="shared" si="9"/>
        <v>0</v>
      </c>
      <c r="N40" s="586">
        <v>0</v>
      </c>
      <c r="O40" s="530"/>
      <c r="P40" s="530"/>
      <c r="Q40" s="530"/>
      <c r="R40" s="530"/>
      <c r="S40" s="533"/>
      <c r="T40" s="533"/>
    </row>
    <row r="41" spans="1:20" x14ac:dyDescent="0.25">
      <c r="A41" s="544">
        <v>9257030</v>
      </c>
      <c r="B41" s="545" t="s">
        <v>92</v>
      </c>
      <c r="C41" s="582">
        <v>4</v>
      </c>
      <c r="D41" s="583">
        <v>0</v>
      </c>
      <c r="E41" s="583">
        <v>0</v>
      </c>
      <c r="F41" s="583">
        <v>0</v>
      </c>
      <c r="G41" s="583">
        <v>0</v>
      </c>
      <c r="H41" s="583">
        <v>1</v>
      </c>
      <c r="I41" s="584">
        <v>0</v>
      </c>
      <c r="J41" s="530">
        <f t="shared" si="6"/>
        <v>0</v>
      </c>
      <c r="K41" s="530">
        <f t="shared" si="7"/>
        <v>0</v>
      </c>
      <c r="L41" s="530">
        <f t="shared" si="8"/>
        <v>0</v>
      </c>
      <c r="M41" s="586">
        <f t="shared" si="9"/>
        <v>0</v>
      </c>
      <c r="N41" s="586">
        <v>0</v>
      </c>
      <c r="O41" s="530"/>
      <c r="P41" s="530"/>
      <c r="Q41" s="530"/>
      <c r="R41" s="530"/>
      <c r="S41" s="533"/>
      <c r="T41" s="533"/>
    </row>
    <row r="42" spans="1:20" x14ac:dyDescent="0.25">
      <c r="A42" s="544">
        <v>9257028</v>
      </c>
      <c r="B42" s="545" t="s">
        <v>77</v>
      </c>
      <c r="C42" s="590">
        <v>4</v>
      </c>
      <c r="D42" s="583">
        <v>0.23943661971830985</v>
      </c>
      <c r="E42" s="583">
        <v>0.3380281690140845</v>
      </c>
      <c r="F42" s="583">
        <v>0</v>
      </c>
      <c r="G42" s="583">
        <v>0.18309859154929578</v>
      </c>
      <c r="H42" s="583">
        <v>0.23943661971830985</v>
      </c>
      <c r="I42" s="584">
        <v>16</v>
      </c>
      <c r="J42" s="530">
        <f t="shared" si="6"/>
        <v>54529.831114839952</v>
      </c>
      <c r="K42" s="530">
        <f t="shared" si="7"/>
        <v>3364.9437833494671</v>
      </c>
      <c r="L42" s="530">
        <f t="shared" si="8"/>
        <v>57894.774898189418</v>
      </c>
      <c r="M42" s="586">
        <f t="shared" si="9"/>
        <v>53333.333333333328</v>
      </c>
      <c r="N42" s="586">
        <v>43461.172675970745</v>
      </c>
      <c r="O42" s="530"/>
      <c r="P42" s="530"/>
      <c r="Q42" s="530"/>
      <c r="R42" s="530"/>
      <c r="S42" s="533"/>
      <c r="T42" s="533"/>
    </row>
    <row r="43" spans="1:20" x14ac:dyDescent="0.25">
      <c r="A43" s="544">
        <v>9257021</v>
      </c>
      <c r="B43" s="545" t="s">
        <v>78</v>
      </c>
      <c r="C43" s="590">
        <v>4</v>
      </c>
      <c r="D43" s="583">
        <v>0</v>
      </c>
      <c r="E43" s="583">
        <v>9.8591549295774641E-2</v>
      </c>
      <c r="F43" s="583">
        <v>0.71830985915492962</v>
      </c>
      <c r="G43" s="583">
        <v>4.2253521126760563E-2</v>
      </c>
      <c r="H43" s="583">
        <v>0.14084507042253522</v>
      </c>
      <c r="I43" s="584">
        <v>0</v>
      </c>
      <c r="J43" s="530">
        <f t="shared" si="6"/>
        <v>0</v>
      </c>
      <c r="K43" s="530">
        <f t="shared" si="7"/>
        <v>0</v>
      </c>
      <c r="L43" s="530">
        <f t="shared" si="8"/>
        <v>0</v>
      </c>
      <c r="M43" s="586">
        <f t="shared" si="9"/>
        <v>0</v>
      </c>
      <c r="N43" s="586">
        <v>0</v>
      </c>
      <c r="O43" s="530"/>
      <c r="P43" s="530"/>
      <c r="Q43" s="530"/>
      <c r="R43" s="530"/>
      <c r="S43" s="533"/>
      <c r="T43" s="533"/>
    </row>
    <row r="44" spans="1:20" x14ac:dyDescent="0.25">
      <c r="A44" s="544">
        <v>9257015</v>
      </c>
      <c r="B44" s="545" t="s">
        <v>55</v>
      </c>
      <c r="C44" s="582">
        <v>6</v>
      </c>
      <c r="D44" s="583">
        <v>6.0483870967741937E-2</v>
      </c>
      <c r="E44" s="583">
        <v>0.22177419354838709</v>
      </c>
      <c r="F44" s="583">
        <v>0.65322580645161288</v>
      </c>
      <c r="G44" s="583">
        <v>0</v>
      </c>
      <c r="H44" s="583">
        <v>6.4516129032258063E-2</v>
      </c>
      <c r="I44" s="584">
        <v>19</v>
      </c>
      <c r="J44" s="530">
        <f t="shared" si="6"/>
        <v>45410.863547676221</v>
      </c>
      <c r="K44" s="530">
        <f t="shared" si="7"/>
        <v>1076.6862342833092</v>
      </c>
      <c r="L44" s="530">
        <f t="shared" si="8"/>
        <v>46487.549781959533</v>
      </c>
      <c r="M44" s="586">
        <f t="shared" si="9"/>
        <v>63333.333333333328</v>
      </c>
      <c r="N44" s="586">
        <v>1597.2052267632346</v>
      </c>
      <c r="O44" s="530"/>
      <c r="P44" s="530"/>
      <c r="Q44" s="530"/>
      <c r="R44" s="530"/>
      <c r="S44" s="533"/>
      <c r="T44" s="533"/>
    </row>
    <row r="45" spans="1:20" x14ac:dyDescent="0.25">
      <c r="A45" s="544">
        <v>9257016</v>
      </c>
      <c r="B45" s="545" t="s">
        <v>80</v>
      </c>
      <c r="C45" s="582">
        <v>7</v>
      </c>
      <c r="D45" s="583">
        <v>0.50370370370370365</v>
      </c>
      <c r="E45" s="583">
        <v>0</v>
      </c>
      <c r="F45" s="583">
        <v>0.28888888888888886</v>
      </c>
      <c r="G45" s="583">
        <v>0.2074074074074074</v>
      </c>
      <c r="H45" s="583">
        <v>0</v>
      </c>
      <c r="I45" s="584">
        <v>54</v>
      </c>
      <c r="J45" s="530">
        <f t="shared" si="6"/>
        <v>182125.23153066565</v>
      </c>
      <c r="K45" s="530">
        <f t="shared" si="7"/>
        <v>0</v>
      </c>
      <c r="L45" s="530">
        <f t="shared" si="8"/>
        <v>182125.23153066565</v>
      </c>
      <c r="M45" s="586">
        <f t="shared" si="9"/>
        <v>180000</v>
      </c>
      <c r="N45" s="586">
        <v>118908.98702964939</v>
      </c>
      <c r="O45" s="530"/>
      <c r="P45" s="530"/>
      <c r="Q45" s="530"/>
      <c r="R45" s="530"/>
      <c r="S45" s="533"/>
      <c r="T45" s="533"/>
    </row>
    <row r="46" spans="1:20" x14ac:dyDescent="0.25">
      <c r="A46" s="559"/>
      <c r="B46" s="556"/>
      <c r="C46" s="554"/>
      <c r="D46" s="583"/>
      <c r="E46" s="583"/>
      <c r="F46" s="583"/>
      <c r="G46" s="583"/>
      <c r="H46" s="583"/>
      <c r="I46" s="585"/>
      <c r="J46" s="585"/>
      <c r="K46" s="585"/>
      <c r="L46" s="530"/>
      <c r="M46" s="530"/>
      <c r="N46" s="530"/>
      <c r="O46" s="530"/>
      <c r="P46" s="584"/>
      <c r="Q46" s="584"/>
      <c r="R46" s="529"/>
    </row>
    <row r="47" spans="1:20" ht="13" x14ac:dyDescent="0.3">
      <c r="A47" s="230" t="s">
        <v>285</v>
      </c>
      <c r="B47" s="556"/>
      <c r="C47" s="556"/>
    </row>
    <row r="48" spans="1:20" x14ac:dyDescent="0.25">
      <c r="B48" s="556"/>
      <c r="C48" s="556"/>
      <c r="I48" s="231" t="s">
        <v>286</v>
      </c>
      <c r="P48" s="1951" t="s">
        <v>332</v>
      </c>
      <c r="Q48" s="1952"/>
    </row>
    <row r="49" spans="1:20" ht="39.75" customHeight="1" x14ac:dyDescent="0.25">
      <c r="A49" s="580" t="s">
        <v>201</v>
      </c>
      <c r="B49" s="535" t="s">
        <v>66</v>
      </c>
      <c r="C49" s="539" t="s">
        <v>51</v>
      </c>
      <c r="D49" s="526" t="s">
        <v>256</v>
      </c>
      <c r="E49" s="526" t="s">
        <v>257</v>
      </c>
      <c r="F49" s="526" t="s">
        <v>258</v>
      </c>
      <c r="G49" s="526" t="s">
        <v>259</v>
      </c>
      <c r="H49" s="526" t="s">
        <v>260</v>
      </c>
      <c r="I49" s="572" t="s">
        <v>252</v>
      </c>
      <c r="J49" s="572" t="s">
        <v>253</v>
      </c>
      <c r="K49" s="572" t="s">
        <v>251</v>
      </c>
      <c r="L49" s="572" t="s">
        <v>389</v>
      </c>
      <c r="M49" s="572" t="s">
        <v>390</v>
      </c>
      <c r="N49" s="572" t="s">
        <v>391</v>
      </c>
      <c r="O49" s="572" t="s">
        <v>287</v>
      </c>
      <c r="P49" s="593" t="s">
        <v>329</v>
      </c>
      <c r="Q49" s="572" t="s">
        <v>340</v>
      </c>
    </row>
    <row r="50" spans="1:20" x14ac:dyDescent="0.25">
      <c r="A50" s="552">
        <v>9257010</v>
      </c>
      <c r="B50" s="545" t="s">
        <v>67</v>
      </c>
      <c r="C50" s="582">
        <v>3</v>
      </c>
      <c r="D50" s="594">
        <v>0.40476190476190477</v>
      </c>
      <c r="E50" s="594">
        <v>0.2857142857142857</v>
      </c>
      <c r="F50" s="594">
        <v>0.11904761904761904</v>
      </c>
      <c r="G50" s="594">
        <v>0.11904761904761904</v>
      </c>
      <c r="H50" s="594">
        <v>7.1428571428571425E-2</v>
      </c>
      <c r="I50" s="584">
        <v>0</v>
      </c>
      <c r="J50" s="584">
        <v>34</v>
      </c>
      <c r="K50" s="584">
        <f>SUM(I50:J50)</f>
        <v>34</v>
      </c>
      <c r="L50" s="533">
        <f>((((I50*D50)*$G$92)+((I50*E50)*$G$94)+((I50*F50)*$G$96)+((I50*G50)*$G$98)+((I50*H50)*$G$100)))*(7/12)</f>
        <v>0</v>
      </c>
      <c r="M50" s="533">
        <f>((((J50*D50)*$G$92)+((J50*E50)*$G$94)+((J50*F50)*$G$96)+((J50*G50)*$G$98)+((J50*H50)*$G$100)))*(7/12)</f>
        <v>194423.73084043633</v>
      </c>
      <c r="N50" s="533">
        <f>((H50*K50)*$G$102)*(7/12)</f>
        <v>3732.9845096533159</v>
      </c>
      <c r="O50" s="533">
        <f t="shared" ref="O50:O67" si="10">((((K50*D50)*$G$92)+((K50*E50)*$G$94)+((K50*F50)*$G$96)+((K50*G50)*$G$98)+((K50*H50)*$G$100)+((K50*H50)*$G$102)))*(7/12)</f>
        <v>198156.71535008965</v>
      </c>
      <c r="P50" s="586">
        <f>(K50*(7/12))*10000</f>
        <v>198333.33333333334</v>
      </c>
      <c r="Q50" s="586">
        <v>174752.01922213213</v>
      </c>
      <c r="R50" s="533"/>
      <c r="S50" s="533"/>
      <c r="T50" s="533"/>
    </row>
    <row r="51" spans="1:20" x14ac:dyDescent="0.25">
      <c r="A51" s="552">
        <v>9257005</v>
      </c>
      <c r="B51" s="545" t="s">
        <v>68</v>
      </c>
      <c r="C51" s="587">
        <v>4</v>
      </c>
      <c r="D51" s="594">
        <v>0.13157894736842105</v>
      </c>
      <c r="E51" s="594">
        <v>0.35526315789473684</v>
      </c>
      <c r="F51" s="594">
        <v>0.17105263157894737</v>
      </c>
      <c r="G51" s="594">
        <v>0.14473684210526316</v>
      </c>
      <c r="H51" s="594">
        <v>0.19736842105263158</v>
      </c>
      <c r="I51" s="584">
        <v>0</v>
      </c>
      <c r="J51" s="584">
        <v>48</v>
      </c>
      <c r="K51" s="584">
        <f t="shared" ref="K51:K67" si="11">SUM(I51:J51)</f>
        <v>48</v>
      </c>
      <c r="L51" s="533">
        <f t="shared" ref="L51:L67" si="12">((((I51*D51)*$G$92)+((I51*E51)*$G$94)+((I51*F51)*$G$96)+((I51*G51)*$G$98)+((I51*H51)*$G$100)))*(7/12)</f>
        <v>0</v>
      </c>
      <c r="M51" s="533">
        <f t="shared" ref="M51:M67" si="13">((((J51*D51)*$G$92)+((J51*E51)*$G$94)+((J51*F51)*$G$96)+((J51*G51)*$G$98)+((J51*H51)*$G$100)))*(7/12)</f>
        <v>258091.83987466866</v>
      </c>
      <c r="N51" s="533">
        <f t="shared" ref="N51:N67" si="14">((H51*K51)*$G$102)*(7/12)</f>
        <v>14562.106755923151</v>
      </c>
      <c r="O51" s="533">
        <f t="shared" si="10"/>
        <v>272653.94663059182</v>
      </c>
      <c r="P51" s="586">
        <f t="shared" ref="P51:P67" si="15">(K51*(7/12))*10000</f>
        <v>280000</v>
      </c>
      <c r="Q51" s="586">
        <v>183897.36698957157</v>
      </c>
      <c r="R51" s="533"/>
      <c r="S51" s="533"/>
      <c r="T51" s="533"/>
    </row>
    <row r="52" spans="1:20" x14ac:dyDescent="0.25">
      <c r="A52" s="552">
        <v>9257025</v>
      </c>
      <c r="B52" s="545" t="s">
        <v>69</v>
      </c>
      <c r="C52" s="582">
        <v>4</v>
      </c>
      <c r="D52" s="594">
        <v>0.26415094339622641</v>
      </c>
      <c r="E52" s="594">
        <v>0.41509433962264153</v>
      </c>
      <c r="F52" s="594">
        <v>5.6603773584905662E-2</v>
      </c>
      <c r="G52" s="594">
        <v>5.6603773584905662E-2</v>
      </c>
      <c r="H52" s="594">
        <v>0.20754716981132076</v>
      </c>
      <c r="I52" s="584">
        <v>10</v>
      </c>
      <c r="J52" s="584">
        <v>39</v>
      </c>
      <c r="K52" s="584">
        <f t="shared" si="11"/>
        <v>49</v>
      </c>
      <c r="L52" s="533">
        <f t="shared" si="12"/>
        <v>55891.133950334406</v>
      </c>
      <c r="M52" s="533">
        <f t="shared" si="13"/>
        <v>217975.42240630422</v>
      </c>
      <c r="N52" s="533">
        <f t="shared" si="14"/>
        <v>15632.131581489413</v>
      </c>
      <c r="O52" s="533">
        <f t="shared" si="10"/>
        <v>289498.68793812807</v>
      </c>
      <c r="P52" s="586">
        <f t="shared" si="15"/>
        <v>285833.33333333337</v>
      </c>
      <c r="Q52" s="586">
        <v>248474.7707410318</v>
      </c>
      <c r="R52" s="533"/>
      <c r="S52" s="533"/>
      <c r="T52" s="533"/>
    </row>
    <row r="53" spans="1:20" x14ac:dyDescent="0.25">
      <c r="A53" s="552">
        <v>9257011</v>
      </c>
      <c r="B53" s="545" t="s">
        <v>70</v>
      </c>
      <c r="C53" s="582">
        <v>3</v>
      </c>
      <c r="D53" s="594">
        <v>0.4</v>
      </c>
      <c r="E53" s="594">
        <v>0.42222222222222222</v>
      </c>
      <c r="F53" s="594">
        <v>0</v>
      </c>
      <c r="G53" s="594">
        <v>2.2222222222222223E-2</v>
      </c>
      <c r="H53" s="594">
        <v>0.15555555555555556</v>
      </c>
      <c r="I53" s="584">
        <v>0</v>
      </c>
      <c r="J53" s="584">
        <v>42</v>
      </c>
      <c r="K53" s="584">
        <f t="shared" si="11"/>
        <v>42</v>
      </c>
      <c r="L53" s="533">
        <f t="shared" si="12"/>
        <v>0</v>
      </c>
      <c r="M53" s="533">
        <f t="shared" si="13"/>
        <v>241540.18272783706</v>
      </c>
      <c r="N53" s="533">
        <f t="shared" si="14"/>
        <v>10042.46028871441</v>
      </c>
      <c r="O53" s="533">
        <f t="shared" si="10"/>
        <v>251582.64301655148</v>
      </c>
      <c r="P53" s="586">
        <f t="shared" si="15"/>
        <v>245000</v>
      </c>
      <c r="Q53" s="586">
        <v>230845.57186535432</v>
      </c>
      <c r="R53" s="533"/>
      <c r="S53" s="533"/>
      <c r="T53" s="533"/>
    </row>
    <row r="54" spans="1:20" x14ac:dyDescent="0.25">
      <c r="A54" s="552">
        <v>9257024</v>
      </c>
      <c r="B54" s="545" t="s">
        <v>71</v>
      </c>
      <c r="C54" s="587">
        <v>3</v>
      </c>
      <c r="D54" s="594">
        <v>0.2</v>
      </c>
      <c r="E54" s="594">
        <v>0.5636363636363636</v>
      </c>
      <c r="F54" s="594">
        <v>1.8181818181818181E-2</v>
      </c>
      <c r="G54" s="594">
        <v>0.16363636363636364</v>
      </c>
      <c r="H54" s="594">
        <v>5.4545454545454543E-2</v>
      </c>
      <c r="I54" s="584">
        <v>5</v>
      </c>
      <c r="J54" s="584">
        <v>39</v>
      </c>
      <c r="K54" s="584">
        <f t="shared" si="11"/>
        <v>44</v>
      </c>
      <c r="L54" s="533">
        <f t="shared" si="12"/>
        <v>26675.01664138287</v>
      </c>
      <c r="M54" s="533">
        <f t="shared" si="13"/>
        <v>208065.12980278642</v>
      </c>
      <c r="N54" s="533">
        <f t="shared" si="14"/>
        <v>3689.0670448338651</v>
      </c>
      <c r="O54" s="533">
        <f t="shared" si="10"/>
        <v>238429.21348900307</v>
      </c>
      <c r="P54" s="586">
        <f t="shared" si="15"/>
        <v>256666.66666666669</v>
      </c>
      <c r="Q54" s="586">
        <v>170681.91654723592</v>
      </c>
      <c r="R54" s="533"/>
      <c r="S54" s="533"/>
      <c r="T54" s="533"/>
    </row>
    <row r="55" spans="1:20" x14ac:dyDescent="0.25">
      <c r="A55" s="552">
        <v>9257031</v>
      </c>
      <c r="B55" s="545" t="s">
        <v>98</v>
      </c>
      <c r="C55" s="582">
        <v>3</v>
      </c>
      <c r="D55" s="594">
        <v>0</v>
      </c>
      <c r="E55" s="594">
        <v>0</v>
      </c>
      <c r="F55" s="594">
        <v>0</v>
      </c>
      <c r="G55" s="594">
        <v>0</v>
      </c>
      <c r="H55" s="594">
        <v>1</v>
      </c>
      <c r="I55" s="584">
        <v>0</v>
      </c>
      <c r="J55" s="584">
        <v>62</v>
      </c>
      <c r="K55" s="584">
        <f t="shared" si="11"/>
        <v>62</v>
      </c>
      <c r="L55" s="533">
        <f t="shared" si="12"/>
        <v>0</v>
      </c>
      <c r="M55" s="533">
        <f t="shared" si="13"/>
        <v>422861.41307783383</v>
      </c>
      <c r="N55" s="533">
        <f t="shared" si="14"/>
        <v>95300.898658208185</v>
      </c>
      <c r="O55" s="533">
        <f t="shared" si="10"/>
        <v>518162.31173604203</v>
      </c>
      <c r="P55" s="586">
        <f t="shared" si="15"/>
        <v>361666.66666666669</v>
      </c>
      <c r="Q55" s="586">
        <v>364297.57384519913</v>
      </c>
      <c r="R55" s="533"/>
      <c r="S55" s="533"/>
      <c r="T55" s="533"/>
    </row>
    <row r="56" spans="1:20" x14ac:dyDescent="0.25">
      <c r="A56" s="552">
        <v>9257033</v>
      </c>
      <c r="B56" s="545" t="s">
        <v>72</v>
      </c>
      <c r="C56" s="582">
        <v>3</v>
      </c>
      <c r="D56" s="594">
        <v>3.6363636363636362E-2</v>
      </c>
      <c r="E56" s="594">
        <v>0.29090909090909089</v>
      </c>
      <c r="F56" s="594">
        <v>0.27272727272727271</v>
      </c>
      <c r="G56" s="594">
        <v>5.4545454545454543E-2</v>
      </c>
      <c r="H56" s="594">
        <v>0.34545454545454546</v>
      </c>
      <c r="I56" s="584">
        <v>10</v>
      </c>
      <c r="J56" s="584">
        <v>50</v>
      </c>
      <c r="K56" s="584">
        <f t="shared" si="11"/>
        <v>60</v>
      </c>
      <c r="L56" s="533">
        <f t="shared" si="12"/>
        <v>52167.67328798824</v>
      </c>
      <c r="M56" s="533">
        <f t="shared" si="13"/>
        <v>260838.36643994119</v>
      </c>
      <c r="N56" s="533">
        <f t="shared" si="14"/>
        <v>31860.124478110654</v>
      </c>
      <c r="O56" s="533">
        <f t="shared" si="10"/>
        <v>344866.16420604003</v>
      </c>
      <c r="P56" s="586">
        <f t="shared" si="15"/>
        <v>350000</v>
      </c>
      <c r="Q56" s="586">
        <v>225961.88820755421</v>
      </c>
      <c r="R56" s="533"/>
      <c r="S56" s="533"/>
      <c r="T56" s="533"/>
    </row>
    <row r="57" spans="1:20" x14ac:dyDescent="0.25">
      <c r="A57" s="552">
        <v>9257008</v>
      </c>
      <c r="B57" s="545" t="s">
        <v>73</v>
      </c>
      <c r="C57" s="589">
        <v>4</v>
      </c>
      <c r="D57" s="594">
        <v>0</v>
      </c>
      <c r="E57" s="594">
        <v>8.2352941176470587E-2</v>
      </c>
      <c r="F57" s="594">
        <v>0.61176470588235299</v>
      </c>
      <c r="G57" s="594">
        <v>2.3529411764705882E-2</v>
      </c>
      <c r="H57" s="594">
        <v>0.28235294117647058</v>
      </c>
      <c r="I57" s="584">
        <v>10</v>
      </c>
      <c r="J57" s="584">
        <v>80</v>
      </c>
      <c r="K57" s="584">
        <f t="shared" si="11"/>
        <v>90</v>
      </c>
      <c r="L57" s="533">
        <f t="shared" si="12"/>
        <v>46674.710068077606</v>
      </c>
      <c r="M57" s="533">
        <f t="shared" si="13"/>
        <v>373397.68054462085</v>
      </c>
      <c r="N57" s="533">
        <f t="shared" si="14"/>
        <v>39060.709886476216</v>
      </c>
      <c r="O57" s="533">
        <f t="shared" si="10"/>
        <v>459133.10049917467</v>
      </c>
      <c r="P57" s="586">
        <f t="shared" si="15"/>
        <v>525000</v>
      </c>
      <c r="Q57" s="586">
        <v>233471.86504895065</v>
      </c>
      <c r="R57" s="533"/>
      <c r="S57" s="533"/>
      <c r="T57" s="533"/>
    </row>
    <row r="58" spans="1:20" x14ac:dyDescent="0.25">
      <c r="A58" s="552">
        <v>9257034</v>
      </c>
      <c r="B58" s="545" t="s">
        <v>74</v>
      </c>
      <c r="C58" s="582">
        <v>5</v>
      </c>
      <c r="D58" s="594">
        <v>7.0866141732283464E-2</v>
      </c>
      <c r="E58" s="594">
        <v>0.16535433070866143</v>
      </c>
      <c r="F58" s="594">
        <v>0.51968503937007871</v>
      </c>
      <c r="G58" s="594">
        <v>3.937007874015748E-2</v>
      </c>
      <c r="H58" s="594">
        <v>0.20472440944881889</v>
      </c>
      <c r="I58" s="584">
        <v>0</v>
      </c>
      <c r="J58" s="584">
        <v>96</v>
      </c>
      <c r="K58" s="584">
        <f t="shared" si="11"/>
        <v>96</v>
      </c>
      <c r="L58" s="533">
        <f t="shared" si="12"/>
        <v>0</v>
      </c>
      <c r="M58" s="533">
        <f t="shared" si="13"/>
        <v>455989.75499700441</v>
      </c>
      <c r="N58" s="533">
        <f t="shared" si="14"/>
        <v>30209.682886828505</v>
      </c>
      <c r="O58" s="533">
        <f t="shared" si="10"/>
        <v>486199.4378838329</v>
      </c>
      <c r="P58" s="586">
        <f t="shared" si="15"/>
        <v>560000</v>
      </c>
      <c r="Q58" s="586">
        <v>174616.18026584788</v>
      </c>
      <c r="R58" s="533"/>
      <c r="S58" s="533"/>
      <c r="T58" s="533"/>
    </row>
    <row r="59" spans="1:20" x14ac:dyDescent="0.25">
      <c r="A59" s="552">
        <v>9257002</v>
      </c>
      <c r="B59" s="545" t="s">
        <v>75</v>
      </c>
      <c r="C59" s="587">
        <v>4</v>
      </c>
      <c r="D59" s="594">
        <v>8.4033613445378148E-3</v>
      </c>
      <c r="E59" s="594">
        <v>0.27731092436974791</v>
      </c>
      <c r="F59" s="594">
        <v>0.59663865546218486</v>
      </c>
      <c r="G59" s="594">
        <v>2.5210084033613446E-2</v>
      </c>
      <c r="H59" s="594">
        <v>9.2436974789915971E-2</v>
      </c>
      <c r="I59" s="584">
        <v>0</v>
      </c>
      <c r="J59" s="584">
        <v>122</v>
      </c>
      <c r="K59" s="584">
        <f t="shared" si="11"/>
        <v>122</v>
      </c>
      <c r="L59" s="533">
        <f t="shared" si="12"/>
        <v>0</v>
      </c>
      <c r="M59" s="533">
        <f t="shared" si="13"/>
        <v>515054.95491850126</v>
      </c>
      <c r="N59" s="533">
        <f t="shared" si="14"/>
        <v>17334.48170226557</v>
      </c>
      <c r="O59" s="533">
        <f t="shared" si="10"/>
        <v>532389.43662076688</v>
      </c>
      <c r="P59" s="586">
        <f t="shared" si="15"/>
        <v>711666.66666666674</v>
      </c>
      <c r="Q59" s="586">
        <v>120401.10639203196</v>
      </c>
      <c r="R59" s="533"/>
      <c r="S59" s="533"/>
      <c r="T59" s="533"/>
    </row>
    <row r="60" spans="1:20" x14ac:dyDescent="0.25">
      <c r="A60" s="552">
        <v>9257009</v>
      </c>
      <c r="B60" s="545" t="s">
        <v>76</v>
      </c>
      <c r="C60" s="582">
        <v>4</v>
      </c>
      <c r="D60" s="594">
        <v>0</v>
      </c>
      <c r="E60" s="594">
        <v>0.14615384615384616</v>
      </c>
      <c r="F60" s="594">
        <v>0.7</v>
      </c>
      <c r="G60" s="594">
        <v>1.5384615384615385E-2</v>
      </c>
      <c r="H60" s="594">
        <v>0.13846153846153847</v>
      </c>
      <c r="I60" s="584">
        <v>0</v>
      </c>
      <c r="J60" s="584">
        <v>130</v>
      </c>
      <c r="K60" s="584">
        <f t="shared" si="11"/>
        <v>130</v>
      </c>
      <c r="L60" s="533">
        <f t="shared" si="12"/>
        <v>0</v>
      </c>
      <c r="M60" s="533">
        <f t="shared" si="13"/>
        <v>549308.68918690947</v>
      </c>
      <c r="N60" s="533">
        <f t="shared" si="14"/>
        <v>27668.002836253989</v>
      </c>
      <c r="O60" s="533">
        <f t="shared" si="10"/>
        <v>576976.69202316343</v>
      </c>
      <c r="P60" s="586">
        <f t="shared" si="15"/>
        <v>758333.33333333337</v>
      </c>
      <c r="Q60" s="586">
        <v>116500.20665431609</v>
      </c>
      <c r="R60" s="533"/>
      <c r="S60" s="533"/>
      <c r="T60" s="533"/>
    </row>
    <row r="61" spans="1:20" x14ac:dyDescent="0.25">
      <c r="A61" s="552">
        <v>9257029</v>
      </c>
      <c r="B61" s="545" t="s">
        <v>99</v>
      </c>
      <c r="C61" s="590">
        <v>3</v>
      </c>
      <c r="D61" s="594">
        <v>0</v>
      </c>
      <c r="E61" s="594">
        <v>0</v>
      </c>
      <c r="F61" s="594">
        <v>0</v>
      </c>
      <c r="G61" s="594">
        <v>0</v>
      </c>
      <c r="H61" s="594">
        <v>1</v>
      </c>
      <c r="I61" s="584">
        <v>0</v>
      </c>
      <c r="J61" s="584">
        <v>55</v>
      </c>
      <c r="K61" s="584">
        <f t="shared" si="11"/>
        <v>55</v>
      </c>
      <c r="L61" s="533">
        <f t="shared" si="12"/>
        <v>0</v>
      </c>
      <c r="M61" s="533">
        <f t="shared" si="13"/>
        <v>375118.99547227187</v>
      </c>
      <c r="N61" s="533">
        <f t="shared" si="14"/>
        <v>84541.119777442756</v>
      </c>
      <c r="O61" s="533">
        <f t="shared" si="10"/>
        <v>459660.11524971464</v>
      </c>
      <c r="P61" s="586">
        <f t="shared" si="15"/>
        <v>320833.33333333337</v>
      </c>
      <c r="Q61" s="586">
        <v>380648.80285503337</v>
      </c>
      <c r="R61" s="533"/>
      <c r="S61" s="533"/>
      <c r="T61" s="533"/>
    </row>
    <row r="62" spans="1:20" x14ac:dyDescent="0.25">
      <c r="A62" s="552">
        <v>9257032</v>
      </c>
      <c r="B62" s="545" t="s">
        <v>100</v>
      </c>
      <c r="C62" s="582">
        <v>4</v>
      </c>
      <c r="D62" s="594">
        <v>0</v>
      </c>
      <c r="E62" s="594">
        <v>0</v>
      </c>
      <c r="F62" s="594">
        <v>0</v>
      </c>
      <c r="G62" s="594">
        <v>0</v>
      </c>
      <c r="H62" s="594">
        <v>1</v>
      </c>
      <c r="I62" s="584">
        <v>0</v>
      </c>
      <c r="J62" s="584">
        <v>60</v>
      </c>
      <c r="K62" s="584">
        <f t="shared" si="11"/>
        <v>60</v>
      </c>
      <c r="L62" s="533">
        <f t="shared" si="12"/>
        <v>0</v>
      </c>
      <c r="M62" s="533">
        <f t="shared" si="13"/>
        <v>409220.72233338753</v>
      </c>
      <c r="N62" s="533">
        <f t="shared" si="14"/>
        <v>92226.67612084662</v>
      </c>
      <c r="O62" s="533">
        <f t="shared" si="10"/>
        <v>501447.39845423424</v>
      </c>
      <c r="P62" s="586">
        <f t="shared" si="15"/>
        <v>350000</v>
      </c>
      <c r="Q62" s="586">
        <v>400309.82882767566</v>
      </c>
      <c r="R62" s="533"/>
      <c r="S62" s="533"/>
      <c r="T62" s="533"/>
    </row>
    <row r="63" spans="1:20" x14ac:dyDescent="0.25">
      <c r="A63" s="552">
        <v>9257030</v>
      </c>
      <c r="B63" s="545" t="s">
        <v>92</v>
      </c>
      <c r="C63" s="582">
        <v>4</v>
      </c>
      <c r="D63" s="594">
        <v>0</v>
      </c>
      <c r="E63" s="594">
        <v>0</v>
      </c>
      <c r="F63" s="594">
        <v>0</v>
      </c>
      <c r="G63" s="594">
        <v>0</v>
      </c>
      <c r="H63" s="594">
        <v>1</v>
      </c>
      <c r="I63" s="584">
        <v>0</v>
      </c>
      <c r="J63" s="595">
        <v>60</v>
      </c>
      <c r="K63" s="584">
        <f t="shared" si="11"/>
        <v>60</v>
      </c>
      <c r="L63" s="533">
        <f t="shared" si="12"/>
        <v>0</v>
      </c>
      <c r="M63" s="533">
        <f t="shared" si="13"/>
        <v>409220.72233338753</v>
      </c>
      <c r="N63" s="533">
        <f t="shared" si="14"/>
        <v>92226.67612084662</v>
      </c>
      <c r="O63" s="533">
        <f t="shared" si="10"/>
        <v>501447.39845423424</v>
      </c>
      <c r="P63" s="586">
        <f t="shared" si="15"/>
        <v>350000</v>
      </c>
      <c r="Q63" s="586">
        <v>412338.1273524827</v>
      </c>
      <c r="R63" s="533"/>
      <c r="S63" s="533"/>
      <c r="T63" s="533"/>
    </row>
    <row r="64" spans="1:20" x14ac:dyDescent="0.25">
      <c r="A64" s="552">
        <v>9257028</v>
      </c>
      <c r="B64" s="545" t="s">
        <v>77</v>
      </c>
      <c r="C64" s="590">
        <v>4</v>
      </c>
      <c r="D64" s="594">
        <v>0.23943661971830985</v>
      </c>
      <c r="E64" s="594">
        <v>0.3380281690140845</v>
      </c>
      <c r="F64" s="594">
        <v>0</v>
      </c>
      <c r="G64" s="594">
        <v>0.18309859154929578</v>
      </c>
      <c r="H64" s="594">
        <v>0.23943661971830985</v>
      </c>
      <c r="I64" s="596">
        <v>5</v>
      </c>
      <c r="J64" s="584">
        <v>50</v>
      </c>
      <c r="K64" s="584">
        <f t="shared" si="11"/>
        <v>55</v>
      </c>
      <c r="L64" s="533">
        <f t="shared" si="12"/>
        <v>29821.001390928101</v>
      </c>
      <c r="M64" s="533">
        <f t="shared" si="13"/>
        <v>298210.013909281</v>
      </c>
      <c r="N64" s="533">
        <f t="shared" si="14"/>
        <v>20242.239946711641</v>
      </c>
      <c r="O64" s="533">
        <f t="shared" si="10"/>
        <v>348273.25524692074</v>
      </c>
      <c r="P64" s="586">
        <f t="shared" si="15"/>
        <v>320833.33333333337</v>
      </c>
      <c r="Q64" s="586">
        <v>261446.11687888653</v>
      </c>
      <c r="R64" s="533"/>
      <c r="S64" s="533"/>
      <c r="T64" s="533"/>
    </row>
    <row r="65" spans="1:20" x14ac:dyDescent="0.25">
      <c r="A65" s="552">
        <v>9257021</v>
      </c>
      <c r="B65" s="545" t="s">
        <v>78</v>
      </c>
      <c r="C65" s="590">
        <v>4</v>
      </c>
      <c r="D65" s="594">
        <v>0</v>
      </c>
      <c r="E65" s="594">
        <v>9.8591549295774641E-2</v>
      </c>
      <c r="F65" s="594">
        <v>0.71830985915492962</v>
      </c>
      <c r="G65" s="594">
        <v>4.2253521126760563E-2</v>
      </c>
      <c r="H65" s="594">
        <v>0.14084507042253522</v>
      </c>
      <c r="I65" s="584">
        <v>0</v>
      </c>
      <c r="J65" s="584">
        <v>141</v>
      </c>
      <c r="K65" s="584">
        <f t="shared" si="11"/>
        <v>141</v>
      </c>
      <c r="L65" s="533">
        <f t="shared" si="12"/>
        <v>0</v>
      </c>
      <c r="M65" s="533">
        <f t="shared" si="13"/>
        <v>604569.02267275832</v>
      </c>
      <c r="N65" s="533">
        <f t="shared" si="14"/>
        <v>30525.730828730924</v>
      </c>
      <c r="O65" s="533">
        <f t="shared" si="10"/>
        <v>635094.75350148929</v>
      </c>
      <c r="P65" s="586">
        <f t="shared" si="15"/>
        <v>822500</v>
      </c>
      <c r="Q65" s="586">
        <v>125862.99056055451</v>
      </c>
      <c r="R65" s="533"/>
      <c r="S65" s="533"/>
      <c r="T65" s="533"/>
    </row>
    <row r="66" spans="1:20" x14ac:dyDescent="0.25">
      <c r="A66" s="552">
        <v>9257015</v>
      </c>
      <c r="B66" s="545" t="s">
        <v>55</v>
      </c>
      <c r="C66" s="582">
        <v>6</v>
      </c>
      <c r="D66" s="594">
        <v>6.0483870967741937E-2</v>
      </c>
      <c r="E66" s="594">
        <v>0.22177419354838709</v>
      </c>
      <c r="F66" s="594">
        <v>0.65322580645161288</v>
      </c>
      <c r="G66" s="594">
        <v>0</v>
      </c>
      <c r="H66" s="594">
        <v>6.4516129032258063E-2</v>
      </c>
      <c r="I66" s="584">
        <v>10</v>
      </c>
      <c r="J66" s="584">
        <v>231</v>
      </c>
      <c r="K66" s="584">
        <f t="shared" si="11"/>
        <v>241</v>
      </c>
      <c r="L66" s="533">
        <f t="shared" si="12"/>
        <v>41825.795372859684</v>
      </c>
      <c r="M66" s="533">
        <f t="shared" si="13"/>
        <v>966175.87311305874</v>
      </c>
      <c r="N66" s="533">
        <f t="shared" si="14"/>
        <v>23899.601016262404</v>
      </c>
      <c r="O66" s="533">
        <f t="shared" si="10"/>
        <v>1031901.2695021809</v>
      </c>
      <c r="P66" s="586">
        <f t="shared" si="15"/>
        <v>1405833.3333333335</v>
      </c>
      <c r="Q66" s="586">
        <v>35453.752862494432</v>
      </c>
      <c r="R66" s="533"/>
      <c r="S66" s="533"/>
      <c r="T66" s="533"/>
    </row>
    <row r="67" spans="1:20" x14ac:dyDescent="0.25">
      <c r="A67" s="552">
        <v>9257016</v>
      </c>
      <c r="B67" s="545" t="s">
        <v>80</v>
      </c>
      <c r="C67" s="582">
        <v>7</v>
      </c>
      <c r="D67" s="594">
        <v>0.50370370370370365</v>
      </c>
      <c r="E67" s="594">
        <v>0</v>
      </c>
      <c r="F67" s="594">
        <v>0.28888888888888886</v>
      </c>
      <c r="G67" s="594">
        <v>0.2074074074074074</v>
      </c>
      <c r="H67" s="594">
        <v>0</v>
      </c>
      <c r="I67" s="584">
        <v>0</v>
      </c>
      <c r="J67" s="584">
        <v>79</v>
      </c>
      <c r="K67" s="584">
        <f t="shared" si="11"/>
        <v>79</v>
      </c>
      <c r="L67" s="533">
        <f t="shared" si="12"/>
        <v>0</v>
      </c>
      <c r="M67" s="533">
        <f t="shared" si="13"/>
        <v>466274.3196132321</v>
      </c>
      <c r="N67" s="533">
        <f t="shared" si="14"/>
        <v>0</v>
      </c>
      <c r="O67" s="533">
        <f t="shared" si="10"/>
        <v>466274.3196132321</v>
      </c>
      <c r="P67" s="586">
        <f t="shared" si="15"/>
        <v>460833.33333333337</v>
      </c>
      <c r="Q67" s="586">
        <v>304429.0269786857</v>
      </c>
      <c r="R67" s="533"/>
      <c r="S67" s="533"/>
      <c r="T67" s="533"/>
    </row>
    <row r="68" spans="1:20" x14ac:dyDescent="0.25">
      <c r="B68" s="556"/>
      <c r="C68" s="556"/>
    </row>
    <row r="69" spans="1:20" ht="13" x14ac:dyDescent="0.3">
      <c r="A69" s="230" t="s">
        <v>292</v>
      </c>
      <c r="B69" s="556"/>
      <c r="C69" s="556"/>
    </row>
    <row r="70" spans="1:20" x14ac:dyDescent="0.25">
      <c r="B70" s="556"/>
      <c r="C70" s="556"/>
      <c r="M70" s="1951" t="s">
        <v>332</v>
      </c>
      <c r="N70" s="1952"/>
    </row>
    <row r="71" spans="1:20" ht="37.5" x14ac:dyDescent="0.25">
      <c r="A71" s="580" t="s">
        <v>201</v>
      </c>
      <c r="B71" s="535" t="s">
        <v>66</v>
      </c>
      <c r="C71" s="539" t="s">
        <v>51</v>
      </c>
      <c r="D71" s="526" t="s">
        <v>256</v>
      </c>
      <c r="E71" s="526" t="s">
        <v>257</v>
      </c>
      <c r="F71" s="526" t="s">
        <v>258</v>
      </c>
      <c r="G71" s="526" t="s">
        <v>259</v>
      </c>
      <c r="H71" s="526" t="s">
        <v>260</v>
      </c>
      <c r="I71" s="572" t="s">
        <v>185</v>
      </c>
      <c r="J71" s="572" t="s">
        <v>289</v>
      </c>
      <c r="K71" s="572" t="s">
        <v>392</v>
      </c>
      <c r="L71" s="572" t="s">
        <v>289</v>
      </c>
      <c r="M71" s="572" t="s">
        <v>330</v>
      </c>
      <c r="N71" s="572" t="s">
        <v>341</v>
      </c>
      <c r="O71" s="572"/>
      <c r="P71" s="572"/>
      <c r="Q71" s="572"/>
    </row>
    <row r="72" spans="1:20" x14ac:dyDescent="0.25">
      <c r="A72" s="544">
        <v>9257010</v>
      </c>
      <c r="B72" s="545" t="s">
        <v>67</v>
      </c>
      <c r="C72" s="582">
        <v>3</v>
      </c>
      <c r="D72" s="583">
        <v>0.40476190476190477</v>
      </c>
      <c r="E72" s="583">
        <v>0.2857142857142857</v>
      </c>
      <c r="F72" s="583">
        <v>0.11904761904761904</v>
      </c>
      <c r="G72" s="583">
        <v>0.11904761904761904</v>
      </c>
      <c r="H72" s="583">
        <v>7.1428571428571425E-2</v>
      </c>
      <c r="I72" s="584">
        <v>10</v>
      </c>
      <c r="J72" s="533">
        <f>(((I72*D72)*$G$92)+((I72*E72)*$G$94)+((I72*F72)*$G$96)+((I72*G72)*$G$98)+((I72*H72)*$G$100))*(8/12)</f>
        <v>65352.514568213875</v>
      </c>
      <c r="K72" s="533">
        <f>((H72*I72)*$G$102)*(8/12)</f>
        <v>1254.7847091271647</v>
      </c>
      <c r="L72" s="533">
        <f>SUM(J72:K72)</f>
        <v>66607.299277341037</v>
      </c>
      <c r="M72" s="586">
        <f>(I72*(8/12))*10000</f>
        <v>66666.666666666657</v>
      </c>
      <c r="N72" s="586">
        <v>58740.17452844778</v>
      </c>
      <c r="O72" s="530"/>
      <c r="P72" s="533"/>
      <c r="Q72" s="585"/>
      <c r="R72" s="597"/>
    </row>
    <row r="73" spans="1:20" x14ac:dyDescent="0.25">
      <c r="A73" s="544">
        <v>9257005</v>
      </c>
      <c r="B73" s="545" t="s">
        <v>68</v>
      </c>
      <c r="C73" s="587">
        <v>4</v>
      </c>
      <c r="D73" s="583">
        <v>0.13157894736842105</v>
      </c>
      <c r="E73" s="583">
        <v>0.35526315789473684</v>
      </c>
      <c r="F73" s="583">
        <v>0.17105263157894737</v>
      </c>
      <c r="G73" s="583">
        <v>0.14473684210526316</v>
      </c>
      <c r="H73" s="583">
        <v>0.19736842105263158</v>
      </c>
      <c r="I73" s="584">
        <v>29</v>
      </c>
      <c r="J73" s="533">
        <f t="shared" ref="J73:J89" si="16">(((I73*D73)*$G$92)+((I73*E73)*$G$94)+((I73*F73)*$G$96)+((I73*G73)*$G$98)+((I73*H73)*$G$100))*(8/12)</f>
        <v>178206.27038965214</v>
      </c>
      <c r="K73" s="533">
        <f t="shared" ref="K73:K89" si="17">((H73*I73)*$G$102)*(8/12)</f>
        <v>10054.787998137414</v>
      </c>
      <c r="L73" s="533">
        <f t="shared" ref="L73:L89" si="18">SUM(J73:K73)</f>
        <v>188261.05838778956</v>
      </c>
      <c r="M73" s="586">
        <f t="shared" ref="M73:M89" si="19">(I73*(8/12))*10000</f>
        <v>193333.33333333331</v>
      </c>
      <c r="N73" s="586">
        <v>126976.75339756133</v>
      </c>
      <c r="O73" s="530"/>
      <c r="P73" s="533"/>
      <c r="Q73" s="585"/>
      <c r="R73" s="597"/>
    </row>
    <row r="74" spans="1:20" x14ac:dyDescent="0.25">
      <c r="A74" s="544">
        <v>9257025</v>
      </c>
      <c r="B74" s="545" t="s">
        <v>69</v>
      </c>
      <c r="C74" s="582">
        <v>4</v>
      </c>
      <c r="D74" s="583">
        <v>0.26415094339622641</v>
      </c>
      <c r="E74" s="583">
        <v>0.41509433962264153</v>
      </c>
      <c r="F74" s="583">
        <v>5.6603773584905662E-2</v>
      </c>
      <c r="G74" s="583">
        <v>5.6603773584905662E-2</v>
      </c>
      <c r="H74" s="583">
        <v>0.20754716981132076</v>
      </c>
      <c r="I74" s="584">
        <v>13</v>
      </c>
      <c r="J74" s="533">
        <f t="shared" si="16"/>
        <v>83038.256154782546</v>
      </c>
      <c r="K74" s="533">
        <f t="shared" si="17"/>
        <v>4739.7716748539324</v>
      </c>
      <c r="L74" s="533">
        <f t="shared" si="18"/>
        <v>87778.027829636485</v>
      </c>
      <c r="M74" s="586">
        <f t="shared" si="19"/>
        <v>86666.666666666657</v>
      </c>
      <c r="N74" s="586">
        <v>75339.289087659781</v>
      </c>
      <c r="O74" s="530"/>
      <c r="P74" s="533"/>
      <c r="Q74" s="585"/>
      <c r="R74" s="597"/>
    </row>
    <row r="75" spans="1:20" x14ac:dyDescent="0.25">
      <c r="A75" s="544">
        <v>9257011</v>
      </c>
      <c r="B75" s="545" t="s">
        <v>70</v>
      </c>
      <c r="C75" s="582">
        <v>3</v>
      </c>
      <c r="D75" s="583">
        <v>0.4</v>
      </c>
      <c r="E75" s="583">
        <v>0.42222222222222222</v>
      </c>
      <c r="F75" s="583">
        <v>0</v>
      </c>
      <c r="G75" s="583">
        <v>2.2222222222222223E-2</v>
      </c>
      <c r="H75" s="583">
        <v>0.15555555555555556</v>
      </c>
      <c r="I75" s="584">
        <v>3</v>
      </c>
      <c r="J75" s="533">
        <f t="shared" si="16"/>
        <v>19717.56593696629</v>
      </c>
      <c r="K75" s="533">
        <f t="shared" si="17"/>
        <v>819.7926766297478</v>
      </c>
      <c r="L75" s="533">
        <f t="shared" si="18"/>
        <v>20537.358613596036</v>
      </c>
      <c r="M75" s="586">
        <f t="shared" si="19"/>
        <v>20000</v>
      </c>
      <c r="N75" s="586">
        <v>18844.536478804432</v>
      </c>
      <c r="O75" s="530"/>
      <c r="P75" s="533"/>
      <c r="Q75" s="585"/>
      <c r="R75" s="597"/>
    </row>
    <row r="76" spans="1:20" x14ac:dyDescent="0.25">
      <c r="A76" s="544">
        <v>9257024</v>
      </c>
      <c r="B76" s="545" t="s">
        <v>71</v>
      </c>
      <c r="C76" s="587">
        <v>3</v>
      </c>
      <c r="D76" s="583">
        <v>0.2</v>
      </c>
      <c r="E76" s="583">
        <v>0.5636363636363636</v>
      </c>
      <c r="F76" s="583">
        <v>1.8181818181818181E-2</v>
      </c>
      <c r="G76" s="583">
        <v>0.16363636363636364</v>
      </c>
      <c r="H76" s="583">
        <v>5.4545454545454543E-2</v>
      </c>
      <c r="I76" s="584">
        <v>13</v>
      </c>
      <c r="J76" s="533">
        <f t="shared" si="16"/>
        <v>79262.90659153767</v>
      </c>
      <c r="K76" s="533">
        <f t="shared" si="17"/>
        <v>1245.6590021516945</v>
      </c>
      <c r="L76" s="533">
        <f t="shared" si="18"/>
        <v>80508.56559368936</v>
      </c>
      <c r="M76" s="586">
        <f t="shared" si="19"/>
        <v>86666.666666666657</v>
      </c>
      <c r="N76" s="586">
        <v>57632.854938027718</v>
      </c>
      <c r="O76" s="530"/>
      <c r="P76" s="533"/>
      <c r="Q76" s="585"/>
      <c r="R76" s="597"/>
    </row>
    <row r="77" spans="1:20" x14ac:dyDescent="0.25">
      <c r="A77" s="544">
        <v>9257031</v>
      </c>
      <c r="B77" s="545" t="s">
        <v>98</v>
      </c>
      <c r="C77" s="582">
        <v>3</v>
      </c>
      <c r="D77" s="583">
        <v>0</v>
      </c>
      <c r="E77" s="583">
        <v>0</v>
      </c>
      <c r="F77" s="583">
        <v>0</v>
      </c>
      <c r="G77" s="583">
        <v>0</v>
      </c>
      <c r="H77" s="583">
        <v>1</v>
      </c>
      <c r="I77" s="584">
        <v>0</v>
      </c>
      <c r="J77" s="533">
        <f t="shared" si="16"/>
        <v>0</v>
      </c>
      <c r="K77" s="533">
        <f t="shared" si="17"/>
        <v>0</v>
      </c>
      <c r="L77" s="533">
        <f t="shared" si="18"/>
        <v>0</v>
      </c>
      <c r="M77" s="586">
        <f t="shared" si="19"/>
        <v>0</v>
      </c>
      <c r="N77" s="586">
        <v>0</v>
      </c>
      <c r="O77" s="530"/>
      <c r="P77" s="533"/>
      <c r="Q77" s="585"/>
      <c r="R77" s="597"/>
    </row>
    <row r="78" spans="1:20" x14ac:dyDescent="0.25">
      <c r="A78" s="544">
        <v>9257033</v>
      </c>
      <c r="B78" s="545" t="s">
        <v>72</v>
      </c>
      <c r="C78" s="582">
        <v>3</v>
      </c>
      <c r="D78" s="583">
        <v>3.6363636363636362E-2</v>
      </c>
      <c r="E78" s="583">
        <v>0.29090909090909089</v>
      </c>
      <c r="F78" s="583">
        <v>0.27272727272727271</v>
      </c>
      <c r="G78" s="583">
        <v>5.4545454545454543E-2</v>
      </c>
      <c r="H78" s="583">
        <v>0.34545454545454546</v>
      </c>
      <c r="I78" s="584">
        <v>0</v>
      </c>
      <c r="J78" s="533">
        <f t="shared" si="16"/>
        <v>0</v>
      </c>
      <c r="K78" s="533">
        <f t="shared" si="17"/>
        <v>0</v>
      </c>
      <c r="L78" s="533">
        <f t="shared" si="18"/>
        <v>0</v>
      </c>
      <c r="M78" s="586">
        <f t="shared" si="19"/>
        <v>0</v>
      </c>
      <c r="N78" s="586">
        <v>0</v>
      </c>
      <c r="O78" s="530"/>
      <c r="P78" s="533"/>
      <c r="Q78" s="585"/>
      <c r="R78" s="597"/>
    </row>
    <row r="79" spans="1:20" x14ac:dyDescent="0.25">
      <c r="A79" s="544">
        <v>9257008</v>
      </c>
      <c r="B79" s="545" t="s">
        <v>73</v>
      </c>
      <c r="C79" s="589">
        <v>4</v>
      </c>
      <c r="D79" s="583">
        <v>0</v>
      </c>
      <c r="E79" s="583">
        <v>8.2352941176470587E-2</v>
      </c>
      <c r="F79" s="583">
        <v>0.61176470588235299</v>
      </c>
      <c r="G79" s="583">
        <v>2.3529411764705882E-2</v>
      </c>
      <c r="H79" s="583">
        <v>0.28235294117647058</v>
      </c>
      <c r="I79" s="584">
        <v>0</v>
      </c>
      <c r="J79" s="533">
        <f t="shared" si="16"/>
        <v>0</v>
      </c>
      <c r="K79" s="533">
        <f t="shared" si="17"/>
        <v>0</v>
      </c>
      <c r="L79" s="533">
        <f t="shared" si="18"/>
        <v>0</v>
      </c>
      <c r="M79" s="586">
        <f t="shared" si="19"/>
        <v>0</v>
      </c>
      <c r="N79" s="586">
        <v>0</v>
      </c>
      <c r="O79" s="530"/>
      <c r="P79" s="533"/>
      <c r="Q79" s="585"/>
      <c r="R79" s="597"/>
    </row>
    <row r="80" spans="1:20" x14ac:dyDescent="0.25">
      <c r="A80" s="544">
        <v>9257034</v>
      </c>
      <c r="B80" s="545" t="s">
        <v>74</v>
      </c>
      <c r="C80" s="582">
        <v>5</v>
      </c>
      <c r="D80" s="583">
        <v>7.0866141732283464E-2</v>
      </c>
      <c r="E80" s="583">
        <v>0.16535433070866143</v>
      </c>
      <c r="F80" s="583">
        <v>0.51968503937007871</v>
      </c>
      <c r="G80" s="583">
        <v>3.937007874015748E-2</v>
      </c>
      <c r="H80" s="583">
        <v>0.20472440944881889</v>
      </c>
      <c r="I80" s="584">
        <v>31</v>
      </c>
      <c r="J80" s="533">
        <f t="shared" si="16"/>
        <v>168281.93339175161</v>
      </c>
      <c r="K80" s="533">
        <f t="shared" si="17"/>
        <v>11148.81154156766</v>
      </c>
      <c r="L80" s="533">
        <f t="shared" si="18"/>
        <v>179430.74493331928</v>
      </c>
      <c r="M80" s="586">
        <f t="shared" si="19"/>
        <v>206666.66666666666</v>
      </c>
      <c r="N80" s="586">
        <v>64441.685574301016</v>
      </c>
      <c r="O80" s="530"/>
      <c r="P80" s="533"/>
      <c r="Q80" s="585"/>
      <c r="R80" s="597"/>
    </row>
    <row r="81" spans="1:18" x14ac:dyDescent="0.25">
      <c r="A81" s="544">
        <v>9257002</v>
      </c>
      <c r="B81" s="545" t="s">
        <v>75</v>
      </c>
      <c r="C81" s="587">
        <v>4</v>
      </c>
      <c r="D81" s="583">
        <v>8.4033613445378148E-3</v>
      </c>
      <c r="E81" s="583">
        <v>0.27731092436974791</v>
      </c>
      <c r="F81" s="583">
        <v>0.59663865546218486</v>
      </c>
      <c r="G81" s="583">
        <v>2.5210084033613446E-2</v>
      </c>
      <c r="H81" s="583">
        <v>9.2436974789915971E-2</v>
      </c>
      <c r="I81" s="584">
        <v>0</v>
      </c>
      <c r="J81" s="533">
        <f t="shared" si="16"/>
        <v>0</v>
      </c>
      <c r="K81" s="533">
        <f t="shared" si="17"/>
        <v>0</v>
      </c>
      <c r="L81" s="533">
        <f t="shared" si="18"/>
        <v>0</v>
      </c>
      <c r="M81" s="586">
        <f t="shared" si="19"/>
        <v>0</v>
      </c>
      <c r="N81" s="586">
        <v>0</v>
      </c>
      <c r="O81" s="530"/>
      <c r="P81" s="533"/>
      <c r="Q81" s="585"/>
      <c r="R81" s="597"/>
    </row>
    <row r="82" spans="1:18" x14ac:dyDescent="0.25">
      <c r="A82" s="544">
        <v>9257009</v>
      </c>
      <c r="B82" s="545" t="s">
        <v>76</v>
      </c>
      <c r="C82" s="582">
        <v>4</v>
      </c>
      <c r="D82" s="583">
        <v>0</v>
      </c>
      <c r="E82" s="583">
        <v>0.14615384615384616</v>
      </c>
      <c r="F82" s="583">
        <v>0.7</v>
      </c>
      <c r="G82" s="583">
        <v>1.5384615384615385E-2</v>
      </c>
      <c r="H82" s="583">
        <v>0.13846153846153847</v>
      </c>
      <c r="I82" s="584">
        <v>0</v>
      </c>
      <c r="J82" s="533">
        <f t="shared" si="16"/>
        <v>0</v>
      </c>
      <c r="K82" s="533">
        <f t="shared" si="17"/>
        <v>0</v>
      </c>
      <c r="L82" s="533">
        <f t="shared" si="18"/>
        <v>0</v>
      </c>
      <c r="M82" s="586">
        <f t="shared" si="19"/>
        <v>0</v>
      </c>
      <c r="N82" s="586">
        <v>0</v>
      </c>
      <c r="O82" s="530"/>
      <c r="P82" s="533"/>
      <c r="Q82" s="585"/>
      <c r="R82" s="597"/>
    </row>
    <row r="83" spans="1:18" x14ac:dyDescent="0.25">
      <c r="A83" s="544">
        <v>9257029</v>
      </c>
      <c r="B83" s="545" t="s">
        <v>99</v>
      </c>
      <c r="C83" s="590">
        <v>3</v>
      </c>
      <c r="D83" s="583">
        <v>0</v>
      </c>
      <c r="E83" s="583">
        <v>0</v>
      </c>
      <c r="F83" s="583">
        <v>0</v>
      </c>
      <c r="G83" s="583">
        <v>0</v>
      </c>
      <c r="H83" s="583">
        <v>1</v>
      </c>
      <c r="I83" s="584">
        <v>0</v>
      </c>
      <c r="J83" s="533">
        <f t="shared" si="16"/>
        <v>0</v>
      </c>
      <c r="K83" s="533">
        <f t="shared" si="17"/>
        <v>0</v>
      </c>
      <c r="L83" s="533">
        <f t="shared" si="18"/>
        <v>0</v>
      </c>
      <c r="M83" s="586">
        <f t="shared" si="19"/>
        <v>0</v>
      </c>
      <c r="N83" s="586">
        <v>0</v>
      </c>
      <c r="O83" s="530"/>
      <c r="P83" s="533"/>
      <c r="Q83" s="585"/>
      <c r="R83" s="597"/>
    </row>
    <row r="84" spans="1:18" x14ac:dyDescent="0.25">
      <c r="A84" s="544">
        <v>9257032</v>
      </c>
      <c r="B84" s="545" t="s">
        <v>100</v>
      </c>
      <c r="C84" s="582">
        <v>4</v>
      </c>
      <c r="D84" s="583">
        <v>0</v>
      </c>
      <c r="E84" s="583">
        <v>0</v>
      </c>
      <c r="F84" s="583">
        <v>0</v>
      </c>
      <c r="G84" s="583">
        <v>0</v>
      </c>
      <c r="H84" s="583">
        <v>1</v>
      </c>
      <c r="I84" s="584">
        <v>0</v>
      </c>
      <c r="J84" s="533">
        <f t="shared" si="16"/>
        <v>0</v>
      </c>
      <c r="K84" s="533">
        <f t="shared" si="17"/>
        <v>0</v>
      </c>
      <c r="L84" s="533">
        <f t="shared" si="18"/>
        <v>0</v>
      </c>
      <c r="M84" s="586">
        <f t="shared" si="19"/>
        <v>0</v>
      </c>
      <c r="N84" s="586">
        <v>0</v>
      </c>
      <c r="O84" s="530"/>
      <c r="P84" s="533"/>
      <c r="Q84" s="585"/>
      <c r="R84" s="597"/>
    </row>
    <row r="85" spans="1:18" x14ac:dyDescent="0.25">
      <c r="A85" s="544">
        <v>9257030</v>
      </c>
      <c r="B85" s="545" t="s">
        <v>92</v>
      </c>
      <c r="C85" s="582">
        <v>4</v>
      </c>
      <c r="D85" s="583">
        <v>0</v>
      </c>
      <c r="E85" s="583">
        <v>0</v>
      </c>
      <c r="F85" s="583">
        <v>0</v>
      </c>
      <c r="G85" s="583">
        <v>0</v>
      </c>
      <c r="H85" s="583">
        <v>1</v>
      </c>
      <c r="I85" s="584">
        <v>0</v>
      </c>
      <c r="J85" s="533">
        <f t="shared" si="16"/>
        <v>0</v>
      </c>
      <c r="K85" s="533">
        <f t="shared" si="17"/>
        <v>0</v>
      </c>
      <c r="L85" s="533">
        <f t="shared" si="18"/>
        <v>0</v>
      </c>
      <c r="M85" s="586">
        <f t="shared" si="19"/>
        <v>0</v>
      </c>
      <c r="N85" s="586">
        <v>0</v>
      </c>
      <c r="O85" s="530"/>
      <c r="P85" s="533"/>
      <c r="Q85" s="585"/>
      <c r="R85" s="597"/>
    </row>
    <row r="86" spans="1:18" x14ac:dyDescent="0.25">
      <c r="A86" s="544">
        <v>9257028</v>
      </c>
      <c r="B86" s="545" t="s">
        <v>77</v>
      </c>
      <c r="C86" s="590">
        <v>4</v>
      </c>
      <c r="D86" s="583">
        <v>0.23943661971830985</v>
      </c>
      <c r="E86" s="583">
        <v>0.3380281690140845</v>
      </c>
      <c r="F86" s="583">
        <v>0</v>
      </c>
      <c r="G86" s="583">
        <v>0.18309859154929578</v>
      </c>
      <c r="H86" s="583">
        <v>0.23943661971830985</v>
      </c>
      <c r="I86" s="584">
        <v>16</v>
      </c>
      <c r="J86" s="533">
        <f t="shared" si="16"/>
        <v>109059.6622296799</v>
      </c>
      <c r="K86" s="533">
        <f t="shared" si="17"/>
        <v>6729.8875666989343</v>
      </c>
      <c r="L86" s="533">
        <f t="shared" si="18"/>
        <v>115789.54979637884</v>
      </c>
      <c r="M86" s="586">
        <f t="shared" si="19"/>
        <v>106666.66666666666</v>
      </c>
      <c r="N86" s="586">
        <v>86922.345351941491</v>
      </c>
      <c r="O86" s="530"/>
      <c r="P86" s="533"/>
      <c r="Q86" s="585"/>
      <c r="R86" s="597"/>
    </row>
    <row r="87" spans="1:18" x14ac:dyDescent="0.25">
      <c r="A87" s="544">
        <v>9257021</v>
      </c>
      <c r="B87" s="545" t="s">
        <v>78</v>
      </c>
      <c r="C87" s="590">
        <v>4</v>
      </c>
      <c r="D87" s="583">
        <v>0</v>
      </c>
      <c r="E87" s="583">
        <v>9.8591549295774641E-2</v>
      </c>
      <c r="F87" s="583">
        <v>0.71830985915492962</v>
      </c>
      <c r="G87" s="583">
        <v>4.2253521126760563E-2</v>
      </c>
      <c r="H87" s="583">
        <v>0.14084507042253522</v>
      </c>
      <c r="I87" s="584">
        <v>0</v>
      </c>
      <c r="J87" s="533">
        <f t="shared" si="16"/>
        <v>0</v>
      </c>
      <c r="K87" s="533">
        <f t="shared" si="17"/>
        <v>0</v>
      </c>
      <c r="L87" s="533">
        <f t="shared" si="18"/>
        <v>0</v>
      </c>
      <c r="M87" s="586">
        <f t="shared" si="19"/>
        <v>0</v>
      </c>
      <c r="N87" s="586">
        <v>0</v>
      </c>
      <c r="O87" s="530"/>
      <c r="P87" s="533"/>
      <c r="Q87" s="585"/>
      <c r="R87" s="597"/>
    </row>
    <row r="88" spans="1:18" x14ac:dyDescent="0.25">
      <c r="A88" s="544">
        <v>9257015</v>
      </c>
      <c r="B88" s="545" t="s">
        <v>55</v>
      </c>
      <c r="C88" s="582">
        <v>6</v>
      </c>
      <c r="D88" s="583">
        <v>6.0483870967741937E-2</v>
      </c>
      <c r="E88" s="583">
        <v>0.22177419354838709</v>
      </c>
      <c r="F88" s="583">
        <v>0.65322580645161288</v>
      </c>
      <c r="G88" s="583">
        <v>0</v>
      </c>
      <c r="H88" s="583">
        <v>6.4516129032258063E-2</v>
      </c>
      <c r="I88" s="584">
        <v>19</v>
      </c>
      <c r="J88" s="533">
        <f t="shared" si="16"/>
        <v>90821.727095352442</v>
      </c>
      <c r="K88" s="533">
        <f t="shared" si="17"/>
        <v>2153.3724685666184</v>
      </c>
      <c r="L88" s="533">
        <f t="shared" si="18"/>
        <v>92975.099563919066</v>
      </c>
      <c r="M88" s="586">
        <f t="shared" si="19"/>
        <v>126666.66666666666</v>
      </c>
      <c r="N88" s="586">
        <v>3194.4104535264692</v>
      </c>
      <c r="O88" s="530"/>
      <c r="P88" s="533"/>
      <c r="Q88" s="585"/>
      <c r="R88" s="597"/>
    </row>
    <row r="89" spans="1:18" x14ac:dyDescent="0.25">
      <c r="A89" s="544">
        <v>9257016</v>
      </c>
      <c r="B89" s="545" t="s">
        <v>80</v>
      </c>
      <c r="C89" s="582">
        <v>7</v>
      </c>
      <c r="D89" s="583">
        <v>0.50370370370370365</v>
      </c>
      <c r="E89" s="583">
        <v>0</v>
      </c>
      <c r="F89" s="583">
        <v>0.28888888888888886</v>
      </c>
      <c r="G89" s="583">
        <v>0.2074074074074074</v>
      </c>
      <c r="H89" s="583">
        <v>0</v>
      </c>
      <c r="I89" s="584">
        <v>54</v>
      </c>
      <c r="J89" s="533">
        <f t="shared" si="16"/>
        <v>364250.46306133131</v>
      </c>
      <c r="K89" s="533">
        <f t="shared" si="17"/>
        <v>0</v>
      </c>
      <c r="L89" s="533">
        <f t="shared" si="18"/>
        <v>364250.46306133131</v>
      </c>
      <c r="M89" s="586">
        <f t="shared" si="19"/>
        <v>360000</v>
      </c>
      <c r="N89" s="586">
        <v>237817.97405929878</v>
      </c>
      <c r="O89" s="530"/>
      <c r="P89" s="533"/>
      <c r="Q89" s="585"/>
      <c r="R89" s="597"/>
    </row>
    <row r="90" spans="1:18" x14ac:dyDescent="0.25">
      <c r="B90" s="556"/>
      <c r="C90" s="556"/>
    </row>
    <row r="92" spans="1:18" x14ac:dyDescent="0.25">
      <c r="C92" s="51"/>
      <c r="D92" s="54"/>
      <c r="E92" s="526" t="s">
        <v>2</v>
      </c>
      <c r="G92" s="533">
        <v>11692.020638096787</v>
      </c>
      <c r="H92" s="598"/>
      <c r="I92" s="598"/>
      <c r="J92" s="598"/>
      <c r="K92" s="598"/>
      <c r="L92" s="598"/>
      <c r="M92" s="598"/>
      <c r="N92" s="598"/>
      <c r="O92" s="598"/>
      <c r="P92" s="598"/>
      <c r="Q92" s="598"/>
    </row>
    <row r="93" spans="1:18" x14ac:dyDescent="0.25">
      <c r="C93" s="54"/>
      <c r="D93" s="54"/>
      <c r="G93" s="533"/>
      <c r="H93" s="598"/>
      <c r="I93" s="598"/>
      <c r="J93" s="598"/>
      <c r="K93" s="598"/>
      <c r="L93" s="598"/>
      <c r="M93" s="598"/>
      <c r="N93" s="598"/>
      <c r="O93" s="598"/>
      <c r="P93" s="598"/>
      <c r="Q93" s="598"/>
    </row>
    <row r="94" spans="1:18" x14ac:dyDescent="0.25">
      <c r="C94" s="51"/>
      <c r="D94" s="54"/>
      <c r="E94" s="526" t="s">
        <v>3</v>
      </c>
      <c r="G94" s="533">
        <v>7350.1419469065795</v>
      </c>
      <c r="H94" s="598"/>
      <c r="I94" s="598"/>
      <c r="J94" s="598"/>
      <c r="K94" s="598"/>
      <c r="L94" s="598"/>
      <c r="M94" s="598"/>
      <c r="N94" s="598"/>
      <c r="O94" s="598"/>
      <c r="P94" s="598"/>
      <c r="Q94" s="598"/>
    </row>
    <row r="95" spans="1:18" x14ac:dyDescent="0.25">
      <c r="C95" s="54"/>
      <c r="D95" s="54"/>
      <c r="G95" s="533"/>
      <c r="H95" s="598"/>
      <c r="I95" s="598"/>
      <c r="J95" s="598"/>
      <c r="K95" s="598"/>
      <c r="L95" s="598"/>
      <c r="M95" s="598"/>
      <c r="N95" s="598"/>
      <c r="O95" s="598"/>
      <c r="P95" s="598"/>
      <c r="Q95" s="598"/>
    </row>
    <row r="96" spans="1:18" x14ac:dyDescent="0.25">
      <c r="C96" s="51"/>
      <c r="D96" s="54"/>
      <c r="E96" s="526" t="s">
        <v>5</v>
      </c>
      <c r="G96" s="533">
        <v>6243.7244928897762</v>
      </c>
      <c r="H96" s="598"/>
      <c r="I96" s="598"/>
      <c r="J96" s="598"/>
      <c r="K96" s="598"/>
      <c r="L96" s="598"/>
      <c r="M96" s="598"/>
      <c r="N96" s="598"/>
      <c r="O96" s="598"/>
      <c r="P96" s="598"/>
      <c r="Q96" s="598"/>
    </row>
    <row r="97" spans="1:40" x14ac:dyDescent="0.25">
      <c r="C97" s="54"/>
      <c r="D97" s="54"/>
      <c r="G97" s="533"/>
      <c r="H97" s="598"/>
      <c r="I97" s="598"/>
      <c r="J97" s="598"/>
      <c r="K97" s="598"/>
      <c r="L97" s="598"/>
      <c r="M97" s="598"/>
      <c r="N97" s="598"/>
      <c r="O97" s="598"/>
      <c r="P97" s="598"/>
      <c r="Q97" s="598"/>
    </row>
    <row r="98" spans="1:40" x14ac:dyDescent="0.25">
      <c r="C98" s="51"/>
      <c r="D98" s="54"/>
      <c r="E98" s="526" t="s">
        <v>7</v>
      </c>
      <c r="G98" s="533">
        <v>11692.020638096787</v>
      </c>
      <c r="H98" s="598"/>
      <c r="I98" s="598"/>
      <c r="J98" s="598"/>
      <c r="K98" s="598"/>
      <c r="L98" s="598"/>
      <c r="M98" s="598"/>
      <c r="N98" s="598"/>
      <c r="O98" s="598"/>
      <c r="P98" s="598"/>
      <c r="Q98" s="598"/>
    </row>
    <row r="99" spans="1:40" x14ac:dyDescent="0.25">
      <c r="C99" s="54"/>
      <c r="D99" s="54"/>
      <c r="G99" s="533"/>
      <c r="H99" s="598"/>
      <c r="I99" s="598"/>
      <c r="J99" s="598"/>
      <c r="K99" s="598"/>
      <c r="L99" s="598"/>
      <c r="M99" s="598"/>
      <c r="N99" s="598"/>
      <c r="O99" s="598"/>
      <c r="P99" s="598"/>
      <c r="Q99" s="598"/>
    </row>
    <row r="100" spans="1:40" x14ac:dyDescent="0.25">
      <c r="C100" s="51"/>
      <c r="D100" s="54"/>
      <c r="E100" s="526" t="s">
        <v>8</v>
      </c>
      <c r="G100" s="533">
        <v>11692.020638096787</v>
      </c>
      <c r="H100" s="598"/>
      <c r="I100" s="598"/>
      <c r="J100" s="598"/>
      <c r="K100" s="598"/>
      <c r="L100" s="598"/>
      <c r="M100" s="598"/>
      <c r="N100" s="598"/>
      <c r="O100" s="598"/>
      <c r="P100" s="598"/>
      <c r="Q100" s="598"/>
    </row>
    <row r="101" spans="1:40" ht="14" x14ac:dyDescent="0.3">
      <c r="B101" s="55"/>
      <c r="C101" s="56"/>
      <c r="D101" s="57"/>
      <c r="E101" s="599"/>
      <c r="H101" s="600"/>
      <c r="I101" s="598"/>
      <c r="J101" s="598"/>
      <c r="K101" s="600"/>
      <c r="L101" s="600"/>
      <c r="M101" s="600"/>
      <c r="N101" s="600"/>
      <c r="O101" s="600"/>
      <c r="P101" s="600"/>
      <c r="Q101" s="600"/>
    </row>
    <row r="102" spans="1:40" ht="14" x14ac:dyDescent="0.3">
      <c r="B102" s="59"/>
      <c r="C102" s="60"/>
      <c r="E102" s="526" t="s">
        <v>108</v>
      </c>
      <c r="G102" s="533">
        <v>2635.0478891670464</v>
      </c>
      <c r="H102" s="598"/>
      <c r="I102" s="598"/>
      <c r="J102" s="598"/>
      <c r="K102" s="598"/>
      <c r="L102" s="598"/>
      <c r="M102" s="598"/>
      <c r="N102" s="598"/>
      <c r="O102" s="598"/>
      <c r="P102" s="598"/>
      <c r="Q102" s="598"/>
    </row>
    <row r="106" spans="1:40" ht="13" x14ac:dyDescent="0.3">
      <c r="D106" s="1896" t="s">
        <v>397</v>
      </c>
      <c r="E106" s="1897"/>
      <c r="F106" s="1898"/>
      <c r="G106" s="1896" t="s">
        <v>397</v>
      </c>
      <c r="H106" s="1897"/>
      <c r="I106" s="1898"/>
      <c r="J106" s="1896" t="s">
        <v>185</v>
      </c>
      <c r="K106" s="1897"/>
      <c r="L106" s="1898"/>
      <c r="M106" s="390" t="s">
        <v>399</v>
      </c>
      <c r="N106" s="1896" t="s">
        <v>397</v>
      </c>
      <c r="O106" s="1897"/>
      <c r="P106" s="1898"/>
      <c r="Q106" s="1896" t="s">
        <v>185</v>
      </c>
      <c r="R106" s="1897"/>
      <c r="S106" s="1898"/>
      <c r="T106" s="390" t="s">
        <v>399</v>
      </c>
      <c r="U106" s="391" t="s">
        <v>399</v>
      </c>
      <c r="V106" s="392"/>
      <c r="W106" s="393"/>
      <c r="AL106" s="1891" t="s">
        <v>467</v>
      </c>
    </row>
    <row r="107" spans="1:40" ht="41.25" customHeight="1" x14ac:dyDescent="0.3">
      <c r="A107" s="601" t="s">
        <v>201</v>
      </c>
      <c r="B107" s="602" t="s">
        <v>66</v>
      </c>
      <c r="C107" s="539" t="s">
        <v>51</v>
      </c>
      <c r="D107" s="542" t="str">
        <f t="shared" ref="D107:D125" si="20">L5</f>
        <v>Assessment Funding (Apr-Aug)</v>
      </c>
      <c r="E107" s="540" t="str">
        <f t="shared" ref="E107:E125" si="21">L49</f>
        <v>Assessment Funding (Sept-Mar)</v>
      </c>
      <c r="F107" s="570" t="s">
        <v>393</v>
      </c>
      <c r="G107" s="540" t="str">
        <f t="shared" ref="G107:G125" si="22">M5</f>
        <v>Pre-16 Funding (Apr-Aug)</v>
      </c>
      <c r="H107" s="542" t="str">
        <f t="shared" ref="H107:H125" si="23">M49</f>
        <v>Pre-16 Funding (Sept-Mar)</v>
      </c>
      <c r="I107" s="570" t="s">
        <v>394</v>
      </c>
      <c r="J107" s="542" t="str">
        <f t="shared" ref="J107:J125" si="24">J27</f>
        <v>Post-16 Funding (Apr-Jul)</v>
      </c>
      <c r="K107" s="540" t="str">
        <f t="shared" ref="K107:K125" si="25">J71</f>
        <v>Post-16 Funding (Aug-Mar)</v>
      </c>
      <c r="L107" s="570" t="s">
        <v>395</v>
      </c>
      <c r="M107" s="570" t="s">
        <v>295</v>
      </c>
      <c r="N107" s="540" t="str">
        <f t="shared" ref="N107:N125" si="26">N5</f>
        <v>Additionality Funding (Apr-Aug)</v>
      </c>
      <c r="O107" s="540" t="str">
        <f t="shared" ref="O107:O125" si="27">N49</f>
        <v>Additionality Funding (Sept-Mar)</v>
      </c>
      <c r="P107" s="570" t="s">
        <v>396</v>
      </c>
      <c r="Q107" s="540" t="str">
        <f t="shared" ref="Q107:Q125" si="28">K27</f>
        <v>Additionality Funding (Apr-Jul)</v>
      </c>
      <c r="R107" s="542" t="str">
        <f t="shared" ref="R107:R125" si="29">K71</f>
        <v>Additionality Funding (Aug-Mar)</v>
      </c>
      <c r="S107" s="570" t="s">
        <v>396</v>
      </c>
      <c r="T107" s="570" t="s">
        <v>401</v>
      </c>
      <c r="U107" s="570" t="s">
        <v>103</v>
      </c>
      <c r="V107" s="540" t="s">
        <v>398</v>
      </c>
      <c r="W107" s="603" t="s">
        <v>261</v>
      </c>
      <c r="X107" s="535"/>
      <c r="Y107" s="540" t="s">
        <v>328</v>
      </c>
      <c r="Z107" s="540" t="s">
        <v>330</v>
      </c>
      <c r="AA107" s="570" t="s">
        <v>331</v>
      </c>
      <c r="AB107" s="570" t="s">
        <v>103</v>
      </c>
      <c r="AC107" s="540" t="s">
        <v>310</v>
      </c>
      <c r="AD107" s="540" t="s">
        <v>335</v>
      </c>
      <c r="AE107" s="540" t="s">
        <v>343</v>
      </c>
      <c r="AF107" s="570" t="s">
        <v>465</v>
      </c>
      <c r="AG107" s="540" t="s">
        <v>342</v>
      </c>
      <c r="AH107" s="540" t="s">
        <v>344</v>
      </c>
      <c r="AI107" s="570" t="s">
        <v>466</v>
      </c>
      <c r="AJ107" s="570" t="s">
        <v>345</v>
      </c>
      <c r="AK107" s="602"/>
      <c r="AL107" s="1892"/>
    </row>
    <row r="108" spans="1:40" ht="13" x14ac:dyDescent="0.3">
      <c r="A108" s="544">
        <v>9257010</v>
      </c>
      <c r="B108" s="545" t="s">
        <v>67</v>
      </c>
      <c r="C108" s="582">
        <v>3</v>
      </c>
      <c r="D108" s="547">
        <f t="shared" si="20"/>
        <v>0</v>
      </c>
      <c r="E108" s="547">
        <f t="shared" si="21"/>
        <v>0</v>
      </c>
      <c r="F108" s="156">
        <f>SUM(D108:E108)</f>
        <v>0</v>
      </c>
      <c r="G108" s="547">
        <f t="shared" si="22"/>
        <v>138874.09345745452</v>
      </c>
      <c r="H108" s="547">
        <f t="shared" si="23"/>
        <v>194423.73084043633</v>
      </c>
      <c r="I108" s="156">
        <f>SUM(G108:H108)</f>
        <v>333297.82429789088</v>
      </c>
      <c r="J108" s="547">
        <f t="shared" si="24"/>
        <v>32676.257284106938</v>
      </c>
      <c r="K108" s="547">
        <f t="shared" si="25"/>
        <v>65352.514568213875</v>
      </c>
      <c r="L108" s="156">
        <f>SUM(J108:K108)</f>
        <v>98028.771852320817</v>
      </c>
      <c r="M108" s="156">
        <f>I108+L108</f>
        <v>431326.5961502117</v>
      </c>
      <c r="N108" s="547">
        <f t="shared" si="26"/>
        <v>2666.4175068952254</v>
      </c>
      <c r="O108" s="547">
        <f t="shared" si="27"/>
        <v>3732.9845096533159</v>
      </c>
      <c r="P108" s="156">
        <f>SUM(N108:O108)</f>
        <v>6399.4020165485417</v>
      </c>
      <c r="Q108" s="547">
        <f t="shared" si="28"/>
        <v>627.39235456358233</v>
      </c>
      <c r="R108" s="547">
        <f t="shared" si="29"/>
        <v>1254.7847091271647</v>
      </c>
      <c r="S108" s="156">
        <f>SUM(Q108:R108)</f>
        <v>1882.177063690747</v>
      </c>
      <c r="T108" s="156">
        <f>P108+S108</f>
        <v>8281.5790802392894</v>
      </c>
      <c r="U108" s="156">
        <f t="shared" ref="U108:U125" si="30">F108+I108+L108+P108+S108</f>
        <v>439608.17523045099</v>
      </c>
      <c r="V108" s="604">
        <f t="shared" ref="V108:V125" si="31">(K6*(5/12))+(K50*(7/12))+(I28*(4/12))+(I72*(8/12))</f>
        <v>44</v>
      </c>
      <c r="W108" s="547">
        <f t="shared" ref="W108:W125" si="32">U108/V108</f>
        <v>9991.0948916011585</v>
      </c>
      <c r="X108" s="535"/>
      <c r="Y108" s="546">
        <f t="shared" ref="Y108:Y125" si="33">P6+P50</f>
        <v>340000</v>
      </c>
      <c r="Z108" s="547">
        <f t="shared" ref="Z108:Z125" si="34">M28+M72</f>
        <v>99999.999999999985</v>
      </c>
      <c r="AA108" s="547">
        <f>Y108+Z108</f>
        <v>440000</v>
      </c>
      <c r="AB108" s="547">
        <v>827685.15188775538</v>
      </c>
      <c r="AC108" s="547">
        <f>AB108-AA108</f>
        <v>387685.15188775538</v>
      </c>
      <c r="AD108" s="547">
        <f>Q6</f>
        <v>124822.87087295152</v>
      </c>
      <c r="AE108" s="547">
        <f>Q50</f>
        <v>174752.01922213213</v>
      </c>
      <c r="AF108" s="547">
        <f>AD108+AE108</f>
        <v>299574.89009508363</v>
      </c>
      <c r="AG108" s="547">
        <f t="shared" ref="AG108:AG125" si="35">N28</f>
        <v>29370.08726422389</v>
      </c>
      <c r="AH108" s="547">
        <f t="shared" ref="AH108:AH125" si="36">N72</f>
        <v>58740.17452844778</v>
      </c>
      <c r="AI108" s="547">
        <f>AG108+AH108</f>
        <v>88110.261792671663</v>
      </c>
      <c r="AJ108" s="547">
        <f>AF108+AI108</f>
        <v>387685.15188775526</v>
      </c>
      <c r="AK108" s="605"/>
      <c r="AL108" s="547">
        <f>AA108+AF108+AI108</f>
        <v>827685.15188775526</v>
      </c>
      <c r="AM108" s="550" t="s">
        <v>402</v>
      </c>
      <c r="AN108" s="550"/>
    </row>
    <row r="109" spans="1:40" ht="13" x14ac:dyDescent="0.3">
      <c r="A109" s="544">
        <v>9257005</v>
      </c>
      <c r="B109" s="545" t="s">
        <v>68</v>
      </c>
      <c r="C109" s="587">
        <v>4</v>
      </c>
      <c r="D109" s="547">
        <f t="shared" si="20"/>
        <v>0</v>
      </c>
      <c r="E109" s="547">
        <f t="shared" si="21"/>
        <v>0</v>
      </c>
      <c r="F109" s="156">
        <f t="shared" ref="F109:F125" si="37">SUM(D109:E109)</f>
        <v>0</v>
      </c>
      <c r="G109" s="547">
        <f t="shared" si="22"/>
        <v>184351.3141961919</v>
      </c>
      <c r="H109" s="547">
        <f t="shared" si="23"/>
        <v>258091.83987466866</v>
      </c>
      <c r="I109" s="156">
        <f t="shared" ref="I109:I125" si="38">SUM(G109:H109)</f>
        <v>442443.15407086059</v>
      </c>
      <c r="J109" s="547">
        <f t="shared" si="24"/>
        <v>89103.135194826071</v>
      </c>
      <c r="K109" s="547">
        <f t="shared" si="25"/>
        <v>178206.27038965214</v>
      </c>
      <c r="L109" s="156">
        <f t="shared" ref="L109:L125" si="39">SUM(J109:K109)</f>
        <v>267309.40558447823</v>
      </c>
      <c r="M109" s="156">
        <f t="shared" ref="M109:M125" si="40">I109+L109</f>
        <v>709752.55965533876</v>
      </c>
      <c r="N109" s="547">
        <f t="shared" si="26"/>
        <v>10401.504825659393</v>
      </c>
      <c r="O109" s="547">
        <f t="shared" si="27"/>
        <v>14562.106755923151</v>
      </c>
      <c r="P109" s="156">
        <f t="shared" ref="P109:P125" si="41">SUM(N109:O109)</f>
        <v>24963.611581582543</v>
      </c>
      <c r="Q109" s="547">
        <f t="shared" si="28"/>
        <v>5027.3939990687068</v>
      </c>
      <c r="R109" s="547">
        <f t="shared" si="29"/>
        <v>10054.787998137414</v>
      </c>
      <c r="S109" s="156">
        <f t="shared" ref="S109:S125" si="42">SUM(Q109:R109)</f>
        <v>15082.18199720612</v>
      </c>
      <c r="T109" s="156">
        <f t="shared" ref="T109:T125" si="43">P109+S109</f>
        <v>40045.793578788667</v>
      </c>
      <c r="U109" s="156">
        <f t="shared" si="30"/>
        <v>749798.3532341274</v>
      </c>
      <c r="V109" s="604">
        <f t="shared" si="31"/>
        <v>77</v>
      </c>
      <c r="W109" s="547">
        <f t="shared" si="32"/>
        <v>9737.6409510925641</v>
      </c>
      <c r="X109" s="535"/>
      <c r="Y109" s="546">
        <f t="shared" si="33"/>
        <v>480000</v>
      </c>
      <c r="Z109" s="547">
        <f t="shared" si="34"/>
        <v>290000</v>
      </c>
      <c r="AA109" s="547">
        <f t="shared" ref="AA109:AA125" si="44">Y109+Z109</f>
        <v>770000</v>
      </c>
      <c r="AB109" s="547">
        <v>1275717.7592213219</v>
      </c>
      <c r="AC109" s="547">
        <f t="shared" ref="AC109:AC125" si="45">AB109-AA109</f>
        <v>505717.7592213219</v>
      </c>
      <c r="AD109" s="547">
        <f t="shared" ref="AD109:AD125" si="46">Q7</f>
        <v>131355.26213540827</v>
      </c>
      <c r="AE109" s="547">
        <f t="shared" ref="AE109:AE125" si="47">Q51</f>
        <v>183897.36698957157</v>
      </c>
      <c r="AF109" s="547">
        <f t="shared" ref="AF109:AF125" si="48">AD109+AE109</f>
        <v>315252.62912497984</v>
      </c>
      <c r="AG109" s="547">
        <f t="shared" si="35"/>
        <v>63488.376698780667</v>
      </c>
      <c r="AH109" s="547">
        <f t="shared" si="36"/>
        <v>126976.75339756133</v>
      </c>
      <c r="AI109" s="547">
        <f t="shared" ref="AI109:AI125" si="49">AG109+AH109</f>
        <v>190465.13009634201</v>
      </c>
      <c r="AJ109" s="547">
        <f t="shared" ref="AJ109:AJ125" si="50">AF109+AI109</f>
        <v>505717.75922132184</v>
      </c>
      <c r="AK109" s="605"/>
      <c r="AL109" s="547">
        <f t="shared" ref="AL109:AL125" si="51">AA109+AF109+AI109</f>
        <v>1275717.7592213219</v>
      </c>
      <c r="AM109" s="550" t="s">
        <v>402</v>
      </c>
      <c r="AN109" s="550"/>
    </row>
    <row r="110" spans="1:40" ht="13" x14ac:dyDescent="0.3">
      <c r="A110" s="544">
        <v>9257025</v>
      </c>
      <c r="B110" s="545" t="s">
        <v>69</v>
      </c>
      <c r="C110" s="582">
        <v>4</v>
      </c>
      <c r="D110" s="547">
        <f t="shared" si="20"/>
        <v>39922.238535953147</v>
      </c>
      <c r="E110" s="547">
        <f t="shared" si="21"/>
        <v>55891.133950334406</v>
      </c>
      <c r="F110" s="156">
        <f t="shared" si="37"/>
        <v>95813.372486287553</v>
      </c>
      <c r="G110" s="547">
        <f t="shared" si="22"/>
        <v>155696.7302902173</v>
      </c>
      <c r="H110" s="547">
        <f t="shared" si="23"/>
        <v>217975.42240630422</v>
      </c>
      <c r="I110" s="156">
        <f t="shared" si="38"/>
        <v>373672.15269652149</v>
      </c>
      <c r="J110" s="547">
        <f t="shared" si="24"/>
        <v>41519.128077391273</v>
      </c>
      <c r="K110" s="547">
        <f t="shared" si="25"/>
        <v>83038.256154782546</v>
      </c>
      <c r="L110" s="156">
        <f t="shared" si="39"/>
        <v>124557.38423217382</v>
      </c>
      <c r="M110" s="156">
        <f t="shared" si="40"/>
        <v>498229.53692869528</v>
      </c>
      <c r="N110" s="547">
        <f t="shared" si="26"/>
        <v>11165.808272492439</v>
      </c>
      <c r="O110" s="547">
        <f t="shared" si="27"/>
        <v>15632.131581489413</v>
      </c>
      <c r="P110" s="156">
        <f t="shared" si="41"/>
        <v>26797.93985398185</v>
      </c>
      <c r="Q110" s="547">
        <f t="shared" si="28"/>
        <v>2369.8858374269662</v>
      </c>
      <c r="R110" s="547">
        <f t="shared" si="29"/>
        <v>4739.7716748539324</v>
      </c>
      <c r="S110" s="156">
        <f t="shared" si="42"/>
        <v>7109.657512280899</v>
      </c>
      <c r="T110" s="156">
        <f t="shared" si="43"/>
        <v>33907.597366262751</v>
      </c>
      <c r="U110" s="156">
        <f t="shared" si="30"/>
        <v>627950.50678124558</v>
      </c>
      <c r="V110" s="604">
        <f t="shared" si="31"/>
        <v>62</v>
      </c>
      <c r="W110" s="547">
        <f t="shared" si="32"/>
        <v>10128.233980342671</v>
      </c>
      <c r="X110" s="535"/>
      <c r="Y110" s="546">
        <f t="shared" si="33"/>
        <v>490000.00000000006</v>
      </c>
      <c r="Z110" s="547">
        <f t="shared" si="34"/>
        <v>129999.99999999999</v>
      </c>
      <c r="AA110" s="547">
        <f t="shared" si="44"/>
        <v>620000</v>
      </c>
      <c r="AB110" s="547">
        <v>1158965.6834732583</v>
      </c>
      <c r="AC110" s="547">
        <f t="shared" si="45"/>
        <v>538965.68347325828</v>
      </c>
      <c r="AD110" s="547">
        <f t="shared" si="46"/>
        <v>177481.97910073696</v>
      </c>
      <c r="AE110" s="547">
        <f t="shared" si="47"/>
        <v>248474.7707410318</v>
      </c>
      <c r="AF110" s="547">
        <f t="shared" si="48"/>
        <v>425956.74984176876</v>
      </c>
      <c r="AG110" s="547">
        <f t="shared" si="35"/>
        <v>37669.644543829891</v>
      </c>
      <c r="AH110" s="547">
        <f t="shared" si="36"/>
        <v>75339.289087659781</v>
      </c>
      <c r="AI110" s="547">
        <f t="shared" si="49"/>
        <v>113008.93363148966</v>
      </c>
      <c r="AJ110" s="547">
        <f t="shared" si="50"/>
        <v>538965.6834732584</v>
      </c>
      <c r="AK110" s="605"/>
      <c r="AL110" s="547">
        <f t="shared" si="51"/>
        <v>1158965.6834732585</v>
      </c>
      <c r="AM110" s="550" t="s">
        <v>402</v>
      </c>
      <c r="AN110" s="550"/>
    </row>
    <row r="111" spans="1:40" ht="13" x14ac:dyDescent="0.3">
      <c r="A111" s="544">
        <v>9257011</v>
      </c>
      <c r="B111" s="545" t="s">
        <v>70</v>
      </c>
      <c r="C111" s="582">
        <v>3</v>
      </c>
      <c r="D111" s="547">
        <f t="shared" si="20"/>
        <v>0</v>
      </c>
      <c r="E111" s="547">
        <f t="shared" si="21"/>
        <v>0</v>
      </c>
      <c r="F111" s="156">
        <f t="shared" si="37"/>
        <v>0</v>
      </c>
      <c r="G111" s="547">
        <f t="shared" si="22"/>
        <v>172528.70194845504</v>
      </c>
      <c r="H111" s="547">
        <f t="shared" si="23"/>
        <v>241540.18272783706</v>
      </c>
      <c r="I111" s="156">
        <f t="shared" si="38"/>
        <v>414068.88467629207</v>
      </c>
      <c r="J111" s="547">
        <f t="shared" si="24"/>
        <v>9858.7829684831449</v>
      </c>
      <c r="K111" s="547">
        <f t="shared" si="25"/>
        <v>19717.56593696629</v>
      </c>
      <c r="L111" s="156">
        <f t="shared" si="39"/>
        <v>29576.348905449435</v>
      </c>
      <c r="M111" s="156">
        <f t="shared" si="40"/>
        <v>443645.23358174152</v>
      </c>
      <c r="N111" s="547">
        <f t="shared" si="26"/>
        <v>7173.1859205102928</v>
      </c>
      <c r="O111" s="547">
        <f t="shared" si="27"/>
        <v>10042.46028871441</v>
      </c>
      <c r="P111" s="156">
        <f t="shared" si="41"/>
        <v>17215.646209224702</v>
      </c>
      <c r="Q111" s="547">
        <f t="shared" si="28"/>
        <v>409.8963383148739</v>
      </c>
      <c r="R111" s="547">
        <f t="shared" si="29"/>
        <v>819.7926766297478</v>
      </c>
      <c r="S111" s="156">
        <f t="shared" si="42"/>
        <v>1229.6890149446217</v>
      </c>
      <c r="T111" s="156">
        <f t="shared" si="43"/>
        <v>18445.335224169325</v>
      </c>
      <c r="U111" s="156">
        <f t="shared" si="30"/>
        <v>462090.56880591082</v>
      </c>
      <c r="V111" s="604">
        <f t="shared" si="31"/>
        <v>45</v>
      </c>
      <c r="W111" s="547">
        <f t="shared" si="32"/>
        <v>10268.679306798018</v>
      </c>
      <c r="X111" s="535"/>
      <c r="Y111" s="546">
        <f t="shared" si="33"/>
        <v>420000</v>
      </c>
      <c r="Z111" s="547">
        <f t="shared" si="34"/>
        <v>30000</v>
      </c>
      <c r="AA111" s="547">
        <f t="shared" si="44"/>
        <v>450000</v>
      </c>
      <c r="AB111" s="547">
        <v>874002.07077309978</v>
      </c>
      <c r="AC111" s="547">
        <f t="shared" si="45"/>
        <v>424002.07077309978</v>
      </c>
      <c r="AD111" s="547">
        <f t="shared" si="46"/>
        <v>164889.69418953877</v>
      </c>
      <c r="AE111" s="547">
        <f t="shared" si="47"/>
        <v>230845.57186535432</v>
      </c>
      <c r="AF111" s="547">
        <f t="shared" si="48"/>
        <v>395735.26605489309</v>
      </c>
      <c r="AG111" s="547">
        <f t="shared" si="35"/>
        <v>9422.2682394022158</v>
      </c>
      <c r="AH111" s="547">
        <f t="shared" si="36"/>
        <v>18844.536478804432</v>
      </c>
      <c r="AI111" s="547">
        <f t="shared" si="49"/>
        <v>28266.804718206648</v>
      </c>
      <c r="AJ111" s="547">
        <f t="shared" si="50"/>
        <v>424002.07077309972</v>
      </c>
      <c r="AK111" s="605"/>
      <c r="AL111" s="547">
        <f t="shared" si="51"/>
        <v>874002.07077309978</v>
      </c>
      <c r="AM111" s="550" t="s">
        <v>402</v>
      </c>
      <c r="AN111" s="550"/>
    </row>
    <row r="112" spans="1:40" ht="13" x14ac:dyDescent="0.3">
      <c r="A112" s="544">
        <v>9257024</v>
      </c>
      <c r="B112" s="545" t="s">
        <v>71</v>
      </c>
      <c r="C112" s="587">
        <v>3</v>
      </c>
      <c r="D112" s="547">
        <f t="shared" si="20"/>
        <v>19053.583315273478</v>
      </c>
      <c r="E112" s="547">
        <f t="shared" si="21"/>
        <v>26675.01664138287</v>
      </c>
      <c r="F112" s="156">
        <f t="shared" si="37"/>
        <v>45728.599956656348</v>
      </c>
      <c r="G112" s="547">
        <f t="shared" si="22"/>
        <v>148617.94985913316</v>
      </c>
      <c r="H112" s="547">
        <f t="shared" si="23"/>
        <v>208065.12980278642</v>
      </c>
      <c r="I112" s="156">
        <f t="shared" si="38"/>
        <v>356683.07966191962</v>
      </c>
      <c r="J112" s="547">
        <f t="shared" si="24"/>
        <v>39631.453295768835</v>
      </c>
      <c r="K112" s="547">
        <f t="shared" si="25"/>
        <v>79262.90659153767</v>
      </c>
      <c r="L112" s="156">
        <f t="shared" si="39"/>
        <v>118894.35988730651</v>
      </c>
      <c r="M112" s="156">
        <f t="shared" si="40"/>
        <v>475577.43954922614</v>
      </c>
      <c r="N112" s="547">
        <f t="shared" si="26"/>
        <v>2635.0478891670464</v>
      </c>
      <c r="O112" s="547">
        <f t="shared" si="27"/>
        <v>3689.0670448338651</v>
      </c>
      <c r="P112" s="156">
        <f t="shared" si="41"/>
        <v>6324.1149340009115</v>
      </c>
      <c r="Q112" s="547">
        <f t="shared" si="28"/>
        <v>622.82950107584725</v>
      </c>
      <c r="R112" s="547">
        <f t="shared" si="29"/>
        <v>1245.6590021516945</v>
      </c>
      <c r="S112" s="156">
        <f t="shared" si="42"/>
        <v>1868.4885032275417</v>
      </c>
      <c r="T112" s="156">
        <f t="shared" si="43"/>
        <v>8192.6034372284539</v>
      </c>
      <c r="U112" s="156">
        <f t="shared" si="30"/>
        <v>529498.64294311102</v>
      </c>
      <c r="V112" s="604">
        <f t="shared" si="31"/>
        <v>57</v>
      </c>
      <c r="W112" s="547">
        <f t="shared" si="32"/>
        <v>9289.4498761949308</v>
      </c>
      <c r="X112" s="535"/>
      <c r="Y112" s="546">
        <f t="shared" si="33"/>
        <v>440000</v>
      </c>
      <c r="Z112" s="547">
        <f t="shared" si="34"/>
        <v>129999.99999999999</v>
      </c>
      <c r="AA112" s="547">
        <f t="shared" si="44"/>
        <v>570000</v>
      </c>
      <c r="AB112" s="547">
        <v>949046.85363087466</v>
      </c>
      <c r="AC112" s="547">
        <f t="shared" si="45"/>
        <v>379046.85363087466</v>
      </c>
      <c r="AD112" s="547">
        <f t="shared" si="46"/>
        <v>121915.65467659711</v>
      </c>
      <c r="AE112" s="547">
        <f t="shared" si="47"/>
        <v>170681.91654723592</v>
      </c>
      <c r="AF112" s="547">
        <f t="shared" si="48"/>
        <v>292597.57122383302</v>
      </c>
      <c r="AG112" s="547">
        <f t="shared" si="35"/>
        <v>28816.427469013859</v>
      </c>
      <c r="AH112" s="547">
        <f t="shared" si="36"/>
        <v>57632.854938027718</v>
      </c>
      <c r="AI112" s="547">
        <f t="shared" si="49"/>
        <v>86449.282407041581</v>
      </c>
      <c r="AJ112" s="547">
        <f t="shared" si="50"/>
        <v>379046.8536308746</v>
      </c>
      <c r="AK112" s="605"/>
      <c r="AL112" s="547">
        <f t="shared" si="51"/>
        <v>949046.85363087454</v>
      </c>
      <c r="AM112" s="550" t="s">
        <v>402</v>
      </c>
      <c r="AN112" s="550"/>
    </row>
    <row r="113" spans="1:40" ht="13" x14ac:dyDescent="0.3">
      <c r="A113" s="544">
        <v>9257031</v>
      </c>
      <c r="B113" s="545" t="s">
        <v>98</v>
      </c>
      <c r="C113" s="582">
        <v>3</v>
      </c>
      <c r="D113" s="547">
        <f t="shared" si="20"/>
        <v>0</v>
      </c>
      <c r="E113" s="547">
        <f t="shared" si="21"/>
        <v>0</v>
      </c>
      <c r="F113" s="156">
        <f t="shared" si="37"/>
        <v>0</v>
      </c>
      <c r="G113" s="547">
        <f t="shared" si="22"/>
        <v>302043.866484167</v>
      </c>
      <c r="H113" s="547">
        <f t="shared" si="23"/>
        <v>422861.41307783383</v>
      </c>
      <c r="I113" s="156">
        <f t="shared" si="38"/>
        <v>724905.27956200088</v>
      </c>
      <c r="J113" s="547">
        <f t="shared" si="24"/>
        <v>0</v>
      </c>
      <c r="K113" s="547">
        <f t="shared" si="25"/>
        <v>0</v>
      </c>
      <c r="L113" s="156">
        <f t="shared" si="39"/>
        <v>0</v>
      </c>
      <c r="M113" s="156">
        <f t="shared" si="40"/>
        <v>724905.27956200088</v>
      </c>
      <c r="N113" s="547">
        <f t="shared" si="26"/>
        <v>68072.070470148697</v>
      </c>
      <c r="O113" s="547">
        <f t="shared" si="27"/>
        <v>95300.898658208185</v>
      </c>
      <c r="P113" s="156">
        <f t="shared" si="41"/>
        <v>163372.9691283569</v>
      </c>
      <c r="Q113" s="547">
        <f t="shared" si="28"/>
        <v>0</v>
      </c>
      <c r="R113" s="547">
        <f t="shared" si="29"/>
        <v>0</v>
      </c>
      <c r="S113" s="156">
        <f t="shared" si="42"/>
        <v>0</v>
      </c>
      <c r="T113" s="156">
        <f t="shared" si="43"/>
        <v>163372.9691283569</v>
      </c>
      <c r="U113" s="156">
        <f t="shared" si="30"/>
        <v>888278.24869035778</v>
      </c>
      <c r="V113" s="604">
        <f t="shared" si="31"/>
        <v>62.000000000000007</v>
      </c>
      <c r="W113" s="547">
        <f t="shared" si="32"/>
        <v>14327.068527263833</v>
      </c>
      <c r="X113" s="535"/>
      <c r="Y113" s="546">
        <f t="shared" si="33"/>
        <v>620000</v>
      </c>
      <c r="Z113" s="547">
        <f t="shared" si="34"/>
        <v>0</v>
      </c>
      <c r="AA113" s="547">
        <f t="shared" si="44"/>
        <v>620000</v>
      </c>
      <c r="AB113" s="547">
        <v>1244510.1265917702</v>
      </c>
      <c r="AC113" s="547">
        <f t="shared" si="45"/>
        <v>624510.12659177021</v>
      </c>
      <c r="AD113" s="547">
        <f t="shared" si="46"/>
        <v>260212.55274657084</v>
      </c>
      <c r="AE113" s="547">
        <f t="shared" si="47"/>
        <v>364297.57384519913</v>
      </c>
      <c r="AF113" s="547">
        <f t="shared" si="48"/>
        <v>624510.12659176998</v>
      </c>
      <c r="AG113" s="547">
        <f t="shared" si="35"/>
        <v>0</v>
      </c>
      <c r="AH113" s="547">
        <f t="shared" si="36"/>
        <v>0</v>
      </c>
      <c r="AI113" s="547">
        <f t="shared" si="49"/>
        <v>0</v>
      </c>
      <c r="AJ113" s="547">
        <f t="shared" si="50"/>
        <v>624510.12659176998</v>
      </c>
      <c r="AK113" s="605"/>
      <c r="AL113" s="547">
        <f t="shared" si="51"/>
        <v>1244510.12659177</v>
      </c>
      <c r="AM113" s="550" t="s">
        <v>402</v>
      </c>
      <c r="AN113" s="550"/>
    </row>
    <row r="114" spans="1:40" ht="13" x14ac:dyDescent="0.3">
      <c r="A114" s="544">
        <v>9257033</v>
      </c>
      <c r="B114" s="545" t="s">
        <v>72</v>
      </c>
      <c r="C114" s="582">
        <v>3</v>
      </c>
      <c r="D114" s="547">
        <f t="shared" si="20"/>
        <v>37262.62377713446</v>
      </c>
      <c r="E114" s="547">
        <f t="shared" si="21"/>
        <v>52167.67328798824</v>
      </c>
      <c r="F114" s="156">
        <f t="shared" si="37"/>
        <v>89430.297065122693</v>
      </c>
      <c r="G114" s="547">
        <f t="shared" si="22"/>
        <v>186313.11888567227</v>
      </c>
      <c r="H114" s="547">
        <f t="shared" si="23"/>
        <v>260838.36643994119</v>
      </c>
      <c r="I114" s="156">
        <f t="shared" si="38"/>
        <v>447151.48532561347</v>
      </c>
      <c r="J114" s="547">
        <f t="shared" si="24"/>
        <v>0</v>
      </c>
      <c r="K114" s="547">
        <f t="shared" si="25"/>
        <v>0</v>
      </c>
      <c r="L114" s="156">
        <f t="shared" si="39"/>
        <v>0</v>
      </c>
      <c r="M114" s="156">
        <f t="shared" si="40"/>
        <v>447151.48532561347</v>
      </c>
      <c r="N114" s="547">
        <f t="shared" si="26"/>
        <v>22757.231770079037</v>
      </c>
      <c r="O114" s="547">
        <f t="shared" si="27"/>
        <v>31860.124478110654</v>
      </c>
      <c r="P114" s="156">
        <f t="shared" si="41"/>
        <v>54617.356248189695</v>
      </c>
      <c r="Q114" s="547">
        <f t="shared" si="28"/>
        <v>0</v>
      </c>
      <c r="R114" s="547">
        <f t="shared" si="29"/>
        <v>0</v>
      </c>
      <c r="S114" s="156">
        <f t="shared" si="42"/>
        <v>0</v>
      </c>
      <c r="T114" s="156">
        <f t="shared" si="43"/>
        <v>54617.356248189695</v>
      </c>
      <c r="U114" s="156">
        <f t="shared" si="30"/>
        <v>591199.13863892586</v>
      </c>
      <c r="V114" s="604">
        <f t="shared" si="31"/>
        <v>60</v>
      </c>
      <c r="W114" s="547">
        <f t="shared" si="32"/>
        <v>9853.3189773154318</v>
      </c>
      <c r="X114" s="535"/>
      <c r="Y114" s="546">
        <f t="shared" si="33"/>
        <v>600000</v>
      </c>
      <c r="Z114" s="547">
        <f t="shared" si="34"/>
        <v>0</v>
      </c>
      <c r="AA114" s="547">
        <f t="shared" si="44"/>
        <v>600000</v>
      </c>
      <c r="AB114" s="547">
        <v>987363.23692723573</v>
      </c>
      <c r="AC114" s="547">
        <f t="shared" si="45"/>
        <v>387363.23692723573</v>
      </c>
      <c r="AD114" s="547">
        <f t="shared" si="46"/>
        <v>161401.34871968155</v>
      </c>
      <c r="AE114" s="547">
        <f t="shared" si="47"/>
        <v>225961.88820755421</v>
      </c>
      <c r="AF114" s="547">
        <f t="shared" si="48"/>
        <v>387363.23692723573</v>
      </c>
      <c r="AG114" s="547">
        <f t="shared" si="35"/>
        <v>0</v>
      </c>
      <c r="AH114" s="547">
        <f t="shared" si="36"/>
        <v>0</v>
      </c>
      <c r="AI114" s="547">
        <f t="shared" si="49"/>
        <v>0</v>
      </c>
      <c r="AJ114" s="547">
        <f t="shared" si="50"/>
        <v>387363.23692723573</v>
      </c>
      <c r="AK114" s="605"/>
      <c r="AL114" s="547">
        <f t="shared" si="51"/>
        <v>987363.23692723573</v>
      </c>
      <c r="AM114" s="550" t="s">
        <v>402</v>
      </c>
      <c r="AN114" s="550"/>
    </row>
    <row r="115" spans="1:40" ht="13" x14ac:dyDescent="0.3">
      <c r="A115" s="544">
        <v>9257008</v>
      </c>
      <c r="B115" s="545" t="s">
        <v>73</v>
      </c>
      <c r="C115" s="589">
        <v>4</v>
      </c>
      <c r="D115" s="547">
        <f t="shared" si="20"/>
        <v>33339.078620055436</v>
      </c>
      <c r="E115" s="547">
        <f t="shared" si="21"/>
        <v>46674.710068077606</v>
      </c>
      <c r="F115" s="156">
        <f t="shared" si="37"/>
        <v>80013.788688133034</v>
      </c>
      <c r="G115" s="547">
        <f t="shared" si="22"/>
        <v>266712.62896044349</v>
      </c>
      <c r="H115" s="547">
        <f t="shared" si="23"/>
        <v>373397.68054462085</v>
      </c>
      <c r="I115" s="156">
        <f t="shared" si="38"/>
        <v>640110.30950506427</v>
      </c>
      <c r="J115" s="547">
        <f t="shared" si="24"/>
        <v>0</v>
      </c>
      <c r="K115" s="547">
        <f t="shared" si="25"/>
        <v>0</v>
      </c>
      <c r="L115" s="156">
        <f t="shared" si="39"/>
        <v>0</v>
      </c>
      <c r="M115" s="156">
        <f t="shared" si="40"/>
        <v>640110.30950506427</v>
      </c>
      <c r="N115" s="547">
        <f t="shared" si="26"/>
        <v>27900.507061768727</v>
      </c>
      <c r="O115" s="547">
        <f t="shared" si="27"/>
        <v>39060.709886476216</v>
      </c>
      <c r="P115" s="156">
        <f t="shared" si="41"/>
        <v>66961.216948244939</v>
      </c>
      <c r="Q115" s="547">
        <f t="shared" si="28"/>
        <v>0</v>
      </c>
      <c r="R115" s="547">
        <f t="shared" si="29"/>
        <v>0</v>
      </c>
      <c r="S115" s="156">
        <f t="shared" si="42"/>
        <v>0</v>
      </c>
      <c r="T115" s="156">
        <f t="shared" si="43"/>
        <v>66961.216948244939</v>
      </c>
      <c r="U115" s="156">
        <f t="shared" si="30"/>
        <v>787085.31514144223</v>
      </c>
      <c r="V115" s="604">
        <f t="shared" si="31"/>
        <v>90</v>
      </c>
      <c r="W115" s="547">
        <f t="shared" si="32"/>
        <v>8745.392390460469</v>
      </c>
      <c r="X115" s="535"/>
      <c r="Y115" s="546">
        <f t="shared" si="33"/>
        <v>900000</v>
      </c>
      <c r="Z115" s="547">
        <f t="shared" si="34"/>
        <v>0</v>
      </c>
      <c r="AA115" s="547">
        <f t="shared" si="44"/>
        <v>900000</v>
      </c>
      <c r="AB115" s="547">
        <v>1300237.4829410582</v>
      </c>
      <c r="AC115" s="547">
        <f t="shared" si="45"/>
        <v>400237.48294105823</v>
      </c>
      <c r="AD115" s="547">
        <f t="shared" si="46"/>
        <v>166765.61789210761</v>
      </c>
      <c r="AE115" s="547">
        <f t="shared" si="47"/>
        <v>233471.86504895065</v>
      </c>
      <c r="AF115" s="547">
        <f t="shared" si="48"/>
        <v>400237.48294105823</v>
      </c>
      <c r="AG115" s="547">
        <f t="shared" si="35"/>
        <v>0</v>
      </c>
      <c r="AH115" s="547">
        <f t="shared" si="36"/>
        <v>0</v>
      </c>
      <c r="AI115" s="547">
        <f t="shared" si="49"/>
        <v>0</v>
      </c>
      <c r="AJ115" s="547">
        <f t="shared" si="50"/>
        <v>400237.48294105823</v>
      </c>
      <c r="AK115" s="605"/>
      <c r="AL115" s="547">
        <f t="shared" si="51"/>
        <v>1300237.4829410582</v>
      </c>
      <c r="AM115" s="550" t="s">
        <v>402</v>
      </c>
      <c r="AN115" s="550"/>
    </row>
    <row r="116" spans="1:40" ht="13" x14ac:dyDescent="0.3">
      <c r="A116" s="544">
        <v>9257034</v>
      </c>
      <c r="B116" s="545" t="s">
        <v>74</v>
      </c>
      <c r="C116" s="582">
        <v>5</v>
      </c>
      <c r="D116" s="547">
        <f t="shared" si="20"/>
        <v>0</v>
      </c>
      <c r="E116" s="547">
        <f t="shared" si="21"/>
        <v>0</v>
      </c>
      <c r="F116" s="156">
        <f t="shared" si="37"/>
        <v>0</v>
      </c>
      <c r="G116" s="547">
        <f t="shared" si="22"/>
        <v>325706.96785500314</v>
      </c>
      <c r="H116" s="547">
        <f t="shared" si="23"/>
        <v>455989.75499700441</v>
      </c>
      <c r="I116" s="156">
        <f t="shared" si="38"/>
        <v>781696.72285200749</v>
      </c>
      <c r="J116" s="547">
        <f t="shared" si="24"/>
        <v>84140.966695875803</v>
      </c>
      <c r="K116" s="547">
        <f t="shared" si="25"/>
        <v>168281.93339175161</v>
      </c>
      <c r="L116" s="156">
        <f t="shared" si="39"/>
        <v>252422.90008762741</v>
      </c>
      <c r="M116" s="156">
        <f t="shared" si="40"/>
        <v>1034119.6229396348</v>
      </c>
      <c r="N116" s="547">
        <f t="shared" si="26"/>
        <v>21578.344919163217</v>
      </c>
      <c r="O116" s="547">
        <f t="shared" si="27"/>
        <v>30209.682886828505</v>
      </c>
      <c r="P116" s="156">
        <f t="shared" si="41"/>
        <v>51788.027805991718</v>
      </c>
      <c r="Q116" s="547">
        <f t="shared" si="28"/>
        <v>5574.4057707838301</v>
      </c>
      <c r="R116" s="547">
        <f t="shared" si="29"/>
        <v>11148.81154156766</v>
      </c>
      <c r="S116" s="156">
        <f t="shared" si="42"/>
        <v>16723.217312351491</v>
      </c>
      <c r="T116" s="156">
        <f>P116+S116</f>
        <v>68511.245118343213</v>
      </c>
      <c r="U116" s="156">
        <f t="shared" si="30"/>
        <v>1102630.8680579781</v>
      </c>
      <c r="V116" s="604">
        <f t="shared" si="31"/>
        <v>127</v>
      </c>
      <c r="W116" s="547">
        <f t="shared" si="32"/>
        <v>8682.1328193541576</v>
      </c>
      <c r="X116" s="535"/>
      <c r="Y116" s="546">
        <f t="shared" si="33"/>
        <v>960000</v>
      </c>
      <c r="Z116" s="547">
        <f t="shared" si="34"/>
        <v>310000</v>
      </c>
      <c r="AA116" s="547">
        <f t="shared" si="44"/>
        <v>1270000</v>
      </c>
      <c r="AB116" s="547">
        <v>1666004.5516743336</v>
      </c>
      <c r="AC116" s="547">
        <f t="shared" si="45"/>
        <v>396004.55167433363</v>
      </c>
      <c r="AD116" s="547">
        <f t="shared" si="46"/>
        <v>124725.8430470342</v>
      </c>
      <c r="AE116" s="547">
        <f t="shared" si="47"/>
        <v>174616.18026584788</v>
      </c>
      <c r="AF116" s="547">
        <f t="shared" si="48"/>
        <v>299342.02331288205</v>
      </c>
      <c r="AG116" s="547">
        <f t="shared" si="35"/>
        <v>32220.842787150508</v>
      </c>
      <c r="AH116" s="547">
        <f t="shared" si="36"/>
        <v>64441.685574301016</v>
      </c>
      <c r="AI116" s="547">
        <f t="shared" si="49"/>
        <v>96662.528361451521</v>
      </c>
      <c r="AJ116" s="547">
        <f t="shared" si="50"/>
        <v>396004.55167433358</v>
      </c>
      <c r="AK116" s="605"/>
      <c r="AL116" s="547">
        <f t="shared" si="51"/>
        <v>1666004.5516743336</v>
      </c>
      <c r="AM116" s="550" t="s">
        <v>402</v>
      </c>
      <c r="AN116" s="550"/>
    </row>
    <row r="117" spans="1:40" ht="13" x14ac:dyDescent="0.3">
      <c r="A117" s="544">
        <v>9257002</v>
      </c>
      <c r="B117" s="545" t="s">
        <v>75</v>
      </c>
      <c r="C117" s="587">
        <v>4</v>
      </c>
      <c r="D117" s="547">
        <f t="shared" si="20"/>
        <v>0</v>
      </c>
      <c r="E117" s="547">
        <f t="shared" si="21"/>
        <v>0</v>
      </c>
      <c r="F117" s="156">
        <f t="shared" si="37"/>
        <v>0</v>
      </c>
      <c r="G117" s="547">
        <f t="shared" si="22"/>
        <v>367896.39637035807</v>
      </c>
      <c r="H117" s="547">
        <f t="shared" si="23"/>
        <v>515054.95491850126</v>
      </c>
      <c r="I117" s="156">
        <f t="shared" si="38"/>
        <v>882951.35128885927</v>
      </c>
      <c r="J117" s="547">
        <f t="shared" si="24"/>
        <v>0</v>
      </c>
      <c r="K117" s="547">
        <f t="shared" si="25"/>
        <v>0</v>
      </c>
      <c r="L117" s="156">
        <f t="shared" si="39"/>
        <v>0</v>
      </c>
      <c r="M117" s="156">
        <f t="shared" si="40"/>
        <v>882951.35128885927</v>
      </c>
      <c r="N117" s="547">
        <f t="shared" si="26"/>
        <v>12381.772644475408</v>
      </c>
      <c r="O117" s="547">
        <f t="shared" si="27"/>
        <v>17334.48170226557</v>
      </c>
      <c r="P117" s="156">
        <f t="shared" si="41"/>
        <v>29716.254346740978</v>
      </c>
      <c r="Q117" s="547">
        <f t="shared" si="28"/>
        <v>0</v>
      </c>
      <c r="R117" s="547">
        <f t="shared" si="29"/>
        <v>0</v>
      </c>
      <c r="S117" s="156">
        <f t="shared" si="42"/>
        <v>0</v>
      </c>
      <c r="T117" s="156">
        <f t="shared" si="43"/>
        <v>29716.254346740978</v>
      </c>
      <c r="U117" s="156">
        <f t="shared" si="30"/>
        <v>912667.60563560028</v>
      </c>
      <c r="V117" s="604">
        <f t="shared" si="31"/>
        <v>122</v>
      </c>
      <c r="W117" s="547">
        <f t="shared" si="32"/>
        <v>7480.88201340656</v>
      </c>
      <c r="X117" s="535"/>
      <c r="Y117" s="546">
        <f t="shared" si="33"/>
        <v>1220000</v>
      </c>
      <c r="Z117" s="547">
        <f t="shared" si="34"/>
        <v>0</v>
      </c>
      <c r="AA117" s="547">
        <f t="shared" si="44"/>
        <v>1220000</v>
      </c>
      <c r="AB117" s="547">
        <v>1426401.8966720549</v>
      </c>
      <c r="AC117" s="547">
        <f t="shared" si="45"/>
        <v>206401.89667205489</v>
      </c>
      <c r="AD117" s="547">
        <f t="shared" si="46"/>
        <v>86000.790280022833</v>
      </c>
      <c r="AE117" s="547">
        <f t="shared" si="47"/>
        <v>120401.10639203196</v>
      </c>
      <c r="AF117" s="547">
        <f t="shared" si="48"/>
        <v>206401.89667205478</v>
      </c>
      <c r="AG117" s="547">
        <f t="shared" si="35"/>
        <v>0</v>
      </c>
      <c r="AH117" s="547">
        <f t="shared" si="36"/>
        <v>0</v>
      </c>
      <c r="AI117" s="547">
        <f t="shared" si="49"/>
        <v>0</v>
      </c>
      <c r="AJ117" s="547">
        <f t="shared" si="50"/>
        <v>206401.89667205478</v>
      </c>
      <c r="AK117" s="605"/>
      <c r="AL117" s="547">
        <f t="shared" si="51"/>
        <v>1426401.8966720547</v>
      </c>
      <c r="AM117" s="550" t="s">
        <v>402</v>
      </c>
      <c r="AN117" s="550"/>
    </row>
    <row r="118" spans="1:40" ht="13" x14ac:dyDescent="0.3">
      <c r="A118" s="544">
        <v>9257009</v>
      </c>
      <c r="B118" s="545" t="s">
        <v>76</v>
      </c>
      <c r="C118" s="582">
        <v>4</v>
      </c>
      <c r="D118" s="547">
        <f t="shared" si="20"/>
        <v>0</v>
      </c>
      <c r="E118" s="547">
        <f t="shared" si="21"/>
        <v>0</v>
      </c>
      <c r="F118" s="156">
        <f t="shared" si="37"/>
        <v>0</v>
      </c>
      <c r="G118" s="547">
        <f t="shared" si="22"/>
        <v>392363.34941922099</v>
      </c>
      <c r="H118" s="547">
        <f t="shared" si="23"/>
        <v>549308.68918690947</v>
      </c>
      <c r="I118" s="156">
        <f t="shared" si="38"/>
        <v>941672.03860613052</v>
      </c>
      <c r="J118" s="547">
        <f t="shared" si="24"/>
        <v>0</v>
      </c>
      <c r="K118" s="547">
        <f t="shared" si="25"/>
        <v>0</v>
      </c>
      <c r="L118" s="156">
        <f t="shared" si="39"/>
        <v>0</v>
      </c>
      <c r="M118" s="156">
        <f t="shared" si="40"/>
        <v>941672.03860613052</v>
      </c>
      <c r="N118" s="547">
        <f t="shared" si="26"/>
        <v>19762.85916875285</v>
      </c>
      <c r="O118" s="547">
        <f t="shared" si="27"/>
        <v>27668.002836253989</v>
      </c>
      <c r="P118" s="156">
        <f t="shared" si="41"/>
        <v>47430.862005006842</v>
      </c>
      <c r="Q118" s="547">
        <f t="shared" si="28"/>
        <v>0</v>
      </c>
      <c r="R118" s="547">
        <f t="shared" si="29"/>
        <v>0</v>
      </c>
      <c r="S118" s="156">
        <f t="shared" si="42"/>
        <v>0</v>
      </c>
      <c r="T118" s="156">
        <f t="shared" si="43"/>
        <v>47430.862005006842</v>
      </c>
      <c r="U118" s="156">
        <f t="shared" si="30"/>
        <v>989102.90061113739</v>
      </c>
      <c r="V118" s="604">
        <f t="shared" si="31"/>
        <v>130</v>
      </c>
      <c r="W118" s="547">
        <f t="shared" si="32"/>
        <v>7608.4838508549028</v>
      </c>
      <c r="X118" s="535"/>
      <c r="Y118" s="546">
        <f t="shared" si="33"/>
        <v>1300000</v>
      </c>
      <c r="Z118" s="547">
        <f t="shared" si="34"/>
        <v>0</v>
      </c>
      <c r="AA118" s="547">
        <f t="shared" si="44"/>
        <v>1300000</v>
      </c>
      <c r="AB118" s="547">
        <v>1499714.6399788277</v>
      </c>
      <c r="AC118" s="547">
        <f t="shared" si="45"/>
        <v>199714.63997882768</v>
      </c>
      <c r="AD118" s="547">
        <f t="shared" si="46"/>
        <v>83214.433324511498</v>
      </c>
      <c r="AE118" s="547">
        <f t="shared" si="47"/>
        <v>116500.20665431609</v>
      </c>
      <c r="AF118" s="547">
        <f t="shared" si="48"/>
        <v>199714.63997882759</v>
      </c>
      <c r="AG118" s="547">
        <f t="shared" si="35"/>
        <v>0</v>
      </c>
      <c r="AH118" s="547">
        <f t="shared" si="36"/>
        <v>0</v>
      </c>
      <c r="AI118" s="547">
        <f t="shared" si="49"/>
        <v>0</v>
      </c>
      <c r="AJ118" s="547">
        <f t="shared" si="50"/>
        <v>199714.63997882759</v>
      </c>
      <c r="AK118" s="605"/>
      <c r="AL118" s="547">
        <f t="shared" si="51"/>
        <v>1499714.6399788277</v>
      </c>
      <c r="AM118" s="550" t="s">
        <v>402</v>
      </c>
      <c r="AN118" s="550"/>
    </row>
    <row r="119" spans="1:40" ht="13" x14ac:dyDescent="0.3">
      <c r="A119" s="544">
        <v>9257029</v>
      </c>
      <c r="B119" s="545" t="s">
        <v>99</v>
      </c>
      <c r="C119" s="587">
        <v>4</v>
      </c>
      <c r="D119" s="547">
        <f t="shared" si="20"/>
        <v>0</v>
      </c>
      <c r="E119" s="547">
        <f t="shared" si="21"/>
        <v>0</v>
      </c>
      <c r="F119" s="156">
        <f t="shared" si="37"/>
        <v>0</v>
      </c>
      <c r="G119" s="547">
        <f t="shared" si="22"/>
        <v>267942.13962305133</v>
      </c>
      <c r="H119" s="547">
        <f t="shared" si="23"/>
        <v>375118.99547227187</v>
      </c>
      <c r="I119" s="156">
        <f t="shared" si="38"/>
        <v>643061.1350953232</v>
      </c>
      <c r="J119" s="547">
        <f t="shared" si="24"/>
        <v>0</v>
      </c>
      <c r="K119" s="547">
        <f t="shared" si="25"/>
        <v>0</v>
      </c>
      <c r="L119" s="156">
        <f t="shared" si="39"/>
        <v>0</v>
      </c>
      <c r="M119" s="156">
        <f t="shared" si="40"/>
        <v>643061.1350953232</v>
      </c>
      <c r="N119" s="547">
        <f t="shared" si="26"/>
        <v>60386.51412674482</v>
      </c>
      <c r="O119" s="547">
        <f t="shared" si="27"/>
        <v>84541.119777442756</v>
      </c>
      <c r="P119" s="156">
        <f t="shared" si="41"/>
        <v>144927.63390418759</v>
      </c>
      <c r="Q119" s="547">
        <f t="shared" si="28"/>
        <v>0</v>
      </c>
      <c r="R119" s="547">
        <f t="shared" si="29"/>
        <v>0</v>
      </c>
      <c r="S119" s="156">
        <f t="shared" si="42"/>
        <v>0</v>
      </c>
      <c r="T119" s="156">
        <f t="shared" si="43"/>
        <v>144927.63390418759</v>
      </c>
      <c r="U119" s="156">
        <f t="shared" si="30"/>
        <v>787988.76899951079</v>
      </c>
      <c r="V119" s="604">
        <f t="shared" si="31"/>
        <v>55</v>
      </c>
      <c r="W119" s="547">
        <f t="shared" si="32"/>
        <v>14327.068527263833</v>
      </c>
      <c r="X119" s="535"/>
      <c r="Y119" s="546">
        <f t="shared" si="33"/>
        <v>550000</v>
      </c>
      <c r="Z119" s="547">
        <f t="shared" si="34"/>
        <v>0</v>
      </c>
      <c r="AA119" s="547">
        <f t="shared" si="44"/>
        <v>550000</v>
      </c>
      <c r="AB119" s="547">
        <v>1202540.804894343</v>
      </c>
      <c r="AC119" s="547">
        <f t="shared" si="45"/>
        <v>652540.80489434302</v>
      </c>
      <c r="AD119" s="547">
        <f t="shared" si="46"/>
        <v>271892.00203930959</v>
      </c>
      <c r="AE119" s="547">
        <f t="shared" si="47"/>
        <v>380648.80285503337</v>
      </c>
      <c r="AF119" s="547">
        <f t="shared" si="48"/>
        <v>652540.80489434302</v>
      </c>
      <c r="AG119" s="547">
        <f t="shared" si="35"/>
        <v>0</v>
      </c>
      <c r="AH119" s="547">
        <f t="shared" si="36"/>
        <v>0</v>
      </c>
      <c r="AI119" s="547">
        <f t="shared" si="49"/>
        <v>0</v>
      </c>
      <c r="AJ119" s="547">
        <f t="shared" si="50"/>
        <v>652540.80489434302</v>
      </c>
      <c r="AK119" s="605"/>
      <c r="AL119" s="547">
        <f t="shared" si="51"/>
        <v>1202540.804894343</v>
      </c>
      <c r="AM119" s="550" t="s">
        <v>402</v>
      </c>
      <c r="AN119" s="550"/>
    </row>
    <row r="120" spans="1:40" ht="13" x14ac:dyDescent="0.3">
      <c r="A120" s="544">
        <v>9257032</v>
      </c>
      <c r="B120" s="545" t="s">
        <v>100</v>
      </c>
      <c r="C120" s="582">
        <v>4</v>
      </c>
      <c r="D120" s="547">
        <f t="shared" si="20"/>
        <v>0</v>
      </c>
      <c r="E120" s="547">
        <f t="shared" si="21"/>
        <v>0</v>
      </c>
      <c r="F120" s="156">
        <f t="shared" si="37"/>
        <v>0</v>
      </c>
      <c r="G120" s="547">
        <f t="shared" si="22"/>
        <v>292300.51595241966</v>
      </c>
      <c r="H120" s="547">
        <f t="shared" si="23"/>
        <v>409220.72233338753</v>
      </c>
      <c r="I120" s="156">
        <f t="shared" si="38"/>
        <v>701521.23828580719</v>
      </c>
      <c r="J120" s="547">
        <f t="shared" si="24"/>
        <v>0</v>
      </c>
      <c r="K120" s="547">
        <f t="shared" si="25"/>
        <v>0</v>
      </c>
      <c r="L120" s="156">
        <f t="shared" si="39"/>
        <v>0</v>
      </c>
      <c r="M120" s="156">
        <f t="shared" si="40"/>
        <v>701521.23828580719</v>
      </c>
      <c r="N120" s="547">
        <f t="shared" si="26"/>
        <v>65876.197229176163</v>
      </c>
      <c r="O120" s="547">
        <f t="shared" si="27"/>
        <v>92226.67612084662</v>
      </c>
      <c r="P120" s="156">
        <f t="shared" si="41"/>
        <v>158102.87335002277</v>
      </c>
      <c r="Q120" s="547">
        <f t="shared" si="28"/>
        <v>0</v>
      </c>
      <c r="R120" s="547">
        <f t="shared" si="29"/>
        <v>0</v>
      </c>
      <c r="S120" s="156">
        <f t="shared" si="42"/>
        <v>0</v>
      </c>
      <c r="T120" s="156">
        <f t="shared" si="43"/>
        <v>158102.87335002277</v>
      </c>
      <c r="U120" s="156">
        <f t="shared" si="30"/>
        <v>859624.11163583002</v>
      </c>
      <c r="V120" s="604">
        <f t="shared" si="31"/>
        <v>60</v>
      </c>
      <c r="W120" s="547">
        <f t="shared" si="32"/>
        <v>14327.068527263833</v>
      </c>
      <c r="X120" s="535"/>
      <c r="Y120" s="546">
        <f t="shared" si="33"/>
        <v>600000</v>
      </c>
      <c r="Z120" s="547">
        <f t="shared" si="34"/>
        <v>0</v>
      </c>
      <c r="AA120" s="547">
        <f t="shared" si="44"/>
        <v>600000</v>
      </c>
      <c r="AB120" s="547">
        <v>1286245.4208474441</v>
      </c>
      <c r="AC120" s="547">
        <f t="shared" si="45"/>
        <v>686245.4208474441</v>
      </c>
      <c r="AD120" s="547">
        <f t="shared" si="46"/>
        <v>285935.59201976832</v>
      </c>
      <c r="AE120" s="547">
        <f t="shared" si="47"/>
        <v>400309.82882767566</v>
      </c>
      <c r="AF120" s="547">
        <f t="shared" si="48"/>
        <v>686245.42084744398</v>
      </c>
      <c r="AG120" s="547">
        <f t="shared" si="35"/>
        <v>0</v>
      </c>
      <c r="AH120" s="547">
        <f t="shared" si="36"/>
        <v>0</v>
      </c>
      <c r="AI120" s="547">
        <f t="shared" si="49"/>
        <v>0</v>
      </c>
      <c r="AJ120" s="547">
        <f t="shared" si="50"/>
        <v>686245.42084744398</v>
      </c>
      <c r="AK120" s="605"/>
      <c r="AL120" s="547">
        <f t="shared" si="51"/>
        <v>1286245.4208474439</v>
      </c>
      <c r="AM120" s="550" t="s">
        <v>402</v>
      </c>
      <c r="AN120" s="550"/>
    </row>
    <row r="121" spans="1:40" ht="13" x14ac:dyDescent="0.3">
      <c r="A121" s="544">
        <v>9257030</v>
      </c>
      <c r="B121" s="545" t="s">
        <v>92</v>
      </c>
      <c r="C121" s="582">
        <v>4</v>
      </c>
      <c r="D121" s="547">
        <f t="shared" si="20"/>
        <v>0</v>
      </c>
      <c r="E121" s="547">
        <f t="shared" si="21"/>
        <v>0</v>
      </c>
      <c r="F121" s="156">
        <f t="shared" si="37"/>
        <v>0</v>
      </c>
      <c r="G121" s="547">
        <f t="shared" si="22"/>
        <v>267942.13962305133</v>
      </c>
      <c r="H121" s="547">
        <f t="shared" si="23"/>
        <v>409220.72233338753</v>
      </c>
      <c r="I121" s="156">
        <f t="shared" si="38"/>
        <v>677162.86195643886</v>
      </c>
      <c r="J121" s="547">
        <f t="shared" si="24"/>
        <v>0</v>
      </c>
      <c r="K121" s="547">
        <f t="shared" si="25"/>
        <v>0</v>
      </c>
      <c r="L121" s="156">
        <f t="shared" si="39"/>
        <v>0</v>
      </c>
      <c r="M121" s="156">
        <f t="shared" si="40"/>
        <v>677162.86195643886</v>
      </c>
      <c r="N121" s="547">
        <f t="shared" si="26"/>
        <v>60386.51412674482</v>
      </c>
      <c r="O121" s="547">
        <f t="shared" si="27"/>
        <v>92226.67612084662</v>
      </c>
      <c r="P121" s="156">
        <f t="shared" si="41"/>
        <v>152613.19024759144</v>
      </c>
      <c r="Q121" s="547">
        <f t="shared" si="28"/>
        <v>0</v>
      </c>
      <c r="R121" s="547">
        <f t="shared" si="29"/>
        <v>0</v>
      </c>
      <c r="S121" s="156">
        <f t="shared" si="42"/>
        <v>0</v>
      </c>
      <c r="T121" s="156">
        <f t="shared" si="43"/>
        <v>152613.19024759144</v>
      </c>
      <c r="U121" s="156">
        <f t="shared" si="30"/>
        <v>829776.05220403033</v>
      </c>
      <c r="V121" s="604">
        <f>(K19*(5/12))+(K63*(7/12))+(I41*(4/12))+(I85*(8/12))</f>
        <v>57.916666666666671</v>
      </c>
      <c r="W121" s="547">
        <f t="shared" si="32"/>
        <v>14327.068527263831</v>
      </c>
      <c r="X121" s="535"/>
      <c r="Y121" s="546">
        <f t="shared" si="33"/>
        <v>579166.66666666674</v>
      </c>
      <c r="Z121" s="547">
        <f t="shared" si="34"/>
        <v>0</v>
      </c>
      <c r="AA121" s="547">
        <f t="shared" si="44"/>
        <v>579166.66666666674</v>
      </c>
      <c r="AB121" s="547">
        <v>1261488.0916904178</v>
      </c>
      <c r="AC121" s="547">
        <f t="shared" si="45"/>
        <v>682321.4250237511</v>
      </c>
      <c r="AD121" s="547">
        <f t="shared" si="46"/>
        <v>269983.2976712684</v>
      </c>
      <c r="AE121" s="547">
        <f t="shared" si="47"/>
        <v>412338.1273524827</v>
      </c>
      <c r="AF121" s="547">
        <f t="shared" si="48"/>
        <v>682321.4250237511</v>
      </c>
      <c r="AG121" s="547">
        <f t="shared" si="35"/>
        <v>0</v>
      </c>
      <c r="AH121" s="547">
        <f t="shared" si="36"/>
        <v>0</v>
      </c>
      <c r="AI121" s="547">
        <f t="shared" si="49"/>
        <v>0</v>
      </c>
      <c r="AJ121" s="547">
        <f t="shared" si="50"/>
        <v>682321.4250237511</v>
      </c>
      <c r="AK121" s="605"/>
      <c r="AL121" s="547">
        <f t="shared" si="51"/>
        <v>1261488.0916904178</v>
      </c>
      <c r="AM121" s="550" t="s">
        <v>402</v>
      </c>
      <c r="AN121" s="550"/>
    </row>
    <row r="122" spans="1:40" ht="13" x14ac:dyDescent="0.3">
      <c r="A122" s="544">
        <v>9257028</v>
      </c>
      <c r="B122" s="545" t="s">
        <v>77</v>
      </c>
      <c r="C122" s="590">
        <v>4</v>
      </c>
      <c r="D122" s="547">
        <f t="shared" si="20"/>
        <v>21300.715279234355</v>
      </c>
      <c r="E122" s="547">
        <f t="shared" si="21"/>
        <v>29821.001390928101</v>
      </c>
      <c r="F122" s="156">
        <f t="shared" si="37"/>
        <v>51121.716670162452</v>
      </c>
      <c r="G122" s="547">
        <f t="shared" si="22"/>
        <v>213007.15279234358</v>
      </c>
      <c r="H122" s="547">
        <f t="shared" si="23"/>
        <v>298210.013909281</v>
      </c>
      <c r="I122" s="156">
        <f t="shared" si="38"/>
        <v>511217.16670162458</v>
      </c>
      <c r="J122" s="547">
        <f t="shared" si="24"/>
        <v>54529.831114839952</v>
      </c>
      <c r="K122" s="547">
        <f t="shared" si="25"/>
        <v>109059.6622296799</v>
      </c>
      <c r="L122" s="156">
        <f t="shared" si="39"/>
        <v>163589.49334451987</v>
      </c>
      <c r="M122" s="156">
        <f t="shared" si="40"/>
        <v>674806.66004614439</v>
      </c>
      <c r="N122" s="547">
        <f t="shared" si="26"/>
        <v>14458.742819079744</v>
      </c>
      <c r="O122" s="547">
        <f t="shared" si="27"/>
        <v>20242.239946711641</v>
      </c>
      <c r="P122" s="156">
        <f t="shared" si="41"/>
        <v>34700.982765791385</v>
      </c>
      <c r="Q122" s="547">
        <f t="shared" si="28"/>
        <v>3364.9437833494671</v>
      </c>
      <c r="R122" s="547">
        <f t="shared" si="29"/>
        <v>6729.8875666989343</v>
      </c>
      <c r="S122" s="156">
        <f t="shared" si="42"/>
        <v>10094.831350048402</v>
      </c>
      <c r="T122" s="156">
        <f t="shared" si="43"/>
        <v>44795.814115839785</v>
      </c>
      <c r="U122" s="156">
        <f t="shared" si="30"/>
        <v>770724.19083214668</v>
      </c>
      <c r="V122" s="604">
        <f t="shared" si="31"/>
        <v>71</v>
      </c>
      <c r="W122" s="547">
        <f t="shared" si="32"/>
        <v>10855.270293410516</v>
      </c>
      <c r="X122" s="535"/>
      <c r="Y122" s="546">
        <f t="shared" si="33"/>
        <v>550000</v>
      </c>
      <c r="Z122" s="547">
        <f t="shared" si="34"/>
        <v>160000</v>
      </c>
      <c r="AA122" s="547">
        <f t="shared" si="44"/>
        <v>710000</v>
      </c>
      <c r="AB122" s="547">
        <v>1288576.8612488606</v>
      </c>
      <c r="AC122" s="547">
        <f t="shared" si="45"/>
        <v>578576.8612488606</v>
      </c>
      <c r="AD122" s="547">
        <f t="shared" si="46"/>
        <v>186747.22634206183</v>
      </c>
      <c r="AE122" s="547">
        <f t="shared" si="47"/>
        <v>261446.11687888653</v>
      </c>
      <c r="AF122" s="547">
        <f t="shared" si="48"/>
        <v>448193.34322094836</v>
      </c>
      <c r="AG122" s="547">
        <f t="shared" si="35"/>
        <v>43461.172675970745</v>
      </c>
      <c r="AH122" s="547">
        <f t="shared" si="36"/>
        <v>86922.345351941491</v>
      </c>
      <c r="AI122" s="547">
        <f t="shared" si="49"/>
        <v>130383.51802791224</v>
      </c>
      <c r="AJ122" s="547">
        <f t="shared" si="50"/>
        <v>578576.8612488606</v>
      </c>
      <c r="AK122" s="605"/>
      <c r="AL122" s="547">
        <f t="shared" si="51"/>
        <v>1288576.8612488606</v>
      </c>
      <c r="AM122" s="550" t="s">
        <v>402</v>
      </c>
      <c r="AN122" s="550"/>
    </row>
    <row r="123" spans="1:40" ht="13" x14ac:dyDescent="0.3">
      <c r="A123" s="544">
        <v>9257021</v>
      </c>
      <c r="B123" s="545" t="s">
        <v>78</v>
      </c>
      <c r="C123" s="590">
        <v>4</v>
      </c>
      <c r="D123" s="547">
        <f t="shared" si="20"/>
        <v>0</v>
      </c>
      <c r="E123" s="547">
        <f t="shared" si="21"/>
        <v>0</v>
      </c>
      <c r="F123" s="156">
        <f t="shared" si="37"/>
        <v>0</v>
      </c>
      <c r="G123" s="547">
        <f t="shared" si="22"/>
        <v>431835.01619482733</v>
      </c>
      <c r="H123" s="547">
        <f t="shared" si="23"/>
        <v>604569.02267275832</v>
      </c>
      <c r="I123" s="156">
        <f t="shared" si="38"/>
        <v>1036404.0388675856</v>
      </c>
      <c r="J123" s="547">
        <f t="shared" si="24"/>
        <v>0</v>
      </c>
      <c r="K123" s="547">
        <f t="shared" si="25"/>
        <v>0</v>
      </c>
      <c r="L123" s="156">
        <f t="shared" si="39"/>
        <v>0</v>
      </c>
      <c r="M123" s="156">
        <f t="shared" si="40"/>
        <v>1036404.0388675856</v>
      </c>
      <c r="N123" s="547">
        <f t="shared" si="26"/>
        <v>21804.093449093518</v>
      </c>
      <c r="O123" s="547">
        <f t="shared" si="27"/>
        <v>30525.730828730924</v>
      </c>
      <c r="P123" s="156">
        <f t="shared" si="41"/>
        <v>52329.824277824446</v>
      </c>
      <c r="Q123" s="547">
        <f t="shared" si="28"/>
        <v>0</v>
      </c>
      <c r="R123" s="547">
        <f t="shared" si="29"/>
        <v>0</v>
      </c>
      <c r="S123" s="156">
        <f t="shared" si="42"/>
        <v>0</v>
      </c>
      <c r="T123" s="156">
        <f t="shared" si="43"/>
        <v>52329.824277824446</v>
      </c>
      <c r="U123" s="156">
        <f t="shared" si="30"/>
        <v>1088733.8631454101</v>
      </c>
      <c r="V123" s="604">
        <f t="shared" si="31"/>
        <v>141</v>
      </c>
      <c r="W123" s="547">
        <f t="shared" si="32"/>
        <v>7721.5167598965254</v>
      </c>
      <c r="X123" s="535"/>
      <c r="Y123" s="546">
        <f t="shared" si="33"/>
        <v>1410000</v>
      </c>
      <c r="Z123" s="547">
        <f t="shared" si="34"/>
        <v>0</v>
      </c>
      <c r="AA123" s="547">
        <f t="shared" si="44"/>
        <v>1410000</v>
      </c>
      <c r="AB123" s="547">
        <v>1625765.1266752363</v>
      </c>
      <c r="AC123" s="547">
        <f t="shared" si="45"/>
        <v>215765.12667523627</v>
      </c>
      <c r="AD123" s="547">
        <f t="shared" si="46"/>
        <v>89902.13611468178</v>
      </c>
      <c r="AE123" s="547">
        <f t="shared" si="47"/>
        <v>125862.99056055451</v>
      </c>
      <c r="AF123" s="547">
        <f t="shared" si="48"/>
        <v>215765.12667523627</v>
      </c>
      <c r="AG123" s="547">
        <f t="shared" si="35"/>
        <v>0</v>
      </c>
      <c r="AH123" s="547">
        <f t="shared" si="36"/>
        <v>0</v>
      </c>
      <c r="AI123" s="547">
        <f t="shared" si="49"/>
        <v>0</v>
      </c>
      <c r="AJ123" s="547">
        <f t="shared" si="50"/>
        <v>215765.12667523627</v>
      </c>
      <c r="AK123" s="605"/>
      <c r="AL123" s="547">
        <f t="shared" si="51"/>
        <v>1625765.1266752363</v>
      </c>
      <c r="AM123" s="550" t="s">
        <v>402</v>
      </c>
      <c r="AN123" s="550"/>
    </row>
    <row r="124" spans="1:40" ht="13" x14ac:dyDescent="0.3">
      <c r="A124" s="552">
        <v>9257015</v>
      </c>
      <c r="B124" s="545" t="s">
        <v>55</v>
      </c>
      <c r="C124" s="582">
        <v>6</v>
      </c>
      <c r="D124" s="547">
        <f t="shared" si="20"/>
        <v>29875.568123471203</v>
      </c>
      <c r="E124" s="547">
        <f t="shared" si="21"/>
        <v>41825.795372859684</v>
      </c>
      <c r="F124" s="156">
        <f t="shared" si="37"/>
        <v>71701.363496330887</v>
      </c>
      <c r="G124" s="547">
        <f t="shared" si="22"/>
        <v>690125.62365218473</v>
      </c>
      <c r="H124" s="547">
        <f t="shared" si="23"/>
        <v>966175.87311305874</v>
      </c>
      <c r="I124" s="156">
        <f t="shared" si="38"/>
        <v>1656301.4967652434</v>
      </c>
      <c r="J124" s="547">
        <f t="shared" si="24"/>
        <v>45410.863547676221</v>
      </c>
      <c r="K124" s="547">
        <f t="shared" si="25"/>
        <v>90821.727095352442</v>
      </c>
      <c r="L124" s="156">
        <f t="shared" si="39"/>
        <v>136232.59064302867</v>
      </c>
      <c r="M124" s="156">
        <f t="shared" si="40"/>
        <v>1792534.0874082721</v>
      </c>
      <c r="N124" s="547">
        <f t="shared" si="26"/>
        <v>17071.143583044573</v>
      </c>
      <c r="O124" s="547">
        <f t="shared" si="27"/>
        <v>23899.601016262404</v>
      </c>
      <c r="P124" s="156">
        <f t="shared" si="41"/>
        <v>40970.744599306978</v>
      </c>
      <c r="Q124" s="547">
        <f t="shared" si="28"/>
        <v>1076.6862342833092</v>
      </c>
      <c r="R124" s="547">
        <f t="shared" si="29"/>
        <v>2153.3724685666184</v>
      </c>
      <c r="S124" s="156">
        <f t="shared" si="42"/>
        <v>3230.0587028499276</v>
      </c>
      <c r="T124" s="156">
        <f t="shared" si="43"/>
        <v>44200.803302156906</v>
      </c>
      <c r="U124" s="156">
        <f t="shared" si="30"/>
        <v>1908436.2542067599</v>
      </c>
      <c r="V124" s="604">
        <f t="shared" si="31"/>
        <v>260</v>
      </c>
      <c r="W124" s="547">
        <f t="shared" si="32"/>
        <v>7340.139439256769</v>
      </c>
      <c r="X124" s="535"/>
      <c r="Y124" s="546">
        <f t="shared" si="33"/>
        <v>2410000</v>
      </c>
      <c r="Z124" s="547">
        <f t="shared" si="34"/>
        <v>190000</v>
      </c>
      <c r="AA124" s="547">
        <f t="shared" si="44"/>
        <v>2600000</v>
      </c>
      <c r="AB124" s="547">
        <v>2665569.4777302803</v>
      </c>
      <c r="AC124" s="547">
        <f t="shared" si="45"/>
        <v>65569.477730280254</v>
      </c>
      <c r="AD124" s="547">
        <f t="shared" si="46"/>
        <v>25324.109187496026</v>
      </c>
      <c r="AE124" s="547">
        <f t="shared" si="47"/>
        <v>35453.752862494432</v>
      </c>
      <c r="AF124" s="547">
        <f t="shared" si="48"/>
        <v>60777.862049990457</v>
      </c>
      <c r="AG124" s="547">
        <f t="shared" si="35"/>
        <v>1597.2052267632346</v>
      </c>
      <c r="AH124" s="547">
        <f t="shared" si="36"/>
        <v>3194.4104535264692</v>
      </c>
      <c r="AI124" s="547">
        <f t="shared" si="49"/>
        <v>4791.615680289704</v>
      </c>
      <c r="AJ124" s="547">
        <f t="shared" si="50"/>
        <v>65569.477730280167</v>
      </c>
      <c r="AK124" s="605"/>
      <c r="AL124" s="547">
        <f t="shared" si="51"/>
        <v>2665569.4777302803</v>
      </c>
      <c r="AM124" s="550" t="s">
        <v>402</v>
      </c>
      <c r="AN124" s="550"/>
    </row>
    <row r="125" spans="1:40" ht="13" x14ac:dyDescent="0.3">
      <c r="A125" s="544">
        <v>9257016</v>
      </c>
      <c r="B125" s="545" t="s">
        <v>80</v>
      </c>
      <c r="C125" s="582">
        <v>7</v>
      </c>
      <c r="D125" s="547">
        <f t="shared" si="20"/>
        <v>0</v>
      </c>
      <c r="E125" s="547">
        <f t="shared" si="21"/>
        <v>0</v>
      </c>
      <c r="F125" s="156">
        <f t="shared" si="37"/>
        <v>0</v>
      </c>
      <c r="G125" s="547">
        <f t="shared" si="22"/>
        <v>333053.08543802291</v>
      </c>
      <c r="H125" s="547">
        <f t="shared" si="23"/>
        <v>466274.3196132321</v>
      </c>
      <c r="I125" s="156">
        <f t="shared" si="38"/>
        <v>799327.40505125502</v>
      </c>
      <c r="J125" s="547">
        <f t="shared" si="24"/>
        <v>182125.23153066565</v>
      </c>
      <c r="K125" s="547">
        <f t="shared" si="25"/>
        <v>364250.46306133131</v>
      </c>
      <c r="L125" s="156">
        <f t="shared" si="39"/>
        <v>546375.69459199696</v>
      </c>
      <c r="M125" s="156">
        <f t="shared" si="40"/>
        <v>1345703.0996432519</v>
      </c>
      <c r="N125" s="547">
        <f t="shared" si="26"/>
        <v>0</v>
      </c>
      <c r="O125" s="547">
        <f t="shared" si="27"/>
        <v>0</v>
      </c>
      <c r="P125" s="156">
        <f t="shared" si="41"/>
        <v>0</v>
      </c>
      <c r="Q125" s="547">
        <f t="shared" si="28"/>
        <v>0</v>
      </c>
      <c r="R125" s="547">
        <f t="shared" si="29"/>
        <v>0</v>
      </c>
      <c r="S125" s="156">
        <f t="shared" si="42"/>
        <v>0</v>
      </c>
      <c r="T125" s="156">
        <f t="shared" si="43"/>
        <v>0</v>
      </c>
      <c r="U125" s="156">
        <f t="shared" si="30"/>
        <v>1345703.0996432519</v>
      </c>
      <c r="V125" s="604">
        <f t="shared" si="31"/>
        <v>133</v>
      </c>
      <c r="W125" s="547">
        <f t="shared" si="32"/>
        <v>10118.068418370314</v>
      </c>
      <c r="X125" s="535"/>
      <c r="Y125" s="546">
        <f t="shared" si="33"/>
        <v>790000</v>
      </c>
      <c r="Z125" s="547">
        <f t="shared" si="34"/>
        <v>540000</v>
      </c>
      <c r="AA125" s="547">
        <f t="shared" si="44"/>
        <v>1330000</v>
      </c>
      <c r="AB125" s="547">
        <v>2208605.2930524093</v>
      </c>
      <c r="AC125" s="547">
        <f t="shared" si="45"/>
        <v>878605.29305240931</v>
      </c>
      <c r="AD125" s="547">
        <f t="shared" si="46"/>
        <v>217449.30498477549</v>
      </c>
      <c r="AE125" s="547">
        <f t="shared" si="47"/>
        <v>304429.0269786857</v>
      </c>
      <c r="AF125" s="547">
        <f t="shared" si="48"/>
        <v>521878.33196346118</v>
      </c>
      <c r="AG125" s="547">
        <f t="shared" si="35"/>
        <v>118908.98702964939</v>
      </c>
      <c r="AH125" s="547">
        <f t="shared" si="36"/>
        <v>237817.97405929878</v>
      </c>
      <c r="AI125" s="547">
        <f t="shared" si="49"/>
        <v>356726.96108894818</v>
      </c>
      <c r="AJ125" s="547">
        <f t="shared" si="50"/>
        <v>878605.29305240931</v>
      </c>
      <c r="AK125" s="605"/>
      <c r="AL125" s="547">
        <f t="shared" si="51"/>
        <v>2208605.2930524093</v>
      </c>
      <c r="AM125" s="550" t="s">
        <v>402</v>
      </c>
      <c r="AN125" s="550"/>
    </row>
    <row r="126" spans="1:40" x14ac:dyDescent="0.25">
      <c r="V126" s="606"/>
    </row>
    <row r="127" spans="1:40" ht="13" thickBot="1" x14ac:dyDescent="0.3">
      <c r="D127" s="607">
        <f>SUM(D108:D125)</f>
        <v>180753.80765112207</v>
      </c>
      <c r="E127" s="607">
        <f t="shared" ref="E127:S127" si="52">SUM(E108:E125)</f>
        <v>253055.33071157092</v>
      </c>
      <c r="F127" s="607">
        <f t="shared" si="52"/>
        <v>433809.1383626929</v>
      </c>
      <c r="G127" s="607">
        <f t="shared" si="52"/>
        <v>5137310.7910022177</v>
      </c>
      <c r="H127" s="607">
        <f t="shared" si="52"/>
        <v>7226336.8342642207</v>
      </c>
      <c r="I127" s="607">
        <f t="shared" si="52"/>
        <v>12363647.625266438</v>
      </c>
      <c r="J127" s="607">
        <f t="shared" si="52"/>
        <v>578995.6497096339</v>
      </c>
      <c r="K127" s="607">
        <f t="shared" si="52"/>
        <v>1157991.2994192678</v>
      </c>
      <c r="L127" s="607">
        <f t="shared" si="52"/>
        <v>1736986.9491289018</v>
      </c>
      <c r="M127" s="607">
        <f t="shared" si="52"/>
        <v>14100634.57439534</v>
      </c>
      <c r="N127" s="607">
        <f t="shared" si="52"/>
        <v>446477.95578299597</v>
      </c>
      <c r="O127" s="607">
        <f t="shared" si="52"/>
        <v>632754.69443959836</v>
      </c>
      <c r="P127" s="607">
        <f t="shared" si="52"/>
        <v>1079232.6502225942</v>
      </c>
      <c r="Q127" s="607">
        <f t="shared" si="52"/>
        <v>19073.433818866582</v>
      </c>
      <c r="R127" s="607">
        <f t="shared" si="52"/>
        <v>38146.867637733165</v>
      </c>
      <c r="S127" s="607">
        <f t="shared" si="52"/>
        <v>57220.301456599751</v>
      </c>
      <c r="T127" s="607">
        <f>SUM(T108:T125)</f>
        <v>1136452.9516791939</v>
      </c>
      <c r="U127" s="607">
        <f>SUM(U108:U125)</f>
        <v>15670896.664437227</v>
      </c>
      <c r="V127" s="608">
        <f>SUM(V108:V125)</f>
        <v>1653.9166666666667</v>
      </c>
      <c r="W127" s="607">
        <f>AVERAGE(W108:W125)</f>
        <v>10284.921004300575</v>
      </c>
    </row>
  </sheetData>
  <sheetProtection password="C462" sheet="1" objects="1" scenarios="1"/>
  <mergeCells count="16">
    <mergeCell ref="P4:Q4"/>
    <mergeCell ref="AL106:AL107"/>
    <mergeCell ref="D106:F106"/>
    <mergeCell ref="G106:I106"/>
    <mergeCell ref="J106:L106"/>
    <mergeCell ref="N106:P106"/>
    <mergeCell ref="Q106:S106"/>
    <mergeCell ref="U7:W10"/>
    <mergeCell ref="M70:N70"/>
    <mergeCell ref="P48:Q48"/>
    <mergeCell ref="M26:N26"/>
    <mergeCell ref="U2:W2"/>
    <mergeCell ref="U3:W3"/>
    <mergeCell ref="S1:S4"/>
    <mergeCell ref="U1:W1"/>
    <mergeCell ref="U4:W4"/>
  </mergeCells>
  <pageMargins left="0.39370078740157483" right="0.39370078740157483" top="0.98425196850393704" bottom="0.98425196850393704" header="0.51181102362204722" footer="0.51181102362204722"/>
  <pageSetup paperSize="8" scale="40" orientation="landscape" r:id="rId1"/>
  <headerFooter alignWithMargins="0">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50"/>
    <pageSetUpPr fitToPage="1"/>
  </sheetPr>
  <dimension ref="A1:AK34"/>
  <sheetViews>
    <sheetView zoomScale="85" zoomScaleNormal="100" workbookViewId="0">
      <pane xSplit="2" topLeftCell="C1" activePane="topRight" state="frozen"/>
      <selection activeCell="B1" sqref="B1"/>
      <selection pane="topRight" activeCell="E15" sqref="E15"/>
    </sheetView>
  </sheetViews>
  <sheetFormatPr defaultColWidth="10.26953125" defaultRowHeight="12.5" x14ac:dyDescent="0.25"/>
  <cols>
    <col min="1" max="1" width="10.26953125" style="34"/>
    <col min="2" max="2" width="31.54296875" style="34" customWidth="1"/>
    <col min="3" max="3" width="6.1796875" style="34" customWidth="1"/>
    <col min="4" max="7" width="15.7265625" style="41" customWidth="1"/>
    <col min="8" max="8" width="15.7265625" style="34" customWidth="1"/>
    <col min="9" max="10" width="15.7265625" style="40" customWidth="1"/>
    <col min="11" max="11" width="15.7265625" style="41" customWidth="1"/>
    <col min="12" max="12" width="17.26953125" style="34" customWidth="1"/>
    <col min="13" max="13" width="10.26953125" style="41" customWidth="1"/>
    <col min="14" max="14" width="0.81640625" style="34" customWidth="1"/>
    <col min="15" max="15" width="10.26953125" style="42" customWidth="1"/>
    <col min="16" max="16" width="11.81640625" style="41" bestFit="1" customWidth="1"/>
    <col min="17" max="17" width="10.26953125" style="41"/>
    <col min="18" max="19" width="10.26953125" style="34"/>
    <col min="20" max="21" width="9.54296875" style="41" customWidth="1"/>
    <col min="22" max="23" width="10.26953125" style="41"/>
    <col min="24" max="24" width="10.26953125" style="34"/>
    <col min="25" max="25" width="11.26953125" style="34" bestFit="1" customWidth="1"/>
    <col min="26" max="33" width="10.26953125" style="34"/>
    <col min="34" max="34" width="11.26953125" style="34" bestFit="1" customWidth="1"/>
    <col min="35" max="16384" width="10.26953125" style="34"/>
  </cols>
  <sheetData>
    <row r="1" spans="1:37" ht="17.5" x14ac:dyDescent="0.35">
      <c r="B1" s="44" t="s">
        <v>313</v>
      </c>
      <c r="C1" s="33"/>
      <c r="O1" s="80"/>
    </row>
    <row r="2" spans="1:37" x14ac:dyDescent="0.25">
      <c r="B2" s="47"/>
      <c r="C2" s="47"/>
      <c r="M2" s="76"/>
      <c r="X2" s="1954" t="s">
        <v>333</v>
      </c>
      <c r="Y2" s="1954"/>
      <c r="Z2" s="1954"/>
    </row>
    <row r="3" spans="1:37" ht="39" customHeight="1" x14ac:dyDescent="0.3">
      <c r="A3" s="184" t="s">
        <v>201</v>
      </c>
      <c r="B3" s="36" t="s">
        <v>66</v>
      </c>
      <c r="C3" s="39" t="s">
        <v>51</v>
      </c>
      <c r="D3" s="140" t="s">
        <v>20</v>
      </c>
      <c r="E3" s="141" t="s">
        <v>21</v>
      </c>
      <c r="F3" s="37" t="s">
        <v>64</v>
      </c>
      <c r="G3" s="37" t="s">
        <v>113</v>
      </c>
      <c r="H3" s="37" t="s">
        <v>102</v>
      </c>
      <c r="I3" s="157" t="s">
        <v>173</v>
      </c>
      <c r="J3" s="157" t="s">
        <v>194</v>
      </c>
      <c r="K3" s="37" t="s">
        <v>103</v>
      </c>
      <c r="L3" s="65" t="s">
        <v>297</v>
      </c>
      <c r="M3" s="65" t="s">
        <v>301</v>
      </c>
      <c r="O3" s="65" t="s">
        <v>152</v>
      </c>
      <c r="P3" s="150" t="s">
        <v>151</v>
      </c>
      <c r="Q3" s="150" t="s">
        <v>310</v>
      </c>
      <c r="R3" s="150" t="s">
        <v>311</v>
      </c>
      <c r="S3" s="150" t="s">
        <v>308</v>
      </c>
      <c r="T3" s="65" t="s">
        <v>238</v>
      </c>
      <c r="U3" s="65" t="s">
        <v>312</v>
      </c>
      <c r="V3" s="65" t="s">
        <v>309</v>
      </c>
      <c r="W3" s="241" t="s">
        <v>196</v>
      </c>
      <c r="X3" s="65" t="s">
        <v>328</v>
      </c>
      <c r="Y3" s="65" t="s">
        <v>330</v>
      </c>
      <c r="Z3" s="241" t="s">
        <v>331</v>
      </c>
      <c r="AA3" s="65" t="s">
        <v>335</v>
      </c>
      <c r="AB3" s="65" t="s">
        <v>343</v>
      </c>
      <c r="AC3" s="65" t="s">
        <v>348</v>
      </c>
      <c r="AD3" s="65" t="s">
        <v>342</v>
      </c>
      <c r="AE3" s="65" t="s">
        <v>344</v>
      </c>
      <c r="AF3" s="65" t="s">
        <v>349</v>
      </c>
      <c r="AG3" s="241" t="s">
        <v>345</v>
      </c>
      <c r="AH3" s="65" t="s">
        <v>346</v>
      </c>
      <c r="AI3" s="251" t="s">
        <v>302</v>
      </c>
      <c r="AJ3" s="251" t="s">
        <v>303</v>
      </c>
      <c r="AK3" s="251" t="s">
        <v>304</v>
      </c>
    </row>
    <row r="4" spans="1:37" ht="13" x14ac:dyDescent="0.3">
      <c r="A4" s="185">
        <v>9257010</v>
      </c>
      <c r="B4" s="38" t="s">
        <v>67</v>
      </c>
      <c r="C4" s="236">
        <v>3</v>
      </c>
      <c r="D4" s="94">
        <f>'Funding Model'!$D$22</f>
        <v>314686.51772419503</v>
      </c>
      <c r="E4" s="94">
        <f>'Funding Model'!$E$22</f>
        <v>69201.680689977453</v>
      </c>
      <c r="F4" s="64"/>
      <c r="G4" s="64"/>
      <c r="H4" s="64">
        <f>VLOOKUP(A4,'Band Calculations 1415'!A106:L124,10,FALSE)</f>
        <v>437110.40150755062</v>
      </c>
      <c r="I4" s="94">
        <v>4018.5</v>
      </c>
      <c r="J4" s="94">
        <v>616.77824313180849</v>
      </c>
      <c r="K4" s="64">
        <f t="shared" ref="K4:K15" si="0">SUM(D4:J4)</f>
        <v>825633.87816485495</v>
      </c>
      <c r="L4" s="64">
        <f t="shared" ref="L4:L15" si="1">K4-F4</f>
        <v>825633.87816485495</v>
      </c>
      <c r="M4" s="137">
        <f>VLOOKUP(A4,'Band Calculations 1415'!$A$106:$L$124,12,FALSE)</f>
        <v>43.75</v>
      </c>
      <c r="O4" s="150">
        <f>L4/M4</f>
        <v>18871.631500910971</v>
      </c>
      <c r="P4" s="150">
        <f>M4*10000</f>
        <v>437500</v>
      </c>
      <c r="Q4" s="150">
        <f>O4-10000</f>
        <v>8871.6315009109712</v>
      </c>
      <c r="R4" s="94">
        <f>VLOOKUP(A4,'2013-14 Funding (4)'!$1:$1048576,31,FALSE)</f>
        <v>8721.7581913268041</v>
      </c>
      <c r="S4" s="94">
        <f>IF(Q4&gt;R4,(Q4),(R4))</f>
        <v>8871.6315009109712</v>
      </c>
      <c r="T4" s="64">
        <f>10000+S4</f>
        <v>18871.631500910971</v>
      </c>
      <c r="U4" s="64">
        <f>T4-11164</f>
        <v>7707.6315009109712</v>
      </c>
      <c r="V4" s="64">
        <f t="shared" ref="V4:V10" si="2">(S4-Q4)*M4</f>
        <v>0</v>
      </c>
      <c r="W4" s="156">
        <f>L4+V4</f>
        <v>825633.87816485495</v>
      </c>
      <c r="X4" s="64">
        <f>VLOOKUP(A4,'Band Calculations 1415'!$A$106:$O$124,13,FALSE)</f>
        <v>344166.66666666669</v>
      </c>
      <c r="Y4" s="64">
        <f>VLOOKUP(A4,'Band Calculations 1415'!$A$106:$O$124,14,FALSE)</f>
        <v>96437.333333333314</v>
      </c>
      <c r="Z4" s="156">
        <f>VLOOKUP(A4,'Band Calculations 1415'!$A$106:$O$124,15,FALSE)</f>
        <v>440604</v>
      </c>
      <c r="AA4" s="64">
        <f>VLOOKUP(A4,'Band Calculations 1415'!$A$106:$U$124,18,FALSE)</f>
        <v>129377.959388285</v>
      </c>
      <c r="AB4" s="64">
        <f>VLOOKUP(A4,'Band Calculations 1415'!$A$106:$U$124,19,FALSE)</f>
        <v>175954.02476806761</v>
      </c>
      <c r="AC4" s="64">
        <f>SUM(AA4:AB4)</f>
        <v>305331.98415635258</v>
      </c>
      <c r="AD4" s="64">
        <f>VLOOKUP(A4,'Band Calculations 1415'!$A$106:$U$124,20,FALSE)</f>
        <v>20553.684002429258</v>
      </c>
      <c r="AE4" s="64">
        <f>VLOOKUP(A4,'Band Calculations 1415'!$A$106:$U$124,21,FALSE)</f>
        <v>59144.210006073146</v>
      </c>
      <c r="AF4" s="64">
        <f>SUM(AD4:AE4)</f>
        <v>79697.894008502408</v>
      </c>
      <c r="AG4" s="156">
        <f>AC4+AF4</f>
        <v>385029.87816485501</v>
      </c>
      <c r="AH4" s="64">
        <f t="shared" ref="AH4:AH15" si="3">Z4+AG4</f>
        <v>825633.87816485506</v>
      </c>
      <c r="AI4" s="64">
        <f>AH4*98.5%</f>
        <v>813249.36999238224</v>
      </c>
      <c r="AJ4" s="64">
        <f>AI4/M4</f>
        <v>18588.55702839731</v>
      </c>
      <c r="AK4" s="64">
        <f>AJ4-10000</f>
        <v>8588.5570283973102</v>
      </c>
    </row>
    <row r="5" spans="1:37" ht="13" x14ac:dyDescent="0.3">
      <c r="A5" s="185">
        <v>9257005</v>
      </c>
      <c r="B5" s="38" t="s">
        <v>68</v>
      </c>
      <c r="C5" s="244">
        <v>4</v>
      </c>
      <c r="D5" s="158">
        <f>'Funding Model'!D23</f>
        <v>405763.82046267512</v>
      </c>
      <c r="E5" s="158">
        <f>'Funding Model'!E23</f>
        <v>88790.687513148558</v>
      </c>
      <c r="F5" s="64"/>
      <c r="G5" s="64"/>
      <c r="H5" s="64">
        <f>VLOOKUP(A5,'Band Calculations 1415'!A107:L125,10,FALSE)</f>
        <v>696241.32800311828</v>
      </c>
      <c r="I5" s="293">
        <v>11163</v>
      </c>
      <c r="J5" s="94">
        <v>675.74486784427756</v>
      </c>
      <c r="K5" s="64">
        <f t="shared" si="0"/>
        <v>1202634.5808467863</v>
      </c>
      <c r="L5" s="64">
        <f t="shared" si="1"/>
        <v>1202634.5808467863</v>
      </c>
      <c r="M5" s="137">
        <f>VLOOKUP(A5,'Band Calculations 1415'!$A$106:$L$124,12,FALSE)</f>
        <v>71.5</v>
      </c>
      <c r="O5" s="150">
        <f t="shared" ref="O5:O23" si="4">L5/M5</f>
        <v>16820.064067787222</v>
      </c>
      <c r="P5" s="150">
        <f t="shared" ref="P5:P23" si="5">M5*10000</f>
        <v>715000</v>
      </c>
      <c r="Q5" s="150">
        <f t="shared" ref="Q5:Q23" si="6">O5-10000</f>
        <v>6820.0640677872216</v>
      </c>
      <c r="R5" s="94">
        <f>VLOOKUP(A5,'2013-14 Funding (4)'!$1:$1048576,31,FALSE)</f>
        <v>5052.3683494301767</v>
      </c>
      <c r="S5" s="64">
        <f>IF(Q5&gt;R5,(Q5),(R5))</f>
        <v>6820.0640677872216</v>
      </c>
      <c r="T5" s="64">
        <f t="shared" ref="T5:T23" si="7">10000+S5</f>
        <v>16820.064067787222</v>
      </c>
      <c r="U5" s="64">
        <f t="shared" ref="U5:U23" si="8">T5-11164</f>
        <v>5656.0640677872216</v>
      </c>
      <c r="V5" s="64">
        <f t="shared" si="2"/>
        <v>0</v>
      </c>
      <c r="W5" s="156">
        <f t="shared" ref="W5:W23" si="9">L5+V5</f>
        <v>1202634.5808467863</v>
      </c>
      <c r="X5" s="64">
        <f>VLOOKUP(A5,'Band Calculations 1415'!$A$106:$O$124,13,FALSE)</f>
        <v>438333.33333333337</v>
      </c>
      <c r="Y5" s="64">
        <f>VLOOKUP(A5,'Band Calculations 1415'!$A$106:$O$124,14,FALSE)</f>
        <v>286366.66666666663</v>
      </c>
      <c r="Z5" s="156">
        <f>VLOOKUP(A5,'Band Calculations 1415'!$A$106:$O$124,15,FALSE)</f>
        <v>724700</v>
      </c>
      <c r="AA5" s="64">
        <f>VLOOKUP(A5,'Band Calculations 1415'!$A$106:$U$124,18,FALSE)</f>
        <v>107984.34773996435</v>
      </c>
      <c r="AB5" s="64">
        <f>VLOOKUP(A5,'Band Calculations 1415'!$A$106:$U$124,19,FALSE)</f>
        <v>190961.7938980422</v>
      </c>
      <c r="AC5" s="64">
        <f t="shared" ref="AC5:AC23" si="10">SUM(AA5:AB5)</f>
        <v>298946.14163800655</v>
      </c>
      <c r="AD5" s="64">
        <f>VLOOKUP(A5,'Band Calculations 1415'!$A$106:$U$124,20,FALSE)</f>
        <v>47133.86723156018</v>
      </c>
      <c r="AE5" s="64">
        <f>VLOOKUP(A5,'Band Calculations 1415'!$A$106:$U$124,21,FALSE)</f>
        <v>131854.5719772196</v>
      </c>
      <c r="AF5" s="64">
        <f t="shared" ref="AF5:AF23" si="11">SUM(AD5:AE5)</f>
        <v>178988.43920877978</v>
      </c>
      <c r="AG5" s="156">
        <f t="shared" ref="AG5:AG23" si="12">AC5+AF5</f>
        <v>477934.58084678632</v>
      </c>
      <c r="AH5" s="64">
        <f t="shared" si="3"/>
        <v>1202634.5808467863</v>
      </c>
      <c r="AI5" s="64">
        <f t="shared" ref="AI5:AI23" si="13">AH5*98.5%</f>
        <v>1184595.0621340845</v>
      </c>
      <c r="AJ5" s="64">
        <f t="shared" ref="AJ5:AJ23" si="14">AI5/M5</f>
        <v>16567.763106770413</v>
      </c>
      <c r="AK5" s="64">
        <f t="shared" ref="AK5:AK23" si="15">AJ5-10000</f>
        <v>6567.7631067704133</v>
      </c>
    </row>
    <row r="6" spans="1:37" ht="13" x14ac:dyDescent="0.3">
      <c r="A6" s="185">
        <v>9257025</v>
      </c>
      <c r="B6" s="38" t="s">
        <v>69</v>
      </c>
      <c r="C6" s="244">
        <v>4</v>
      </c>
      <c r="D6" s="158">
        <f>'Funding Model'!D23</f>
        <v>405763.82046267512</v>
      </c>
      <c r="E6" s="158">
        <f>'Funding Model'!E23</f>
        <v>88790.687513148558</v>
      </c>
      <c r="F6" s="64"/>
      <c r="G6" s="64"/>
      <c r="H6" s="64">
        <f>VLOOKUP(A6,'Band Calculations 1415'!A108:L126,10,FALSE)</f>
        <v>631326.58477469324</v>
      </c>
      <c r="I6" s="94">
        <v>6251</v>
      </c>
      <c r="J6" s="94">
        <v>646.26155548804309</v>
      </c>
      <c r="K6" s="64">
        <f t="shared" si="0"/>
        <v>1132778.3543060049</v>
      </c>
      <c r="L6" s="64">
        <f t="shared" si="1"/>
        <v>1132778.3543060049</v>
      </c>
      <c r="M6" s="137">
        <f>VLOOKUP(A6,'Band Calculations 1415'!$A$106:$L$124,12,FALSE)</f>
        <v>62.333333333333329</v>
      </c>
      <c r="O6" s="150">
        <f t="shared" si="4"/>
        <v>18172.914774962646</v>
      </c>
      <c r="P6" s="150">
        <f t="shared" si="5"/>
        <v>623333.33333333326</v>
      </c>
      <c r="Q6" s="150">
        <f t="shared" si="6"/>
        <v>8172.9147749626463</v>
      </c>
      <c r="R6" s="218">
        <f>VLOOKUP(A6,'2013-14 Funding (4)'!$1:$1048576,31,FALSE)</f>
        <v>8977.6597916040373</v>
      </c>
      <c r="S6" s="64">
        <f t="shared" ref="S6:S23" si="16">IF(Q6&gt;R6,(Q6),(R6))</f>
        <v>8977.6597916040373</v>
      </c>
      <c r="T6" s="64">
        <f t="shared" si="7"/>
        <v>18977.659791604037</v>
      </c>
      <c r="U6" s="64">
        <f t="shared" si="8"/>
        <v>7813.6597916040373</v>
      </c>
      <c r="V6" s="64">
        <f t="shared" si="2"/>
        <v>50162.439370646702</v>
      </c>
      <c r="W6" s="156">
        <f t="shared" si="9"/>
        <v>1182940.7936766515</v>
      </c>
      <c r="X6" s="64">
        <f>VLOOKUP(A6,'Band Calculations 1415'!$A$106:$O$124,13,FALSE)</f>
        <v>490000.00000000006</v>
      </c>
      <c r="Y6" s="64">
        <f>VLOOKUP(A6,'Band Calculations 1415'!$A$106:$O$124,14,FALSE)</f>
        <v>138765.33333333331</v>
      </c>
      <c r="Z6" s="156">
        <f>VLOOKUP(A6,'Band Calculations 1415'!$A$106:$O$124,15,FALSE)</f>
        <v>628765.33333333337</v>
      </c>
      <c r="AA6" s="64">
        <f>VLOOKUP(A6,'Band Calculations 1415'!$A$106:$U$124,18,FALSE)</f>
        <v>183293.88741191576</v>
      </c>
      <c r="AB6" s="64">
        <f>VLOOKUP(A6,'Band Calculations 1415'!$A$106:$U$124,19,FALSE)</f>
        <v>256611.44237668207</v>
      </c>
      <c r="AC6" s="64">
        <f t="shared" si="10"/>
        <v>439905.32978859782</v>
      </c>
      <c r="AD6" s="64">
        <f>VLOOKUP(A6,'Band Calculations 1415'!$A$106:$U$124,20,FALSE)</f>
        <v>36463.745694152174</v>
      </c>
      <c r="AE6" s="64">
        <f>VLOOKUP(A6,'Band Calculations 1415'!$A$106:$U$124,21,FALSE)</f>
        <v>77806.384860568331</v>
      </c>
      <c r="AF6" s="64">
        <f t="shared" si="11"/>
        <v>114270.1305547205</v>
      </c>
      <c r="AG6" s="156">
        <f t="shared" si="12"/>
        <v>554175.46034331829</v>
      </c>
      <c r="AH6" s="64">
        <f t="shared" si="3"/>
        <v>1182940.7936766515</v>
      </c>
      <c r="AI6" s="64">
        <f t="shared" si="13"/>
        <v>1165196.6817715017</v>
      </c>
      <c r="AJ6" s="64">
        <f t="shared" si="14"/>
        <v>18692.994894729974</v>
      </c>
      <c r="AK6" s="64">
        <f t="shared" si="15"/>
        <v>8692.9948947299745</v>
      </c>
    </row>
    <row r="7" spans="1:37" ht="13" x14ac:dyDescent="0.3">
      <c r="A7" s="185">
        <v>9257011</v>
      </c>
      <c r="B7" s="38" t="s">
        <v>70</v>
      </c>
      <c r="C7" s="236">
        <v>3</v>
      </c>
      <c r="D7" s="94">
        <f>'Funding Model'!$D$22</f>
        <v>314686.51772419503</v>
      </c>
      <c r="E7" s="94">
        <f>'Funding Model'!$E$22</f>
        <v>69201.680689977453</v>
      </c>
      <c r="F7" s="64"/>
      <c r="G7" s="64"/>
      <c r="H7" s="64">
        <f>VLOOKUP(A7,'Band Calculations 1415'!A109:L127,10,FALSE)</f>
        <v>445831.8265701473</v>
      </c>
      <c r="I7" s="94">
        <v>4019</v>
      </c>
      <c r="J7" s="94">
        <v>610.88158066056155</v>
      </c>
      <c r="K7" s="64">
        <f t="shared" si="0"/>
        <v>834349.9065649804</v>
      </c>
      <c r="L7" s="64">
        <f t="shared" si="1"/>
        <v>834349.9065649804</v>
      </c>
      <c r="M7" s="137">
        <f>VLOOKUP(A7,'Band Calculations 1415'!$A$106:$L$124,12,FALSE)</f>
        <v>43.416666666666664</v>
      </c>
      <c r="O7" s="150">
        <f>L7/M7</f>
        <v>19217.272320114713</v>
      </c>
      <c r="P7" s="150">
        <f t="shared" si="5"/>
        <v>434166.66666666663</v>
      </c>
      <c r="Q7" s="150">
        <f t="shared" si="6"/>
        <v>9217.2723201147128</v>
      </c>
      <c r="R7" s="218">
        <f>VLOOKUP(A7,'2013-14 Funding (4)'!$1:$1048576,31,FALSE)</f>
        <v>9718.0388217281361</v>
      </c>
      <c r="S7" s="64">
        <f t="shared" si="16"/>
        <v>9718.0388217281361</v>
      </c>
      <c r="T7" s="64">
        <f t="shared" si="7"/>
        <v>19718.038821728136</v>
      </c>
      <c r="U7" s="64">
        <f t="shared" si="8"/>
        <v>8554.0388217281361</v>
      </c>
      <c r="V7" s="64">
        <f t="shared" si="2"/>
        <v>21741.612278382796</v>
      </c>
      <c r="W7" s="156">
        <f t="shared" si="9"/>
        <v>856091.51884336316</v>
      </c>
      <c r="X7" s="64">
        <f>VLOOKUP(A7,'Band Calculations 1415'!$A$106:$O$124,13,FALSE)</f>
        <v>407500</v>
      </c>
      <c r="Y7" s="64">
        <f>VLOOKUP(A7,'Band Calculations 1415'!$A$106:$O$124,14,FALSE)</f>
        <v>27442.666666666664</v>
      </c>
      <c r="Z7" s="156">
        <f>VLOOKUP(A7,'Band Calculations 1415'!$A$106:$O$124,15,FALSE)</f>
        <v>434942.66666666669</v>
      </c>
      <c r="AA7" s="64">
        <f>VLOOKUP(A7,'Band Calculations 1415'!$A$106:$U$124,18,FALSE)</f>
        <v>157918.13085308223</v>
      </c>
      <c r="AB7" s="64">
        <f>VLOOKUP(A7,'Band Calculations 1415'!$A$106:$U$124,19,FALSE)</f>
        <v>238091.95113233931</v>
      </c>
      <c r="AC7" s="64">
        <f t="shared" si="10"/>
        <v>396010.08198542154</v>
      </c>
      <c r="AD7" s="64">
        <f>VLOOKUP(A7,'Band Calculations 1415'!$A$106:$U$124,20,FALSE)</f>
        <v>5702.6925478187577</v>
      </c>
      <c r="AE7" s="64">
        <f>VLOOKUP(A7,'Band Calculations 1415'!$A$106:$U$124,21,FALSE)</f>
        <v>19436.077643456272</v>
      </c>
      <c r="AF7" s="64">
        <f t="shared" si="11"/>
        <v>25138.770191275031</v>
      </c>
      <c r="AG7" s="156">
        <f t="shared" si="12"/>
        <v>421148.85217669659</v>
      </c>
      <c r="AH7" s="64">
        <f t="shared" si="3"/>
        <v>856091.51884336327</v>
      </c>
      <c r="AI7" s="64">
        <f t="shared" si="13"/>
        <v>843250.14606071287</v>
      </c>
      <c r="AJ7" s="64">
        <f t="shared" si="14"/>
        <v>19422.268239402216</v>
      </c>
      <c r="AK7" s="64">
        <f t="shared" si="15"/>
        <v>9422.2682394022158</v>
      </c>
    </row>
    <row r="8" spans="1:37" ht="13" x14ac:dyDescent="0.3">
      <c r="A8" s="185">
        <v>9257024</v>
      </c>
      <c r="B8" s="38" t="s">
        <v>71</v>
      </c>
      <c r="C8" s="39">
        <v>3</v>
      </c>
      <c r="D8" s="94">
        <f>'Funding Model'!$D$22</f>
        <v>314686.51772419503</v>
      </c>
      <c r="E8" s="94">
        <f>'Funding Model'!$E$22</f>
        <v>69201.680689977453</v>
      </c>
      <c r="F8" s="64"/>
      <c r="G8" s="64"/>
      <c r="H8" s="64">
        <f>VLOOKUP(A8,'Band Calculations 1415'!A110:L128,10,FALSE)</f>
        <v>492340.84343833104</v>
      </c>
      <c r="I8" s="94">
        <v>8484</v>
      </c>
      <c r="J8" s="94">
        <v>628.57156807430238</v>
      </c>
      <c r="K8" s="64">
        <f t="shared" si="0"/>
        <v>885341.61342057784</v>
      </c>
      <c r="L8" s="64">
        <f t="shared" si="1"/>
        <v>885341.61342057784</v>
      </c>
      <c r="M8" s="137">
        <f>VLOOKUP(A8,'Band Calculations 1415'!$A$106:$L$124,12,FALSE)</f>
        <v>53</v>
      </c>
      <c r="O8" s="150">
        <f t="shared" si="4"/>
        <v>16704.558743784488</v>
      </c>
      <c r="P8" s="150">
        <f t="shared" si="5"/>
        <v>530000</v>
      </c>
      <c r="Q8" s="150">
        <f t="shared" si="6"/>
        <v>6704.5587437844879</v>
      </c>
      <c r="R8" s="218">
        <f>VLOOKUP(A8,'2013-14 Funding (4)'!$1:$1048576,31,FALSE)</f>
        <v>6903.4972594331593</v>
      </c>
      <c r="S8" s="64">
        <f t="shared" si="16"/>
        <v>6903.4972594331593</v>
      </c>
      <c r="T8" s="64">
        <f t="shared" si="7"/>
        <v>16903.497259433159</v>
      </c>
      <c r="U8" s="64">
        <f t="shared" si="8"/>
        <v>5739.4972594331593</v>
      </c>
      <c r="V8" s="64">
        <f t="shared" si="2"/>
        <v>10543.741329379587</v>
      </c>
      <c r="W8" s="156">
        <f t="shared" si="9"/>
        <v>895885.35474995745</v>
      </c>
      <c r="X8" s="64">
        <f>VLOOKUP(A8,'Band Calculations 1415'!$A$106:$O$124,13,FALSE)</f>
        <v>406666.66666666669</v>
      </c>
      <c r="Y8" s="64">
        <f>VLOOKUP(A8,'Band Calculations 1415'!$A$106:$O$124,14,FALSE)</f>
        <v>127601.33333333331</v>
      </c>
      <c r="Z8" s="156">
        <f>VLOOKUP(A8,'Band Calculations 1415'!$A$106:$O$124,15,FALSE)</f>
        <v>534268</v>
      </c>
      <c r="AA8" s="64">
        <f>VLOOKUP(A8,'Band Calculations 1415'!$A$106:$U$124,18,FALSE)</f>
        <v>103552.4588914974</v>
      </c>
      <c r="AB8" s="64">
        <f>VLOOKUP(A8,'Band Calculations 1415'!$A$106:$U$124,19,FALSE)</f>
        <v>177189.76299211773</v>
      </c>
      <c r="AC8" s="64">
        <f t="shared" si="10"/>
        <v>280742.22188361513</v>
      </c>
      <c r="AD8" s="64">
        <f>VLOOKUP(A8,'Band Calculations 1415'!$A$106:$U$124,20,FALSE)</f>
        <v>21044.823284588248</v>
      </c>
      <c r="AE8" s="64">
        <f>VLOOKUP(A8,'Band Calculations 1415'!$A$106:$U$124,21,FALSE)</f>
        <v>59830.309581754052</v>
      </c>
      <c r="AF8" s="64">
        <f t="shared" si="11"/>
        <v>80875.132866342305</v>
      </c>
      <c r="AG8" s="156">
        <f t="shared" si="12"/>
        <v>361617.35474995745</v>
      </c>
      <c r="AH8" s="64">
        <f t="shared" si="3"/>
        <v>895885.35474995745</v>
      </c>
      <c r="AI8" s="64">
        <f t="shared" si="13"/>
        <v>882447.07442870806</v>
      </c>
      <c r="AJ8" s="64">
        <f t="shared" si="14"/>
        <v>16649.94480054166</v>
      </c>
      <c r="AK8" s="64">
        <f t="shared" si="15"/>
        <v>6649.9448005416598</v>
      </c>
    </row>
    <row r="9" spans="1:37" ht="13" x14ac:dyDescent="0.3">
      <c r="A9" s="185">
        <v>9257008</v>
      </c>
      <c r="B9" s="38" t="s">
        <v>73</v>
      </c>
      <c r="C9" s="236">
        <v>3</v>
      </c>
      <c r="D9" s="94">
        <f>'Funding Model'!D22</f>
        <v>314686.51772419503</v>
      </c>
      <c r="E9" s="94">
        <f>'Funding Model'!E22</f>
        <v>69201.680689977453</v>
      </c>
      <c r="F9" s="64"/>
      <c r="G9" s="64"/>
      <c r="H9" s="64">
        <f>VLOOKUP(A9,'Band Calculations 1415'!A111:L129,10,FALSE)</f>
        <v>765221.83416529116</v>
      </c>
      <c r="I9" s="94">
        <v>9823</v>
      </c>
      <c r="J9" s="94">
        <v>737.65982379237016</v>
      </c>
      <c r="K9" s="64">
        <f t="shared" si="0"/>
        <v>1159670.692403256</v>
      </c>
      <c r="L9" s="64">
        <f t="shared" si="1"/>
        <v>1159670.692403256</v>
      </c>
      <c r="M9" s="137">
        <f>VLOOKUP(A9,'Band Calculations 1415'!$A$106:$L$124,12,FALSE)</f>
        <v>87.5</v>
      </c>
      <c r="O9" s="150">
        <f t="shared" si="4"/>
        <v>13253.379341751497</v>
      </c>
      <c r="P9" s="150">
        <f t="shared" si="5"/>
        <v>875000</v>
      </c>
      <c r="Q9" s="150">
        <f t="shared" si="6"/>
        <v>3253.3793417514971</v>
      </c>
      <c r="R9" s="218">
        <f>VLOOKUP(A9,'2013-14 Funding (4)'!$1:$1048576,31,FALSE)</f>
        <v>3836.1401036067673</v>
      </c>
      <c r="S9" s="64">
        <f t="shared" si="16"/>
        <v>3836.1401036067673</v>
      </c>
      <c r="T9" s="64">
        <f t="shared" si="7"/>
        <v>13836.140103606767</v>
      </c>
      <c r="U9" s="64">
        <f t="shared" si="8"/>
        <v>2672.1401036067673</v>
      </c>
      <c r="V9" s="64">
        <f t="shared" si="2"/>
        <v>50991.566662336139</v>
      </c>
      <c r="W9" s="156">
        <f t="shared" si="9"/>
        <v>1210662.2590655922</v>
      </c>
      <c r="X9" s="64">
        <f>VLOOKUP(A9,'Band Calculations 1415'!$A$106:$O$124,13,FALSE)</f>
        <v>875000</v>
      </c>
      <c r="Y9" s="64">
        <f>VLOOKUP(A9,'Band Calculations 1415'!$A$106:$O$124,14,FALSE)</f>
        <v>0</v>
      </c>
      <c r="Z9" s="156">
        <f>VLOOKUP(A9,'Band Calculations 1415'!$A$106:$O$124,15,FALSE)</f>
        <v>875000</v>
      </c>
      <c r="AA9" s="64">
        <f>VLOOKUP(A9,'Band Calculations 1415'!$A$106:$U$124,18,FALSE)</f>
        <v>134264.90362623686</v>
      </c>
      <c r="AB9" s="64">
        <f>VLOOKUP(A9,'Band Calculations 1415'!$A$106:$U$124,19,FALSE)</f>
        <v>201397.35543935528</v>
      </c>
      <c r="AC9" s="64">
        <f t="shared" si="10"/>
        <v>335662.25906559214</v>
      </c>
      <c r="AD9" s="64">
        <f>VLOOKUP(A9,'Band Calculations 1415'!$A$106:$U$124,20,FALSE)</f>
        <v>0</v>
      </c>
      <c r="AE9" s="64">
        <f>VLOOKUP(A9,'Band Calculations 1415'!$A$106:$U$124,21,FALSE)</f>
        <v>0</v>
      </c>
      <c r="AF9" s="64">
        <f t="shared" si="11"/>
        <v>0</v>
      </c>
      <c r="AG9" s="156">
        <f t="shared" si="12"/>
        <v>335662.25906559214</v>
      </c>
      <c r="AH9" s="64">
        <f t="shared" si="3"/>
        <v>1210662.2590655922</v>
      </c>
      <c r="AI9" s="64">
        <f t="shared" si="13"/>
        <v>1192502.3251796083</v>
      </c>
      <c r="AJ9" s="64">
        <f t="shared" si="14"/>
        <v>13628.598002052666</v>
      </c>
      <c r="AK9" s="64">
        <f t="shared" si="15"/>
        <v>3628.5980020526658</v>
      </c>
    </row>
    <row r="10" spans="1:37" ht="13" x14ac:dyDescent="0.3">
      <c r="A10" s="185">
        <v>9257002</v>
      </c>
      <c r="B10" s="38" t="s">
        <v>75</v>
      </c>
      <c r="C10" s="236">
        <v>4</v>
      </c>
      <c r="D10" s="94">
        <f>'Funding Model'!$D$23</f>
        <v>405763.82046267512</v>
      </c>
      <c r="E10" s="94">
        <f>'Funding Model'!$E$23</f>
        <v>88790.687513148558</v>
      </c>
      <c r="F10" s="64"/>
      <c r="G10" s="64"/>
      <c r="H10" s="64">
        <f>VLOOKUP(A10,'Band Calculations 1415'!A112:L130,10,FALSE)</f>
        <v>937603.87901362218</v>
      </c>
      <c r="I10" s="94">
        <v>16521</v>
      </c>
      <c r="J10" s="94">
        <v>873.28306063104901</v>
      </c>
      <c r="K10" s="64">
        <f t="shared" si="0"/>
        <v>1449552.6700500769</v>
      </c>
      <c r="L10" s="64">
        <f t="shared" si="1"/>
        <v>1449552.6700500769</v>
      </c>
      <c r="M10" s="137">
        <f>VLOOKUP(A10,'Band Calculations 1415'!$A$106:$L$124,12,FALSE)</f>
        <v>125.33333333333334</v>
      </c>
      <c r="O10" s="150">
        <f t="shared" si="4"/>
        <v>11565.579814229337</v>
      </c>
      <c r="P10" s="150">
        <f t="shared" si="5"/>
        <v>1253333.3333333335</v>
      </c>
      <c r="Q10" s="150">
        <f t="shared" si="6"/>
        <v>1565.579814229337</v>
      </c>
      <c r="R10" s="94">
        <f>VLOOKUP(A10,'2013-14 Funding (4)'!$1:$1048576,31,FALSE)</f>
        <v>1301.8584020740927</v>
      </c>
      <c r="S10" s="64">
        <f t="shared" si="16"/>
        <v>1565.579814229337</v>
      </c>
      <c r="T10" s="64">
        <f t="shared" si="7"/>
        <v>11565.579814229337</v>
      </c>
      <c r="U10" s="64">
        <f t="shared" si="8"/>
        <v>401.57981422933699</v>
      </c>
      <c r="V10" s="64">
        <f t="shared" si="2"/>
        <v>0</v>
      </c>
      <c r="W10" s="156">
        <f t="shared" si="9"/>
        <v>1449552.6700500769</v>
      </c>
      <c r="X10" s="64">
        <f>VLOOKUP(A10,'Band Calculations 1415'!$A$106:$O$124,13,FALSE)</f>
        <v>1253333.3333333335</v>
      </c>
      <c r="Y10" s="64">
        <f>VLOOKUP(A10,'Band Calculations 1415'!$A$106:$O$124,14,FALSE)</f>
        <v>0</v>
      </c>
      <c r="Z10" s="156">
        <f>VLOOKUP(A10,'Band Calculations 1415'!$A$106:$O$124,15,FALSE)</f>
        <v>1253333.3333333335</v>
      </c>
      <c r="AA10" s="64">
        <f>VLOOKUP(A10,'Band Calculations 1415'!$A$106:$U$124,18,FALSE)</f>
        <v>84802.239937422433</v>
      </c>
      <c r="AB10" s="64">
        <f>VLOOKUP(A10,'Band Calculations 1415'!$A$106:$U$124,19,FALSE)</f>
        <v>111417.09677932116</v>
      </c>
      <c r="AC10" s="64">
        <f t="shared" si="10"/>
        <v>196219.33671674359</v>
      </c>
      <c r="AD10" s="64">
        <f>VLOOKUP(A10,'Band Calculations 1415'!$A$106:$U$124,20,FALSE)</f>
        <v>0</v>
      </c>
      <c r="AE10" s="64">
        <f>VLOOKUP(A10,'Band Calculations 1415'!$A$106:$U$124,21,FALSE)</f>
        <v>0</v>
      </c>
      <c r="AF10" s="64">
        <f t="shared" si="11"/>
        <v>0</v>
      </c>
      <c r="AG10" s="156">
        <f t="shared" si="12"/>
        <v>196219.33671674359</v>
      </c>
      <c r="AH10" s="64">
        <f t="shared" si="3"/>
        <v>1449552.6700500771</v>
      </c>
      <c r="AI10" s="64">
        <f t="shared" si="13"/>
        <v>1427809.3799993261</v>
      </c>
      <c r="AJ10" s="64">
        <f t="shared" si="14"/>
        <v>11392.096117015899</v>
      </c>
      <c r="AK10" s="64">
        <f t="shared" si="15"/>
        <v>1392.0961170158989</v>
      </c>
    </row>
    <row r="11" spans="1:37" ht="13" x14ac:dyDescent="0.3">
      <c r="A11" s="185">
        <v>9257009</v>
      </c>
      <c r="B11" s="38" t="s">
        <v>76</v>
      </c>
      <c r="C11" s="244">
        <v>4</v>
      </c>
      <c r="D11" s="158">
        <f>'Funding Model'!D23</f>
        <v>405763.82046267512</v>
      </c>
      <c r="E11" s="158">
        <f>'Funding Model'!E23</f>
        <v>88790.687513148558</v>
      </c>
      <c r="F11" s="64"/>
      <c r="G11" s="64"/>
      <c r="H11" s="64">
        <f>VLOOKUP(A11,'Band Calculations 1415'!A113:L131,10,FALSE)</f>
        <v>992273.10221566015</v>
      </c>
      <c r="I11" s="94">
        <v>16967</v>
      </c>
      <c r="J11" s="94">
        <v>876.23139186667242</v>
      </c>
      <c r="K11" s="64">
        <f t="shared" si="0"/>
        <v>1504670.8415833507</v>
      </c>
      <c r="L11" s="64">
        <f t="shared" si="1"/>
        <v>1504670.8415833507</v>
      </c>
      <c r="M11" s="137">
        <f>VLOOKUP(A11,'Band Calculations 1415'!$A$106:$L$124,12,FALSE)</f>
        <v>130.41666666666669</v>
      </c>
      <c r="O11" s="150">
        <f t="shared" si="4"/>
        <v>11537.412203833997</v>
      </c>
      <c r="P11" s="150">
        <f t="shared" si="5"/>
        <v>1304166.6666666667</v>
      </c>
      <c r="Q11" s="150">
        <f t="shared" si="6"/>
        <v>1537.4122038339974</v>
      </c>
      <c r="R11" s="218">
        <f>VLOOKUP(A11,'2013-14 Funding (4)'!$1:$1048576,31,FALSE)</f>
        <v>1685.15615896081</v>
      </c>
      <c r="S11" s="64">
        <f t="shared" si="16"/>
        <v>1685.15615896081</v>
      </c>
      <c r="T11" s="64">
        <f t="shared" si="7"/>
        <v>11685.15615896081</v>
      </c>
      <c r="U11" s="64">
        <f t="shared" si="8"/>
        <v>521.15615896080999</v>
      </c>
      <c r="V11" s="64">
        <f t="shared" ref="V11:V23" si="17">(S11-Q11)*M11</f>
        <v>19268.274147788477</v>
      </c>
      <c r="W11" s="156">
        <f t="shared" si="9"/>
        <v>1523939.1157311392</v>
      </c>
      <c r="X11" s="64">
        <f>VLOOKUP(A11,'Band Calculations 1415'!$A$106:$O$124,13,FALSE)</f>
        <v>1304166.6666666667</v>
      </c>
      <c r="Y11" s="64">
        <f>VLOOKUP(A11,'Band Calculations 1415'!$A$106:$O$124,14,FALSE)</f>
        <v>0</v>
      </c>
      <c r="Z11" s="156">
        <f>VLOOKUP(A11,'Band Calculations 1415'!$A$106:$O$124,15,FALSE)</f>
        <v>1304166.6666666667</v>
      </c>
      <c r="AA11" s="64">
        <f>VLOOKUP(A11,'Band Calculations 1415'!$A$106:$U$124,18,FALSE)</f>
        <v>91981.440343277543</v>
      </c>
      <c r="AB11" s="64">
        <f>VLOOKUP(A11,'Band Calculations 1415'!$A$106:$U$124,19,FALSE)</f>
        <v>127791.00872119475</v>
      </c>
      <c r="AC11" s="64">
        <f t="shared" si="10"/>
        <v>219772.44906447228</v>
      </c>
      <c r="AD11" s="64">
        <f>VLOOKUP(A11,'Band Calculations 1415'!$A$106:$U$124,20,FALSE)</f>
        <v>0</v>
      </c>
      <c r="AE11" s="64">
        <f>VLOOKUP(A11,'Band Calculations 1415'!$A$106:$U$124,21,FALSE)</f>
        <v>0</v>
      </c>
      <c r="AF11" s="64">
        <f t="shared" si="11"/>
        <v>0</v>
      </c>
      <c r="AG11" s="156">
        <f t="shared" si="12"/>
        <v>219772.44906447228</v>
      </c>
      <c r="AH11" s="64">
        <f t="shared" si="3"/>
        <v>1523939.115731139</v>
      </c>
      <c r="AI11" s="64">
        <f t="shared" si="13"/>
        <v>1501080.0289951719</v>
      </c>
      <c r="AJ11" s="64">
        <f t="shared" si="14"/>
        <v>11509.878816576396</v>
      </c>
      <c r="AK11" s="64">
        <f t="shared" si="15"/>
        <v>1509.8788165763963</v>
      </c>
    </row>
    <row r="12" spans="1:37" ht="13" x14ac:dyDescent="0.3">
      <c r="A12" s="185">
        <v>9257028</v>
      </c>
      <c r="B12" s="38" t="s">
        <v>77</v>
      </c>
      <c r="C12" s="236">
        <v>5</v>
      </c>
      <c r="D12" s="94">
        <v>418723</v>
      </c>
      <c r="E12" s="94">
        <v>117027</v>
      </c>
      <c r="F12" s="64"/>
      <c r="G12" s="64"/>
      <c r="H12" s="64">
        <f>VLOOKUP(A12,'Band Calculations 1415'!A114:L132,10,FALSE)</f>
        <v>778865.64355220459</v>
      </c>
      <c r="I12" s="94">
        <v>6698</v>
      </c>
      <c r="J12" s="94">
        <v>705.22818020051216</v>
      </c>
      <c r="K12" s="64">
        <f t="shared" si="0"/>
        <v>1322018.8717324052</v>
      </c>
      <c r="L12" s="64">
        <f t="shared" si="1"/>
        <v>1322018.8717324052</v>
      </c>
      <c r="M12" s="137">
        <f>VLOOKUP(A12,'Band Calculations 1415'!$A$106:$L$124,12,FALSE)</f>
        <v>71.75</v>
      </c>
      <c r="O12" s="150">
        <f t="shared" si="4"/>
        <v>18425.350128674636</v>
      </c>
      <c r="P12" s="150">
        <f t="shared" si="5"/>
        <v>717500</v>
      </c>
      <c r="Q12" s="150">
        <f t="shared" si="6"/>
        <v>8425.3501286746359</v>
      </c>
      <c r="R12" s="94">
        <f>VLOOKUP(A12,'2013-14 Funding (4)'!$1:$1048576,31,FALSE)</f>
        <v>7793.055270290115</v>
      </c>
      <c r="S12" s="64">
        <f t="shared" si="16"/>
        <v>8425.3501286746359</v>
      </c>
      <c r="T12" s="64">
        <f t="shared" si="7"/>
        <v>18425.350128674636</v>
      </c>
      <c r="U12" s="64">
        <f t="shared" si="8"/>
        <v>7261.3501286746359</v>
      </c>
      <c r="V12" s="64">
        <f t="shared" si="17"/>
        <v>0</v>
      </c>
      <c r="W12" s="156">
        <f t="shared" si="9"/>
        <v>1322018.8717324052</v>
      </c>
      <c r="X12" s="64">
        <f>VLOOKUP(A12,'Band Calculations 1415'!$A$106:$O$124,13,FALSE)</f>
        <v>554166.66666666674</v>
      </c>
      <c r="Y12" s="64">
        <f>VLOOKUP(A12,'Band Calculations 1415'!$A$106:$O$124,14,FALSE)</f>
        <v>169929.33333333331</v>
      </c>
      <c r="Z12" s="156">
        <f>VLOOKUP(A12,'Band Calculations 1415'!$A$106:$O$124,15,FALSE)</f>
        <v>724096</v>
      </c>
      <c r="AA12" s="64">
        <f>VLOOKUP(A12,'Band Calculations 1415'!$A$106:$U$124,18,FALSE)</f>
        <v>196591.50300240816</v>
      </c>
      <c r="AB12" s="64">
        <f>VLOOKUP(A12,'Band Calculations 1415'!$A$106:$U$124,19,FALSE)</f>
        <v>270313.31662831124</v>
      </c>
      <c r="AC12" s="64">
        <f t="shared" si="10"/>
        <v>466904.81963071937</v>
      </c>
      <c r="AD12" s="64">
        <f>VLOOKUP(A12,'Band Calculations 1415'!$A$106:$U$124,20,FALSE)</f>
        <v>41147.650729156274</v>
      </c>
      <c r="AE12" s="64">
        <f>VLOOKUP(A12,'Band Calculations 1415'!$A$106:$U$124,21,FALSE)</f>
        <v>89870.40137252945</v>
      </c>
      <c r="AF12" s="64">
        <f t="shared" si="11"/>
        <v>131018.05210168572</v>
      </c>
      <c r="AG12" s="156">
        <f t="shared" si="12"/>
        <v>597922.87173240515</v>
      </c>
      <c r="AH12" s="64">
        <f t="shared" si="3"/>
        <v>1322018.8717324052</v>
      </c>
      <c r="AI12" s="64">
        <f t="shared" si="13"/>
        <v>1302188.588656419</v>
      </c>
      <c r="AJ12" s="64">
        <f t="shared" si="14"/>
        <v>18148.969876744515</v>
      </c>
      <c r="AK12" s="64">
        <f t="shared" si="15"/>
        <v>8148.9698767445152</v>
      </c>
    </row>
    <row r="13" spans="1:37" ht="13" x14ac:dyDescent="0.3">
      <c r="A13" s="185">
        <v>9257021</v>
      </c>
      <c r="B13" s="38" t="s">
        <v>78</v>
      </c>
      <c r="C13" s="236">
        <v>5</v>
      </c>
      <c r="D13" s="94">
        <f>'Funding Model'!$D$24</f>
        <v>418723.18610831723</v>
      </c>
      <c r="E13" s="94">
        <f>'Funding Model'!$E$24</f>
        <v>117027.3922528728</v>
      </c>
      <c r="F13" s="64"/>
      <c r="G13" s="64"/>
      <c r="H13" s="64">
        <f>VLOOKUP(A13,'Band Calculations 1415'!A115:L133,10,FALSE)</f>
        <v>1091951.161795367</v>
      </c>
      <c r="I13" s="94">
        <v>26790</v>
      </c>
      <c r="J13" s="94">
        <v>908.66303545853043</v>
      </c>
      <c r="K13" s="64">
        <f t="shared" si="0"/>
        <v>1655400.4031920154</v>
      </c>
      <c r="L13" s="64">
        <f t="shared" si="1"/>
        <v>1655400.4031920154</v>
      </c>
      <c r="M13" s="137">
        <f>VLOOKUP(A13,'Band Calculations 1415'!$A$106:$L$124,12,FALSE)</f>
        <v>141.41666666666669</v>
      </c>
      <c r="O13" s="150">
        <f t="shared" si="4"/>
        <v>11705.836675488616</v>
      </c>
      <c r="P13" s="150">
        <f t="shared" si="5"/>
        <v>1414166.6666666667</v>
      </c>
      <c r="Q13" s="150">
        <f t="shared" si="6"/>
        <v>1705.8366754886156</v>
      </c>
      <c r="R13" s="94">
        <f>VLOOKUP(A13,'2013-14 Funding (4)'!$1:$1048576,31,FALSE)</f>
        <v>1223.767211013017</v>
      </c>
      <c r="S13" s="64">
        <f t="shared" si="16"/>
        <v>1705.8366754886156</v>
      </c>
      <c r="T13" s="64">
        <f t="shared" si="7"/>
        <v>11705.836675488616</v>
      </c>
      <c r="U13" s="64">
        <f t="shared" si="8"/>
        <v>541.83667548861558</v>
      </c>
      <c r="V13" s="64">
        <f t="shared" si="17"/>
        <v>0</v>
      </c>
      <c r="W13" s="156">
        <f t="shared" si="9"/>
        <v>1655400.4031920154</v>
      </c>
      <c r="X13" s="64">
        <f>VLOOKUP(A13,'Band Calculations 1415'!$A$106:$O$124,13,FALSE)</f>
        <v>1414166.6666666667</v>
      </c>
      <c r="Y13" s="64">
        <f>VLOOKUP(A13,'Band Calculations 1415'!$A$106:$O$124,14,FALSE)</f>
        <v>0</v>
      </c>
      <c r="Z13" s="156">
        <f>VLOOKUP(A13,'Band Calculations 1415'!$A$106:$O$124,15,FALSE)</f>
        <v>1414166.6666666667</v>
      </c>
      <c r="AA13" s="64">
        <f>VLOOKUP(A13,'Band Calculations 1415'!$A$106:$U$124,18,FALSE)</f>
        <v>100928.66996640975</v>
      </c>
      <c r="AB13" s="64">
        <f>VLOOKUP(A13,'Band Calculations 1415'!$A$106:$U$124,19,FALSE)</f>
        <v>140305.06655893862</v>
      </c>
      <c r="AC13" s="64">
        <f t="shared" si="10"/>
        <v>241233.73652534839</v>
      </c>
      <c r="AD13" s="64">
        <f>VLOOKUP(A13,'Band Calculations 1415'!$A$106:$U$124,20,FALSE)</f>
        <v>0</v>
      </c>
      <c r="AE13" s="64">
        <f>VLOOKUP(A13,'Band Calculations 1415'!$A$106:$U$124,21,FALSE)</f>
        <v>0</v>
      </c>
      <c r="AF13" s="64">
        <f t="shared" si="11"/>
        <v>0</v>
      </c>
      <c r="AG13" s="156">
        <f t="shared" si="12"/>
        <v>241233.73652534839</v>
      </c>
      <c r="AH13" s="64">
        <f t="shared" si="3"/>
        <v>1655400.4031920151</v>
      </c>
      <c r="AI13" s="64">
        <f t="shared" si="13"/>
        <v>1630569.3971441349</v>
      </c>
      <c r="AJ13" s="64">
        <f t="shared" si="14"/>
        <v>11530.249125356286</v>
      </c>
      <c r="AK13" s="64">
        <f t="shared" si="15"/>
        <v>1530.2491253562857</v>
      </c>
    </row>
    <row r="14" spans="1:37" s="40" customFormat="1" ht="13" x14ac:dyDescent="0.3">
      <c r="A14" s="131">
        <v>9257015</v>
      </c>
      <c r="B14" s="38" t="s">
        <v>55</v>
      </c>
      <c r="C14" s="236">
        <v>7</v>
      </c>
      <c r="D14" s="94">
        <f>'Funding Model'!D25</f>
        <v>493762.11190507573</v>
      </c>
      <c r="E14" s="94">
        <f>'Funding Model'!E25</f>
        <v>131719.7894229154</v>
      </c>
      <c r="F14" s="94"/>
      <c r="G14" s="94">
        <v>29207</v>
      </c>
      <c r="H14" s="64">
        <f>VLOOKUP(A14,'Band Calculations 1415'!A116:L134,10,FALSE)</f>
        <v>1863783.7392846146</v>
      </c>
      <c r="I14" s="94">
        <v>32148</v>
      </c>
      <c r="J14" s="94">
        <v>1056.0795972397032</v>
      </c>
      <c r="K14" s="94">
        <f t="shared" si="0"/>
        <v>2551676.7202098458</v>
      </c>
      <c r="L14" s="94">
        <f t="shared" si="1"/>
        <v>2551676.7202098458</v>
      </c>
      <c r="M14" s="137">
        <f>VLOOKUP(A14,'Band Calculations 1415'!$A$106:$L$124,12,FALSE)</f>
        <v>253.91666666666666</v>
      </c>
      <c r="O14" s="247">
        <f t="shared" si="4"/>
        <v>10049.268343458532</v>
      </c>
      <c r="P14" s="247">
        <f>M14*10000</f>
        <v>2539166.6666666665</v>
      </c>
      <c r="Q14" s="247">
        <f>O14-10000</f>
        <v>49.268343458532399</v>
      </c>
      <c r="R14" s="218">
        <f>VLOOKUP(A14,'2013-14 Funding (4)'!$1:$1048576,31,FALSE)</f>
        <v>408.31502432752677</v>
      </c>
      <c r="S14" s="94">
        <f t="shared" si="16"/>
        <v>408.31502432752677</v>
      </c>
      <c r="T14" s="94">
        <f t="shared" si="7"/>
        <v>10408.315024327527</v>
      </c>
      <c r="U14" s="64">
        <f t="shared" si="8"/>
        <v>-755.68497567247323</v>
      </c>
      <c r="V14" s="64">
        <f>(S14-Q14)*M14</f>
        <v>91167.936383985478</v>
      </c>
      <c r="W14" s="156">
        <f t="shared" si="9"/>
        <v>2642844.6565938313</v>
      </c>
      <c r="X14" s="64">
        <f>VLOOKUP(A14,'Band Calculations 1415'!$A$106:$O$124,13,FALSE)</f>
        <v>2355833.3333333335</v>
      </c>
      <c r="Y14" s="64">
        <f>VLOOKUP(A14,'Band Calculations 1415'!$A$106:$O$124,14,FALSE)</f>
        <v>189929.33333333331</v>
      </c>
      <c r="Z14" s="156">
        <f>VLOOKUP(A14,'Band Calculations 1415'!$A$106:$O$124,15,FALSE)</f>
        <v>2545762.666666667</v>
      </c>
      <c r="AA14" s="64">
        <f>VLOOKUP(A14,'Band Calculations 1415'!$A$106:$U$124,18,FALSE)</f>
        <v>38789.927311115047</v>
      </c>
      <c r="AB14" s="64">
        <f>VLOOKUP(A14,'Band Calculations 1415'!$A$106:$U$124,19,FALSE)</f>
        <v>57402.287170044809</v>
      </c>
      <c r="AC14" s="64">
        <f t="shared" si="10"/>
        <v>96192.214481159855</v>
      </c>
      <c r="AD14" s="64">
        <f>VLOOKUP(A14,'Band Calculations 1415'!$A$106:$U$124,20,FALSE)</f>
        <v>-4282.2148621440147</v>
      </c>
      <c r="AE14" s="64">
        <f>VLOOKUP(A14,'Band Calculations 1415'!$A$106:$U$124,21,FALSE)</f>
        <v>5171.9903081486727</v>
      </c>
      <c r="AF14" s="64">
        <f t="shared" si="11"/>
        <v>889.77544600465808</v>
      </c>
      <c r="AG14" s="156">
        <f t="shared" si="12"/>
        <v>97081.989927164512</v>
      </c>
      <c r="AH14" s="64">
        <f t="shared" si="3"/>
        <v>2642844.6565938313</v>
      </c>
      <c r="AI14" s="64">
        <f t="shared" si="13"/>
        <v>2603201.986744924</v>
      </c>
      <c r="AJ14" s="64">
        <f t="shared" si="14"/>
        <v>10252.190298962616</v>
      </c>
      <c r="AK14" s="64">
        <f t="shared" si="15"/>
        <v>252.190298962616</v>
      </c>
    </row>
    <row r="15" spans="1:37" ht="13" x14ac:dyDescent="0.3">
      <c r="A15" s="185">
        <v>9257016</v>
      </c>
      <c r="B15" s="38" t="s">
        <v>80</v>
      </c>
      <c r="C15" s="236">
        <v>6</v>
      </c>
      <c r="D15" s="94">
        <f>'Funding Model'!D25</f>
        <v>493762.11190507573</v>
      </c>
      <c r="E15" s="94">
        <f>'Funding Model'!E25</f>
        <v>131719.7894229154</v>
      </c>
      <c r="F15" s="64"/>
      <c r="G15" s="64"/>
      <c r="H15" s="64">
        <f>VLOOKUP(A15,'Band Calculations 1415'!A117:L135,10,FALSE)</f>
        <v>1332212.3417520914</v>
      </c>
      <c r="I15" s="94">
        <v>7144</v>
      </c>
      <c r="J15" s="94">
        <v>832.00642333232065</v>
      </c>
      <c r="K15" s="64">
        <f t="shared" si="0"/>
        <v>1965670.2495034148</v>
      </c>
      <c r="L15" s="64">
        <f t="shared" si="1"/>
        <v>1965670.2495034148</v>
      </c>
      <c r="M15" s="137">
        <f>VLOOKUP(A15,'Band Calculations 1415'!$A$106:$L$124,12,FALSE)</f>
        <v>131.66666666666666</v>
      </c>
      <c r="O15" s="150">
        <f t="shared" si="4"/>
        <v>14929.141135468975</v>
      </c>
      <c r="P15" s="150">
        <f t="shared" si="5"/>
        <v>1316666.6666666665</v>
      </c>
      <c r="Q15" s="150">
        <f t="shared" si="6"/>
        <v>4929.1411354689753</v>
      </c>
      <c r="R15" s="218">
        <f>VLOOKUP(A15,'2013-14 Funding (4)'!$1:$1048576,31,FALSE)</f>
        <v>6858.938918761949</v>
      </c>
      <c r="S15" s="64">
        <f t="shared" si="16"/>
        <v>6858.938918761949</v>
      </c>
      <c r="T15" s="64">
        <f t="shared" si="7"/>
        <v>16858.938918761949</v>
      </c>
      <c r="U15" s="64">
        <f t="shared" si="8"/>
        <v>5694.938918761949</v>
      </c>
      <c r="V15" s="64">
        <f t="shared" si="17"/>
        <v>254090.04146690818</v>
      </c>
      <c r="W15" s="156">
        <f t="shared" si="9"/>
        <v>2219760.2909703231</v>
      </c>
      <c r="X15" s="64">
        <f>VLOOKUP(A15,'Band Calculations 1415'!$A$106:$O$124,13,FALSE)</f>
        <v>790000</v>
      </c>
      <c r="Y15" s="64">
        <f>VLOOKUP(A15,'Band Calculations 1415'!$A$106:$O$124,14,FALSE)</f>
        <v>546066.66666666663</v>
      </c>
      <c r="Z15" s="156">
        <f>VLOOKUP(A15,'Band Calculations 1415'!$A$106:$O$124,15,FALSE)</f>
        <v>1336066.6666666665</v>
      </c>
      <c r="AA15" s="64">
        <f>VLOOKUP(A15,'Band Calculations 1415'!$A$106:$U$124,18,FALSE)</f>
        <v>225773.40607591419</v>
      </c>
      <c r="AB15" s="64">
        <f>VLOOKUP(A15,'Band Calculations 1415'!$A$106:$U$124,19,FALSE)</f>
        <v>316082.7685062798</v>
      </c>
      <c r="AC15" s="64">
        <f t="shared" si="10"/>
        <v>541856.17458219395</v>
      </c>
      <c r="AD15" s="64">
        <f>VLOOKUP(A15,'Band Calculations 1415'!$A$106:$U$124,20,FALSE)</f>
        <v>94915.648646032481</v>
      </c>
      <c r="AE15" s="64">
        <f>VLOOKUP(A15,'Band Calculations 1415'!$A$106:$U$124,21,FALSE)</f>
        <v>246921.80107543018</v>
      </c>
      <c r="AF15" s="64">
        <f t="shared" si="11"/>
        <v>341837.44972146268</v>
      </c>
      <c r="AG15" s="156">
        <f t="shared" si="12"/>
        <v>883693.62430365663</v>
      </c>
      <c r="AH15" s="64">
        <f t="shared" si="3"/>
        <v>2219760.2909703231</v>
      </c>
      <c r="AI15" s="64">
        <f t="shared" si="13"/>
        <v>2186463.8866057685</v>
      </c>
      <c r="AJ15" s="64">
        <f t="shared" si="14"/>
        <v>16606.054834980521</v>
      </c>
      <c r="AK15" s="64">
        <f t="shared" si="15"/>
        <v>6606.0548349805213</v>
      </c>
    </row>
    <row r="16" spans="1:37" ht="13" x14ac:dyDescent="0.3">
      <c r="A16" s="185"/>
      <c r="B16" s="38"/>
      <c r="C16" s="39"/>
      <c r="D16" s="64"/>
      <c r="E16" s="64"/>
      <c r="F16" s="64"/>
      <c r="G16" s="64"/>
      <c r="H16" s="64"/>
      <c r="I16" s="94"/>
      <c r="J16" s="94"/>
      <c r="K16" s="64"/>
      <c r="L16" s="64"/>
      <c r="M16" s="37"/>
      <c r="O16" s="150"/>
      <c r="P16" s="150"/>
      <c r="Q16" s="150"/>
      <c r="R16" s="94"/>
      <c r="S16" s="64"/>
      <c r="T16" s="64"/>
      <c r="U16" s="64"/>
      <c r="V16" s="64"/>
      <c r="W16" s="156"/>
      <c r="X16" s="37"/>
      <c r="Y16" s="64"/>
      <c r="Z16" s="156"/>
      <c r="AA16" s="64"/>
      <c r="AB16" s="64"/>
      <c r="AC16" s="64"/>
      <c r="AD16" s="64"/>
      <c r="AE16" s="64"/>
      <c r="AF16" s="64"/>
      <c r="AG16" s="156"/>
      <c r="AH16" s="64"/>
      <c r="AI16" s="64"/>
      <c r="AJ16" s="64"/>
      <c r="AK16" s="64"/>
    </row>
    <row r="17" spans="1:37" ht="13" x14ac:dyDescent="0.3">
      <c r="A17" s="185">
        <v>9257031</v>
      </c>
      <c r="B17" s="43" t="s">
        <v>81</v>
      </c>
      <c r="C17" s="236">
        <v>3</v>
      </c>
      <c r="D17" s="94">
        <f>'Funding Model'!D26</f>
        <v>280697.16623783787</v>
      </c>
      <c r="E17" s="94">
        <f>'Funding Model'!E26</f>
        <v>55663.058379368813</v>
      </c>
      <c r="F17" s="94">
        <v>161072</v>
      </c>
      <c r="G17" s="64"/>
      <c r="H17" s="64">
        <f>VLOOKUP(A17,'Band Calculations 1415'!A106:L124,10,FALSE)</f>
        <v>882308.6368039978</v>
      </c>
      <c r="I17" s="94">
        <v>10716</v>
      </c>
      <c r="J17" s="94">
        <v>669.84820537303062</v>
      </c>
      <c r="K17" s="64">
        <f>SUM(D17:J17)</f>
        <v>1391126.7096265773</v>
      </c>
      <c r="L17" s="64">
        <f>K17-F17</f>
        <v>1230054.7096265773</v>
      </c>
      <c r="M17" s="137">
        <f>VLOOKUP(A17,'Band Calculations 1415'!$A$106:$L$124,12,FALSE)</f>
        <v>61.583333333333343</v>
      </c>
      <c r="O17" s="150">
        <f t="shared" si="4"/>
        <v>19973.824784193403</v>
      </c>
      <c r="P17" s="150">
        <f t="shared" si="5"/>
        <v>615833.33333333337</v>
      </c>
      <c r="Q17" s="150">
        <f t="shared" si="6"/>
        <v>9973.8247841934026</v>
      </c>
      <c r="R17" s="218">
        <f>VLOOKUP(A17,'2013-14 Funding (4)'!$1:$1048576,31,FALSE)</f>
        <v>10378.420281509258</v>
      </c>
      <c r="S17" s="64">
        <f t="shared" si="16"/>
        <v>10378.420281509258</v>
      </c>
      <c r="T17" s="64">
        <f t="shared" si="7"/>
        <v>20378.420281509258</v>
      </c>
      <c r="U17" s="64">
        <f t="shared" si="8"/>
        <v>9214.4202815092576</v>
      </c>
      <c r="V17" s="64">
        <f t="shared" si="17"/>
        <v>24916.339376368076</v>
      </c>
      <c r="W17" s="156">
        <f t="shared" si="9"/>
        <v>1254971.0490029454</v>
      </c>
      <c r="X17" s="64">
        <f>VLOOKUP(A17,'Band Calculations 1415'!$A$106:$O$124,13,FALSE)</f>
        <v>615833.33333333337</v>
      </c>
      <c r="Y17" s="64">
        <f>VLOOKUP(A17,'Band Calculations 1415'!$A$106:$O$124,14,FALSE)</f>
        <v>0</v>
      </c>
      <c r="Z17" s="156">
        <f>VLOOKUP(A17,'Band Calculations 1415'!$A$106:$O$124,15,FALSE)</f>
        <v>615833.33333333337</v>
      </c>
      <c r="AA17" s="64">
        <f>VLOOKUP(A17,'Band Calculations 1415'!$A$106:$U$124,18,FALSE)</f>
        <v>263784.84882169362</v>
      </c>
      <c r="AB17" s="64">
        <f>VLOOKUP(A17,'Band Calculations 1415'!$A$106:$U$124,19,FALSE)</f>
        <v>375352.86684791814</v>
      </c>
      <c r="AC17" s="64">
        <f t="shared" si="10"/>
        <v>639137.7156696117</v>
      </c>
      <c r="AD17" s="64">
        <f>VLOOKUP(A17,'Band Calculations 1415'!$A$106:$U$124,20,FALSE)</f>
        <v>0</v>
      </c>
      <c r="AE17" s="64">
        <f>VLOOKUP(A17,'Band Calculations 1415'!$A$106:$U$124,21,FALSE)</f>
        <v>0</v>
      </c>
      <c r="AF17" s="64">
        <f t="shared" si="11"/>
        <v>0</v>
      </c>
      <c r="AG17" s="156">
        <f t="shared" si="12"/>
        <v>639137.7156696117</v>
      </c>
      <c r="AH17" s="64">
        <f>Z17+AG17</f>
        <v>1254971.049002945</v>
      </c>
      <c r="AI17" s="64">
        <f t="shared" si="13"/>
        <v>1236146.4832679008</v>
      </c>
      <c r="AJ17" s="64">
        <f t="shared" si="14"/>
        <v>20072.743977286613</v>
      </c>
      <c r="AK17" s="64">
        <f t="shared" si="15"/>
        <v>10072.743977286613</v>
      </c>
    </row>
    <row r="18" spans="1:37" ht="13" x14ac:dyDescent="0.3">
      <c r="A18" s="185">
        <v>9257029</v>
      </c>
      <c r="B18" s="43" t="s">
        <v>84</v>
      </c>
      <c r="C18" s="39">
        <v>4</v>
      </c>
      <c r="D18" s="94">
        <f>'Funding Model'!$D$27</f>
        <v>360067.26321081078</v>
      </c>
      <c r="E18" s="94">
        <f>'Funding Model'!$E$27</f>
        <v>58044.118057617408</v>
      </c>
      <c r="F18" s="94">
        <v>227842</v>
      </c>
      <c r="G18" s="64"/>
      <c r="H18" s="64">
        <f>VLOOKUP(A18,'Band Calculations 1415'!A107:L125,10,FALSE)</f>
        <v>829776.05220403033</v>
      </c>
      <c r="I18" s="94">
        <v>10270</v>
      </c>
      <c r="J18" s="94">
        <v>672.79653660865415</v>
      </c>
      <c r="K18" s="64">
        <f>SUM(D18:J18)</f>
        <v>1486672.2300090671</v>
      </c>
      <c r="L18" s="64">
        <f>K18-F18</f>
        <v>1258830.2300090671</v>
      </c>
      <c r="M18" s="137">
        <f>VLOOKUP(A18,'Band Calculations 1415'!$A$106:$L$124,12,FALSE)</f>
        <v>57.916666666666671</v>
      </c>
      <c r="O18" s="150">
        <f t="shared" si="4"/>
        <v>21735.198215983892</v>
      </c>
      <c r="P18" s="150">
        <f t="shared" si="5"/>
        <v>579166.66666666674</v>
      </c>
      <c r="Q18" s="150">
        <f t="shared" si="6"/>
        <v>11735.198215983892</v>
      </c>
      <c r="R18" s="218">
        <f>VLOOKUP(A18,'2013-14 Funding (4)'!$1:$1048576,31,FALSE)</f>
        <v>12197.338345996177</v>
      </c>
      <c r="S18" s="64">
        <f t="shared" si="16"/>
        <v>12197.338345996177</v>
      </c>
      <c r="T18" s="64">
        <f t="shared" si="7"/>
        <v>22197.338345996177</v>
      </c>
      <c r="U18" s="64">
        <f t="shared" si="8"/>
        <v>11033.338345996177</v>
      </c>
      <c r="V18" s="64">
        <f t="shared" si="17"/>
        <v>26765.615863211522</v>
      </c>
      <c r="W18" s="156">
        <f t="shared" si="9"/>
        <v>1285595.8458722786</v>
      </c>
      <c r="X18" s="64">
        <f>VLOOKUP(A18,'Band Calculations 1415'!$A$106:$O$124,13,FALSE)</f>
        <v>579166.66666666674</v>
      </c>
      <c r="Y18" s="64">
        <f>VLOOKUP(A18,'Band Calculations 1415'!$A$106:$O$124,14,FALSE)</f>
        <v>0</v>
      </c>
      <c r="Z18" s="156">
        <f>VLOOKUP(A18,'Band Calculations 1415'!$A$106:$O$124,15,FALSE)</f>
        <v>579166.66666666674</v>
      </c>
      <c r="AA18" s="64">
        <f>VLOOKUP(A18,'Band Calculations 1415'!$A$106:$U$124,18,FALSE)</f>
        <v>315097.90727156791</v>
      </c>
      <c r="AB18" s="64">
        <f>VLOOKUP(A18,'Band Calculations 1415'!$A$106:$U$124,19,FALSE)</f>
        <v>391331.27193404397</v>
      </c>
      <c r="AC18" s="64">
        <f t="shared" si="10"/>
        <v>706429.17920561181</v>
      </c>
      <c r="AD18" s="64">
        <f>VLOOKUP(A18,'Band Calculations 1415'!$A$106:$U$124,20,FALSE)</f>
        <v>0</v>
      </c>
      <c r="AE18" s="64">
        <f>VLOOKUP(A18,'Band Calculations 1415'!$A$106:$U$124,21,FALSE)</f>
        <v>0</v>
      </c>
      <c r="AF18" s="64">
        <f t="shared" si="11"/>
        <v>0</v>
      </c>
      <c r="AG18" s="156">
        <f t="shared" si="12"/>
        <v>706429.17920561181</v>
      </c>
      <c r="AH18" s="64">
        <f>Z18+AG18</f>
        <v>1285595.8458722786</v>
      </c>
      <c r="AI18" s="64">
        <f t="shared" si="13"/>
        <v>1266311.9081841945</v>
      </c>
      <c r="AJ18" s="64">
        <f t="shared" si="14"/>
        <v>21864.378270806235</v>
      </c>
      <c r="AK18" s="64">
        <f t="shared" si="15"/>
        <v>11864.378270806235</v>
      </c>
    </row>
    <row r="19" spans="1:37" ht="13" x14ac:dyDescent="0.3">
      <c r="A19" s="185">
        <v>9257032</v>
      </c>
      <c r="B19" s="43" t="s">
        <v>82</v>
      </c>
      <c r="C19" s="236">
        <v>4</v>
      </c>
      <c r="D19" s="94">
        <f>'Funding Model'!$D$27</f>
        <v>360067.26321081078</v>
      </c>
      <c r="E19" s="94">
        <f>'Funding Model'!$E$27</f>
        <v>58044.118057617408</v>
      </c>
      <c r="F19" s="94">
        <v>202249</v>
      </c>
      <c r="G19" s="64"/>
      <c r="H19" s="64">
        <f>VLOOKUP(A19,'Band Calculations 1415'!A108:L126,10,FALSE)</f>
        <v>853654.49974947004</v>
      </c>
      <c r="I19" s="94">
        <v>12949</v>
      </c>
      <c r="J19" s="94">
        <v>663.9515429017838</v>
      </c>
      <c r="K19" s="64">
        <f>SUM(D19:J19)</f>
        <v>1487627.8325608</v>
      </c>
      <c r="L19" s="64">
        <f>K19-F19</f>
        <v>1285378.8325608</v>
      </c>
      <c r="M19" s="137">
        <f>VLOOKUP(A19,'Band Calculations 1415'!$A$106:$L$124,12,FALSE)</f>
        <v>59.583333333333336</v>
      </c>
      <c r="O19" s="150">
        <f t="shared" si="4"/>
        <v>21572.791595426013</v>
      </c>
      <c r="P19" s="150">
        <f t="shared" si="5"/>
        <v>595833.33333333337</v>
      </c>
      <c r="Q19" s="150">
        <f t="shared" si="6"/>
        <v>11572.791595426013</v>
      </c>
      <c r="R19" s="218">
        <f>VLOOKUP(A19,'2013-14 Funding (4)'!$1:$1048576,31,FALSE)</f>
        <v>11763.881909432213</v>
      </c>
      <c r="S19" s="64">
        <f t="shared" si="16"/>
        <v>11763.881909432213</v>
      </c>
      <c r="T19" s="64">
        <f t="shared" si="7"/>
        <v>21763.881909432213</v>
      </c>
      <c r="U19" s="64">
        <f t="shared" si="8"/>
        <v>10599.881909432213</v>
      </c>
      <c r="V19" s="64">
        <f t="shared" si="17"/>
        <v>11385.797876202754</v>
      </c>
      <c r="W19" s="156">
        <f t="shared" si="9"/>
        <v>1296764.6304370028</v>
      </c>
      <c r="X19" s="64">
        <f>VLOOKUP(A19,'Band Calculations 1415'!$A$106:$O$124,13,FALSE)</f>
        <v>595833.33333333337</v>
      </c>
      <c r="Y19" s="64">
        <f>VLOOKUP(A19,'Band Calculations 1415'!$A$106:$O$124,14,FALSE)</f>
        <v>0</v>
      </c>
      <c r="Z19" s="156">
        <f>VLOOKUP(A19,'Band Calculations 1415'!$A$106:$O$124,15,FALSE)</f>
        <v>595833.33333333337</v>
      </c>
      <c r="AA19" s="64">
        <f>VLOOKUP(A19,'Band Calculations 1415'!$A$106:$U$124,18,FALSE)</f>
        <v>289195.43027354195</v>
      </c>
      <c r="AB19" s="64">
        <f>VLOOKUP(A19,'Band Calculations 1415'!$A$106:$U$124,19,FALSE)</f>
        <v>411735.86683012749</v>
      </c>
      <c r="AC19" s="64">
        <f t="shared" si="10"/>
        <v>700931.29710366949</v>
      </c>
      <c r="AD19" s="64">
        <f>VLOOKUP(A19,'Band Calculations 1415'!$A$106:$U$124,20,FALSE)</f>
        <v>0</v>
      </c>
      <c r="AE19" s="64">
        <f>VLOOKUP(A19,'Band Calculations 1415'!$A$106:$U$124,21,FALSE)</f>
        <v>0</v>
      </c>
      <c r="AF19" s="64">
        <f t="shared" si="11"/>
        <v>0</v>
      </c>
      <c r="AG19" s="156">
        <f t="shared" si="12"/>
        <v>700931.29710366949</v>
      </c>
      <c r="AH19" s="64">
        <f>Z19+AG19</f>
        <v>1296764.630437003</v>
      </c>
      <c r="AI19" s="64">
        <f t="shared" si="13"/>
        <v>1277313.1609804479</v>
      </c>
      <c r="AJ19" s="64">
        <f t="shared" si="14"/>
        <v>21437.423680790733</v>
      </c>
      <c r="AK19" s="64">
        <f t="shared" si="15"/>
        <v>11437.423680790733</v>
      </c>
    </row>
    <row r="20" spans="1:37" ht="13" x14ac:dyDescent="0.3">
      <c r="A20" s="185">
        <v>9257030</v>
      </c>
      <c r="B20" s="43" t="s">
        <v>83</v>
      </c>
      <c r="C20" s="248">
        <v>0.75</v>
      </c>
      <c r="D20" s="94">
        <f>'Funding Model'!$D$27</f>
        <v>360067.26321081078</v>
      </c>
      <c r="E20" s="94">
        <f>'Funding Model'!$E$27</f>
        <v>58044.118057617408</v>
      </c>
      <c r="F20" s="94">
        <v>248341</v>
      </c>
      <c r="G20" s="64"/>
      <c r="H20" s="64">
        <f>VLOOKUP(A20,'Band Calculations 1415'!A109:L127,10,FALSE)</f>
        <v>787988.76899951079</v>
      </c>
      <c r="I20" s="94">
        <v>7591</v>
      </c>
      <c r="J20" s="94">
        <v>652.15821795928991</v>
      </c>
      <c r="K20" s="64">
        <f>SUM(D20:J20)</f>
        <v>1462684.3084858984</v>
      </c>
      <c r="L20" s="64">
        <f>K20-F20</f>
        <v>1214343.3084858984</v>
      </c>
      <c r="M20" s="137">
        <f>VLOOKUP(A20,'Band Calculations 1415'!$A$106:$L$124,12,FALSE)</f>
        <v>55</v>
      </c>
      <c r="O20" s="150">
        <f t="shared" si="4"/>
        <v>22078.969245198154</v>
      </c>
      <c r="P20" s="150">
        <f t="shared" si="5"/>
        <v>550000</v>
      </c>
      <c r="Q20" s="150">
        <f t="shared" si="6"/>
        <v>12078.969245198154</v>
      </c>
      <c r="R20" s="94">
        <f>VLOOKUP(A20,'2013-14 Funding (4)'!$1:$1048576,31,FALSE)</f>
        <v>12023.918350803102</v>
      </c>
      <c r="S20" s="64">
        <f t="shared" si="16"/>
        <v>12078.969245198154</v>
      </c>
      <c r="T20" s="64">
        <f t="shared" si="7"/>
        <v>22078.969245198154</v>
      </c>
      <c r="U20" s="64">
        <f t="shared" si="8"/>
        <v>10914.969245198154</v>
      </c>
      <c r="V20" s="64">
        <f t="shared" si="17"/>
        <v>0</v>
      </c>
      <c r="W20" s="156">
        <f t="shared" si="9"/>
        <v>1214343.3084858984</v>
      </c>
      <c r="X20" s="64">
        <f>VLOOKUP(A20,'Band Calculations 1415'!$A$106:$O$124,13,FALSE)</f>
        <v>550000</v>
      </c>
      <c r="Y20" s="64">
        <f>VLOOKUP(A20,'Band Calculations 1415'!$A$106:$O$124,14,FALSE)</f>
        <v>0</v>
      </c>
      <c r="Z20" s="156">
        <f>VLOOKUP(A20,'Band Calculations 1415'!$A$106:$O$124,15,FALSE)</f>
        <v>550000</v>
      </c>
      <c r="AA20" s="64">
        <f>VLOOKUP(A20,'Band Calculations 1415'!$A$106:$U$124,18,FALSE)</f>
        <v>276809.71186912438</v>
      </c>
      <c r="AB20" s="64">
        <f>VLOOKUP(A20,'Band Calculations 1415'!$A$106:$U$124,19,FALSE)</f>
        <v>387533.5966167741</v>
      </c>
      <c r="AC20" s="64">
        <f t="shared" si="10"/>
        <v>664343.30848589842</v>
      </c>
      <c r="AD20" s="64">
        <f>VLOOKUP(A20,'Band Calculations 1415'!$A$106:$U$124,20,FALSE)</f>
        <v>0</v>
      </c>
      <c r="AE20" s="64">
        <f>VLOOKUP(A20,'Band Calculations 1415'!$A$106:$U$124,21,FALSE)</f>
        <v>0</v>
      </c>
      <c r="AF20" s="64">
        <f t="shared" si="11"/>
        <v>0</v>
      </c>
      <c r="AG20" s="156">
        <f t="shared" si="12"/>
        <v>664343.30848589842</v>
      </c>
      <c r="AH20" s="64">
        <f>Z20+AG20</f>
        <v>1214343.3084858984</v>
      </c>
      <c r="AI20" s="64">
        <f t="shared" si="13"/>
        <v>1196128.1588586099</v>
      </c>
      <c r="AJ20" s="64">
        <f t="shared" si="14"/>
        <v>21747.784706520179</v>
      </c>
      <c r="AK20" s="64">
        <f t="shared" si="15"/>
        <v>11747.784706520179</v>
      </c>
    </row>
    <row r="21" spans="1:37" ht="13" x14ac:dyDescent="0.3">
      <c r="A21" s="185"/>
      <c r="B21" s="43"/>
      <c r="C21" s="39"/>
      <c r="D21" s="94"/>
      <c r="E21" s="94"/>
      <c r="F21" s="64"/>
      <c r="G21" s="64"/>
      <c r="H21" s="64"/>
      <c r="I21" s="94"/>
      <c r="J21" s="94"/>
      <c r="K21" s="64"/>
      <c r="L21" s="64"/>
      <c r="M21" s="37"/>
      <c r="O21" s="150"/>
      <c r="P21" s="150"/>
      <c r="Q21" s="150"/>
      <c r="R21" s="94"/>
      <c r="S21" s="64"/>
      <c r="T21" s="64"/>
      <c r="U21" s="64"/>
      <c r="V21" s="64"/>
      <c r="W21" s="156"/>
      <c r="X21" s="37"/>
      <c r="Y21" s="64"/>
      <c r="Z21" s="156"/>
      <c r="AA21" s="64"/>
      <c r="AB21" s="64"/>
      <c r="AC21" s="64"/>
      <c r="AD21" s="64"/>
      <c r="AE21" s="64"/>
      <c r="AF21" s="64"/>
      <c r="AG21" s="156"/>
      <c r="AH21" s="64"/>
      <c r="AI21" s="64"/>
      <c r="AJ21" s="64"/>
      <c r="AK21" s="64"/>
    </row>
    <row r="22" spans="1:37" ht="13" x14ac:dyDescent="0.3">
      <c r="A22" s="185">
        <v>9257033</v>
      </c>
      <c r="B22" s="38" t="s">
        <v>72</v>
      </c>
      <c r="C22" s="236">
        <v>3</v>
      </c>
      <c r="D22" s="94">
        <f>'Funding Model'!$D$22</f>
        <v>314686.51772419503</v>
      </c>
      <c r="E22" s="94">
        <f>'Funding Model'!$E$22</f>
        <v>69201.680689977453</v>
      </c>
      <c r="F22" s="64"/>
      <c r="G22" s="64"/>
      <c r="H22" s="64">
        <f>VLOOKUP(A22,'Band Calculations 1415'!A106:L124,10,FALSE)</f>
        <v>591199.13863892574</v>
      </c>
      <c r="I22" s="94">
        <v>6698</v>
      </c>
      <c r="J22" s="94">
        <v>666.89987413740721</v>
      </c>
      <c r="K22" s="64">
        <f>SUM(D22:J22)</f>
        <v>982452.23692723562</v>
      </c>
      <c r="L22" s="64">
        <f>K22-F22</f>
        <v>982452.23692723562</v>
      </c>
      <c r="M22" s="137">
        <f>VLOOKUP(A22,'Band Calculations 1415'!$A$106:$L$124,12,FALSE)</f>
        <v>60</v>
      </c>
      <c r="O22" s="150">
        <f t="shared" si="4"/>
        <v>16374.203948787261</v>
      </c>
      <c r="P22" s="150">
        <f t="shared" si="5"/>
        <v>600000</v>
      </c>
      <c r="Q22" s="150">
        <f t="shared" si="6"/>
        <v>6374.2039487872607</v>
      </c>
      <c r="R22" s="94">
        <f>VLOOKUP(A22,'2013-14 Funding (4)'!$1:$1048576,31,FALSE)</f>
        <v>5634.4761023849751</v>
      </c>
      <c r="S22" s="64">
        <f t="shared" si="16"/>
        <v>6374.2039487872607</v>
      </c>
      <c r="T22" s="64">
        <f t="shared" si="7"/>
        <v>16374.203948787261</v>
      </c>
      <c r="U22" s="64">
        <f t="shared" si="8"/>
        <v>5210.2039487872607</v>
      </c>
      <c r="V22" s="64">
        <f t="shared" si="17"/>
        <v>0</v>
      </c>
      <c r="W22" s="156">
        <f t="shared" si="9"/>
        <v>982452.23692723562</v>
      </c>
      <c r="X22" s="64">
        <f>VLOOKUP(A22,'Band Calculations 1415'!$A$106:$O$124,13,FALSE)</f>
        <v>600000</v>
      </c>
      <c r="Y22" s="64">
        <f>VLOOKUP(A22,'Band Calculations 1415'!$A$106:$O$124,14,FALSE)</f>
        <v>0</v>
      </c>
      <c r="Z22" s="156">
        <f>VLOOKUP(A22,'Band Calculations 1415'!$A$106:$O$124,15,FALSE)</f>
        <v>600000</v>
      </c>
      <c r="AA22" s="64">
        <f>VLOOKUP(A22,'Band Calculations 1415'!$A$106:$U$124,18,FALSE)</f>
        <v>159355.09871968153</v>
      </c>
      <c r="AB22" s="64">
        <f>VLOOKUP(A22,'Band Calculations 1415'!$A$106:$U$124,19,FALSE)</f>
        <v>223097.13820755412</v>
      </c>
      <c r="AC22" s="64">
        <f t="shared" si="10"/>
        <v>382452.23692723562</v>
      </c>
      <c r="AD22" s="64">
        <f>VLOOKUP(A22,'Band Calculations 1415'!$A$106:$U$124,20,FALSE)</f>
        <v>0</v>
      </c>
      <c r="AE22" s="64">
        <f>VLOOKUP(A22,'Band Calculations 1415'!$A$106:$U$124,21,FALSE)</f>
        <v>0</v>
      </c>
      <c r="AF22" s="64">
        <f t="shared" si="11"/>
        <v>0</v>
      </c>
      <c r="AG22" s="156">
        <f t="shared" si="12"/>
        <v>382452.23692723562</v>
      </c>
      <c r="AH22" s="64">
        <f>Z22+AG22</f>
        <v>982452.23692723562</v>
      </c>
      <c r="AI22" s="64">
        <f t="shared" si="13"/>
        <v>967715.45337332704</v>
      </c>
      <c r="AJ22" s="64">
        <f t="shared" si="14"/>
        <v>16128.590889555451</v>
      </c>
      <c r="AK22" s="64">
        <f t="shared" si="15"/>
        <v>6128.5908895554512</v>
      </c>
    </row>
    <row r="23" spans="1:37" ht="13" x14ac:dyDescent="0.3">
      <c r="A23" s="185">
        <v>9257034</v>
      </c>
      <c r="B23" s="38" t="s">
        <v>74</v>
      </c>
      <c r="C23" s="244">
        <v>5</v>
      </c>
      <c r="D23" s="94">
        <f>'Funding Model'!D24</f>
        <v>418723.18610831723</v>
      </c>
      <c r="E23" s="94">
        <f>'Funding Model'!E24</f>
        <v>117027.3922528728</v>
      </c>
      <c r="F23" s="64"/>
      <c r="G23" s="64"/>
      <c r="H23" s="64">
        <f>VLOOKUP(A23,'Band Calculations 1415'!A107:L125,10,FALSE)</f>
        <v>1037514.8719128219</v>
      </c>
      <c r="I23" s="94">
        <v>17414</v>
      </c>
      <c r="J23" s="94">
        <v>811.36810468295653</v>
      </c>
      <c r="K23" s="64">
        <f>SUM(D23:J23)</f>
        <v>1591490.8183786951</v>
      </c>
      <c r="L23" s="64">
        <f>K23-F23</f>
        <v>1591490.8183786951</v>
      </c>
      <c r="M23" s="137">
        <f>VLOOKUP(A23,'Band Calculations 1415'!$A$106:$L$124,12,FALSE)</f>
        <v>119.5</v>
      </c>
      <c r="O23" s="150">
        <f t="shared" si="4"/>
        <v>13317.914798148076</v>
      </c>
      <c r="P23" s="150">
        <f t="shared" si="5"/>
        <v>1195000</v>
      </c>
      <c r="Q23" s="150">
        <f t="shared" si="6"/>
        <v>3317.9147981480764</v>
      </c>
      <c r="R23" s="94">
        <f>VLOOKUP(A23,'2013-14 Funding (4)'!$1:$1048576,31,FALSE)</f>
        <v>2702.6851633804708</v>
      </c>
      <c r="S23" s="64">
        <f t="shared" si="16"/>
        <v>3317.9147981480764</v>
      </c>
      <c r="T23" s="64">
        <f t="shared" si="7"/>
        <v>13317.914798148076</v>
      </c>
      <c r="U23" s="64">
        <f t="shared" si="8"/>
        <v>2153.9147981480764</v>
      </c>
      <c r="V23" s="64">
        <f t="shared" si="17"/>
        <v>0</v>
      </c>
      <c r="W23" s="156">
        <f t="shared" si="9"/>
        <v>1591490.8183786951</v>
      </c>
      <c r="X23" s="64">
        <f>VLOOKUP(A23,'Band Calculations 1415'!$A$106:$O$124,13,FALSE)</f>
        <v>885000</v>
      </c>
      <c r="Y23" s="64">
        <f>VLOOKUP(A23,'Band Calculations 1415'!$A$106:$O$124,14,FALSE)</f>
        <v>322028</v>
      </c>
      <c r="Z23" s="156">
        <f>VLOOKUP(A23,'Band Calculations 1415'!$A$106:$O$124,15,FALSE)</f>
        <v>1207028</v>
      </c>
      <c r="AA23" s="64">
        <f>VLOOKUP(A23,'Band Calculations 1415'!$A$106:$U$124,18,FALSE)</f>
        <v>107832.23093981248</v>
      </c>
      <c r="AB23" s="64">
        <f>VLOOKUP(A23,'Band Calculations 1415'!$A$106:$U$124,19,FALSE)</f>
        <v>185803.22869629227</v>
      </c>
      <c r="AC23" s="64">
        <f t="shared" si="10"/>
        <v>293635.45963610476</v>
      </c>
      <c r="AD23" s="64">
        <f>VLOOKUP(A23,'Band Calculations 1415'!$A$106:$U$124,20,FALSE)</f>
        <v>22257.119580863458</v>
      </c>
      <c r="AE23" s="64">
        <f>VLOOKUP(A23,'Band Calculations 1415'!$A$106:$U$124,21,FALSE)</f>
        <v>68570.239161726917</v>
      </c>
      <c r="AF23" s="64">
        <f t="shared" si="11"/>
        <v>90827.358742590382</v>
      </c>
      <c r="AG23" s="156">
        <f t="shared" si="12"/>
        <v>384462.81837869517</v>
      </c>
      <c r="AH23" s="64">
        <f>Z23+AG23</f>
        <v>1591490.8183786953</v>
      </c>
      <c r="AI23" s="64">
        <f t="shared" si="13"/>
        <v>1567618.4561030148</v>
      </c>
      <c r="AJ23" s="64">
        <f t="shared" si="14"/>
        <v>13118.146076175855</v>
      </c>
      <c r="AK23" s="64">
        <f t="shared" si="15"/>
        <v>3118.1460761758553</v>
      </c>
    </row>
    <row r="24" spans="1:37" x14ac:dyDescent="0.25">
      <c r="A24" s="69"/>
      <c r="B24" s="50"/>
      <c r="C24" s="61"/>
      <c r="D24" s="42"/>
      <c r="E24" s="42"/>
      <c r="F24" s="42"/>
      <c r="G24" s="42"/>
      <c r="H24" s="42"/>
      <c r="I24" s="80"/>
      <c r="J24" s="80"/>
    </row>
    <row r="25" spans="1:37" ht="13.5" customHeight="1" thickBot="1" x14ac:dyDescent="0.3">
      <c r="A25" s="69"/>
      <c r="D25" s="136">
        <f t="shared" ref="D25:K25" si="18">SUM(D4:D23)</f>
        <v>6801080.4223687313</v>
      </c>
      <c r="E25" s="136">
        <f t="shared" si="18"/>
        <v>1545487.929406279</v>
      </c>
      <c r="F25" s="136">
        <f t="shared" si="18"/>
        <v>839504</v>
      </c>
      <c r="G25" s="136">
        <f t="shared" si="18"/>
        <v>29207</v>
      </c>
      <c r="H25" s="136">
        <f t="shared" si="18"/>
        <v>15447204.654381447</v>
      </c>
      <c r="I25" s="136">
        <f t="shared" si="18"/>
        <v>215664.5</v>
      </c>
      <c r="J25" s="136">
        <f t="shared" si="18"/>
        <v>13304.411809383275</v>
      </c>
      <c r="K25" s="136">
        <f t="shared" si="18"/>
        <v>24891452.917965844</v>
      </c>
      <c r="L25" s="136">
        <f>SUM(L4:L23)</f>
        <v>24051948.917965844</v>
      </c>
      <c r="M25" s="166">
        <f>SUM(M4:M23)</f>
        <v>1629.5833333333335</v>
      </c>
      <c r="N25" s="52"/>
      <c r="P25" s="73"/>
      <c r="Q25" s="75"/>
      <c r="R25" s="52"/>
      <c r="S25" s="52"/>
      <c r="T25" s="76"/>
      <c r="V25" s="80">
        <f>SUM(V4:V23)</f>
        <v>561033.36475520977</v>
      </c>
      <c r="AH25" s="42">
        <f>SUM(AH4:AH23)</f>
        <v>24612982.282721054</v>
      </c>
    </row>
    <row r="26" spans="1:37" x14ac:dyDescent="0.25">
      <c r="A26" s="69"/>
      <c r="B26" s="40"/>
      <c r="C26" s="40"/>
      <c r="D26" s="79"/>
      <c r="E26" s="79"/>
      <c r="F26" s="79"/>
      <c r="G26" s="79"/>
      <c r="H26" s="40"/>
      <c r="K26" s="79"/>
      <c r="L26" s="124"/>
      <c r="M26" s="126"/>
      <c r="N26" s="52"/>
      <c r="P26" s="73"/>
      <c r="Q26" s="75"/>
      <c r="R26" s="52"/>
      <c r="S26" s="52"/>
      <c r="T26" s="76"/>
      <c r="AH26" s="42"/>
    </row>
    <row r="27" spans="1:37" x14ac:dyDescent="0.25">
      <c r="B27" s="41" t="s">
        <v>367</v>
      </c>
      <c r="D27" s="42">
        <f>'2013-14 Funding (4)'!D28</f>
        <v>6543886.7049866961</v>
      </c>
      <c r="E27" s="42">
        <f>'2013-14 Funding (4)'!E28</f>
        <v>1491617.1263370216</v>
      </c>
      <c r="F27" s="42">
        <f>'2013-14 Funding (4)'!F28</f>
        <v>807245</v>
      </c>
      <c r="G27" s="42">
        <f>'2013-14 Funding (4)'!G28</f>
        <v>17037</v>
      </c>
      <c r="H27" s="42">
        <f>'2013-14 Funding (4)'!H28</f>
        <v>15010442.635035809</v>
      </c>
      <c r="I27" s="42">
        <f>'2013-14 Funding (4)'!I28</f>
        <v>233966.5</v>
      </c>
      <c r="J27" s="42">
        <f>'2013-14 Funding (4)'!J28</f>
        <v>13304.411809383275</v>
      </c>
      <c r="K27" s="42">
        <f>'2013-14 Funding (4)'!K28</f>
        <v>24117499.378168918</v>
      </c>
      <c r="L27" s="42">
        <f>'2013-14 Funding (4)'!Q28</f>
        <v>23310254.378168918</v>
      </c>
      <c r="M27" s="165">
        <f>'2013-14 Funding (4)'!R28</f>
        <v>1582.8333333333335</v>
      </c>
      <c r="V27" s="42">
        <f>'2013-14 Funding (4)'!AA26</f>
        <v>670949.39034196257</v>
      </c>
      <c r="AH27" s="42">
        <f>'2013-14 Funding (4)'!AB28</f>
        <v>23981203.768510878</v>
      </c>
    </row>
    <row r="28" spans="1:37" x14ac:dyDescent="0.25">
      <c r="B28" s="41"/>
      <c r="M28" s="165"/>
      <c r="AH28" s="42"/>
    </row>
    <row r="29" spans="1:37" x14ac:dyDescent="0.25">
      <c r="B29" s="41" t="s">
        <v>104</v>
      </c>
      <c r="D29" s="42">
        <f>D25-D27</f>
        <v>257193.71738203522</v>
      </c>
      <c r="E29" s="42">
        <f t="shared" ref="E29:J29" si="19">E25-E27</f>
        <v>53870.80306925741</v>
      </c>
      <c r="F29" s="42">
        <f t="shared" si="19"/>
        <v>32259</v>
      </c>
      <c r="G29" s="42">
        <f t="shared" si="19"/>
        <v>12170</v>
      </c>
      <c r="H29" s="42">
        <f t="shared" si="19"/>
        <v>436762.01934563741</v>
      </c>
      <c r="I29" s="42">
        <f t="shared" si="19"/>
        <v>-18302</v>
      </c>
      <c r="J29" s="42">
        <f t="shared" si="19"/>
        <v>0</v>
      </c>
      <c r="K29" s="42">
        <f>K25-K27</f>
        <v>773953.53979692608</v>
      </c>
      <c r="L29" s="42">
        <f>L25-L27</f>
        <v>741694.53979692608</v>
      </c>
      <c r="M29" s="165">
        <f>M25-M27</f>
        <v>46.75</v>
      </c>
      <c r="N29" s="42">
        <f>N25-N27</f>
        <v>0</v>
      </c>
      <c r="V29" s="42">
        <f>V25-V27</f>
        <v>-109916.0255867528</v>
      </c>
      <c r="AH29" s="42">
        <f>AH25-AH27</f>
        <v>631778.51421017572</v>
      </c>
    </row>
    <row r="30" spans="1:37" x14ac:dyDescent="0.25">
      <c r="A30" s="249" t="s">
        <v>300</v>
      </c>
      <c r="B30" s="41"/>
      <c r="M30" s="165"/>
    </row>
    <row r="31" spans="1:37" x14ac:dyDescent="0.25">
      <c r="B31" s="41"/>
      <c r="D31" s="41" t="s">
        <v>368</v>
      </c>
      <c r="E31" s="41" t="s">
        <v>368</v>
      </c>
      <c r="F31" s="41" t="s">
        <v>368</v>
      </c>
      <c r="G31" s="41" t="s">
        <v>368</v>
      </c>
      <c r="H31" s="41" t="s">
        <v>368</v>
      </c>
      <c r="I31" s="79" t="s">
        <v>372</v>
      </c>
      <c r="J31" s="79" t="s">
        <v>368</v>
      </c>
      <c r="L31" s="41"/>
      <c r="V31" s="41" t="s">
        <v>368</v>
      </c>
      <c r="AH31" s="41" t="s">
        <v>368</v>
      </c>
    </row>
    <row r="32" spans="1:37" x14ac:dyDescent="0.25">
      <c r="B32" s="41"/>
      <c r="H32" s="41"/>
      <c r="I32" s="79"/>
      <c r="J32" s="79"/>
      <c r="L32" s="41"/>
    </row>
    <row r="33" spans="4:10" x14ac:dyDescent="0.25">
      <c r="D33" s="1887" t="s">
        <v>369</v>
      </c>
      <c r="E33" s="1887"/>
      <c r="F33" s="41" t="s">
        <v>370</v>
      </c>
      <c r="G33" s="41" t="s">
        <v>371</v>
      </c>
      <c r="H33" s="1955" t="s">
        <v>374</v>
      </c>
      <c r="J33" s="79" t="s">
        <v>373</v>
      </c>
    </row>
    <row r="34" spans="4:10" x14ac:dyDescent="0.25">
      <c r="H34" s="1955"/>
    </row>
  </sheetData>
  <sheetProtection password="C462" sheet="1" objects="1" scenarios="1"/>
  <mergeCells count="3">
    <mergeCell ref="X2:Z2"/>
    <mergeCell ref="D33:E33"/>
    <mergeCell ref="H33:H34"/>
  </mergeCells>
  <phoneticPr fontId="61" type="noConversion"/>
  <pageMargins left="0.39370078740157483" right="0.39370078740157483" top="0.98425196850393704" bottom="0.98425196850393704" header="0.51181102362204722" footer="0.51181102362204722"/>
  <pageSetup paperSize="8" scale="59" orientation="landscape" r:id="rId1"/>
  <headerFooter alignWithMargins="0">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pageSetUpPr fitToPage="1"/>
  </sheetPr>
  <dimension ref="A1:AJ51"/>
  <sheetViews>
    <sheetView zoomScale="85" zoomScaleNormal="100" workbookViewId="0">
      <pane xSplit="2" topLeftCell="C1" activePane="topRight" state="frozen"/>
      <selection activeCell="B1" sqref="B1"/>
      <selection pane="topRight" activeCell="G11" sqref="G11"/>
    </sheetView>
  </sheetViews>
  <sheetFormatPr defaultColWidth="10.26953125" defaultRowHeight="12.5" x14ac:dyDescent="0.25"/>
  <cols>
    <col min="1" max="1" width="10.26953125" style="34"/>
    <col min="2" max="2" width="31.54296875" style="34" customWidth="1"/>
    <col min="3" max="3" width="6.1796875" style="34" customWidth="1"/>
    <col min="4" max="7" width="15.7265625" style="41" customWidth="1"/>
    <col min="8" max="8" width="15.7265625" style="34" customWidth="1"/>
    <col min="9" max="10" width="15.7265625" style="40" customWidth="1"/>
    <col min="11" max="11" width="15.7265625" style="41" customWidth="1"/>
    <col min="12" max="14" width="15.7265625" style="41" hidden="1" customWidth="1"/>
    <col min="15" max="16" width="15.7265625" style="34" hidden="1" customWidth="1"/>
    <col min="17" max="17" width="17.26953125" style="34" customWidth="1"/>
    <col min="18" max="18" width="10.26953125" style="41" customWidth="1"/>
    <col min="19" max="19" width="0.81640625" style="34" customWidth="1"/>
    <col min="20" max="20" width="10.26953125" style="42" customWidth="1"/>
    <col min="21" max="21" width="11.81640625" style="41" bestFit="1" customWidth="1"/>
    <col min="22" max="22" width="10.26953125" style="41"/>
    <col min="23" max="24" width="10.26953125" style="34"/>
    <col min="25" max="26" width="9.54296875" style="41" customWidth="1"/>
    <col min="27" max="27" width="10.26953125" style="41"/>
    <col min="28" max="28" width="11.54296875" style="41" customWidth="1"/>
    <col min="29" max="16384" width="10.26953125" style="34"/>
  </cols>
  <sheetData>
    <row r="1" spans="1:32" ht="17.5" x14ac:dyDescent="0.35">
      <c r="B1" s="44" t="s">
        <v>182</v>
      </c>
      <c r="C1" s="33"/>
    </row>
    <row r="2" spans="1:32" x14ac:dyDescent="0.25">
      <c r="B2" s="47"/>
      <c r="C2" s="47"/>
      <c r="R2" s="76"/>
    </row>
    <row r="3" spans="1:32" ht="39" customHeight="1" x14ac:dyDescent="0.25">
      <c r="A3" s="184" t="s">
        <v>201</v>
      </c>
      <c r="B3" s="36" t="s">
        <v>66</v>
      </c>
      <c r="C3" s="39" t="s">
        <v>51</v>
      </c>
      <c r="D3" s="140" t="s">
        <v>20</v>
      </c>
      <c r="E3" s="141" t="s">
        <v>21</v>
      </c>
      <c r="F3" s="37" t="s">
        <v>64</v>
      </c>
      <c r="G3" s="37" t="s">
        <v>113</v>
      </c>
      <c r="H3" s="37" t="s">
        <v>102</v>
      </c>
      <c r="I3" s="157" t="s">
        <v>173</v>
      </c>
      <c r="J3" s="157" t="s">
        <v>194</v>
      </c>
      <c r="K3" s="37" t="s">
        <v>103</v>
      </c>
      <c r="L3" s="65" t="s">
        <v>140</v>
      </c>
      <c r="M3" s="65" t="s">
        <v>141</v>
      </c>
      <c r="N3" s="37" t="s">
        <v>104</v>
      </c>
      <c r="Q3" s="65" t="s">
        <v>297</v>
      </c>
      <c r="R3" s="65" t="s">
        <v>236</v>
      </c>
      <c r="T3" s="65" t="s">
        <v>152</v>
      </c>
      <c r="U3" s="150" t="s">
        <v>151</v>
      </c>
      <c r="V3" s="150" t="s">
        <v>310</v>
      </c>
      <c r="W3" s="150" t="s">
        <v>307</v>
      </c>
      <c r="X3" s="150" t="s">
        <v>308</v>
      </c>
      <c r="Y3" s="65" t="s">
        <v>238</v>
      </c>
      <c r="Z3" s="65" t="s">
        <v>248</v>
      </c>
      <c r="AA3" s="65" t="s">
        <v>309</v>
      </c>
      <c r="AB3" s="251" t="s">
        <v>305</v>
      </c>
      <c r="AC3" s="251" t="s">
        <v>302</v>
      </c>
      <c r="AD3" s="251" t="s">
        <v>303</v>
      </c>
      <c r="AE3" s="251" t="s">
        <v>304</v>
      </c>
    </row>
    <row r="4" spans="1:32" x14ac:dyDescent="0.25">
      <c r="A4" s="185">
        <v>9257010</v>
      </c>
      <c r="B4" s="38" t="s">
        <v>67</v>
      </c>
      <c r="C4" s="39">
        <v>3</v>
      </c>
      <c r="D4" s="94">
        <f>'Funding Model'!$D$22</f>
        <v>314686.51772419503</v>
      </c>
      <c r="E4" s="94">
        <f>'Funding Model'!$E$22</f>
        <v>69201.680689977453</v>
      </c>
      <c r="F4" s="64"/>
      <c r="G4" s="64"/>
      <c r="H4" s="64">
        <f>'Band Calculations'!Y5</f>
        <v>425593.21832531283</v>
      </c>
      <c r="I4" s="94">
        <v>4912</v>
      </c>
      <c r="J4" s="94">
        <v>616.77824313180849</v>
      </c>
      <c r="K4" s="64">
        <f t="shared" ref="K4:K16" si="0">SUM(D4:J4)</f>
        <v>815010.19498261716</v>
      </c>
      <c r="L4" s="64" t="e">
        <f>#REF!</f>
        <v>#REF!</v>
      </c>
      <c r="M4" s="64" t="e">
        <f>#REF!</f>
        <v>#REF!</v>
      </c>
      <c r="N4" s="64" t="e">
        <f>K4-L4-M4</f>
        <v>#REF!</v>
      </c>
      <c r="Q4" s="64">
        <f>K4-F4</f>
        <v>815010.19498261716</v>
      </c>
      <c r="R4" s="137">
        <f>'Band Calculations'!Z5</f>
        <v>43</v>
      </c>
      <c r="T4" s="150">
        <f>Q4/R4</f>
        <v>18953.725464712028</v>
      </c>
      <c r="U4" s="150">
        <f>R4*10000</f>
        <v>430000</v>
      </c>
      <c r="V4" s="150">
        <f>T4-10000</f>
        <v>8953.725464712028</v>
      </c>
      <c r="W4" s="218">
        <f>'2012-13 Top-ups'!Y7</f>
        <v>9006.8611079459952</v>
      </c>
      <c r="X4" s="94">
        <f>IF(V4&gt;W4,(V4),(W4))</f>
        <v>9006.8611079459952</v>
      </c>
      <c r="Y4" s="64">
        <f>10000+X4</f>
        <v>19006.861107945995</v>
      </c>
      <c r="Z4" s="94">
        <f>Y4-11165</f>
        <v>7841.8611079459952</v>
      </c>
      <c r="AA4" s="64">
        <f>(X4-V4)*R4</f>
        <v>2284.8326590605866</v>
      </c>
      <c r="AB4" s="64">
        <f>Q4+AA4</f>
        <v>817295.02764167776</v>
      </c>
      <c r="AC4" s="64">
        <f>AB4*98.5%</f>
        <v>805035.60222705256</v>
      </c>
      <c r="AD4" s="64">
        <f>AC4/R4</f>
        <v>18721.758191326804</v>
      </c>
      <c r="AE4" s="64">
        <f>AD4-10000</f>
        <v>8721.7581913268041</v>
      </c>
    </row>
    <row r="5" spans="1:32" x14ac:dyDescent="0.25">
      <c r="A5" s="185">
        <v>9257005</v>
      </c>
      <c r="B5" s="38" t="s">
        <v>68</v>
      </c>
      <c r="C5" s="39">
        <v>3</v>
      </c>
      <c r="D5" s="94">
        <f>'Funding Model'!$D$22</f>
        <v>314686.51772419503</v>
      </c>
      <c r="E5" s="94">
        <f>'Funding Model'!$E$22</f>
        <v>69201.680689977453</v>
      </c>
      <c r="F5" s="64"/>
      <c r="G5" s="64"/>
      <c r="H5" s="64">
        <f>'Band Calculations'!Y6</f>
        <v>553473.01366939745</v>
      </c>
      <c r="I5" s="94">
        <v>12055.5</v>
      </c>
      <c r="J5" s="94">
        <v>675.74486784427756</v>
      </c>
      <c r="K5" s="64">
        <f t="shared" si="0"/>
        <v>950092.45695141423</v>
      </c>
      <c r="L5" s="64" t="e">
        <f>#REF!</f>
        <v>#REF!</v>
      </c>
      <c r="M5" s="64" t="e">
        <f>#REF!</f>
        <v>#REF!</v>
      </c>
      <c r="N5" s="64" t="e">
        <f t="shared" ref="N5:N16" si="1">K5-L5-M5</f>
        <v>#REF!</v>
      </c>
      <c r="Q5" s="64">
        <f t="shared" ref="Q5:Q24" si="2">K5-F5</f>
        <v>950092.45695141423</v>
      </c>
      <c r="R5" s="137">
        <f>'Band Calculations'!Z6</f>
        <v>63</v>
      </c>
      <c r="T5" s="150">
        <f t="shared" ref="T5:T24" si="3">Q5/R5</f>
        <v>15080.832650022448</v>
      </c>
      <c r="U5" s="150">
        <f t="shared" ref="U5:U24" si="4">R5*10000</f>
        <v>630000</v>
      </c>
      <c r="V5" s="150">
        <f t="shared" ref="V5:V24" si="5">T5-10000</f>
        <v>5080.8326500224484</v>
      </c>
      <c r="W5" s="218">
        <f>'2012-13 Top-ups'!Y8</f>
        <v>5281.5922329240384</v>
      </c>
      <c r="X5" s="64">
        <f>IF(V5&gt;W5,(V5),(W5))</f>
        <v>5281.5922329240384</v>
      </c>
      <c r="Y5" s="64">
        <f t="shared" ref="Y5:Y24" si="6">10000+X5</f>
        <v>15281.592232924038</v>
      </c>
      <c r="Z5" s="94">
        <f t="shared" ref="Z5:Z24" si="7">Y5-11165</f>
        <v>4116.5922329240384</v>
      </c>
      <c r="AA5" s="64">
        <f t="shared" ref="AA5:AA15" si="8">(X5-V5)*R5</f>
        <v>12647.853722800168</v>
      </c>
      <c r="AB5" s="64">
        <f t="shared" ref="AB5:AB24" si="9">Q5+AA5</f>
        <v>962740.31067421439</v>
      </c>
      <c r="AC5" s="64">
        <f t="shared" ref="AC5:AC24" si="10">AB5*98.5%</f>
        <v>948299.20601410116</v>
      </c>
      <c r="AD5" s="64">
        <f t="shared" ref="AD5:AD24" si="11">AC5/R5</f>
        <v>15052.368349430177</v>
      </c>
      <c r="AE5" s="64">
        <f t="shared" ref="AE5:AE24" si="12">AD5-10000</f>
        <v>5052.3683494301767</v>
      </c>
    </row>
    <row r="6" spans="1:32" x14ac:dyDescent="0.25">
      <c r="A6" s="185">
        <v>9257025</v>
      </c>
      <c r="B6" s="38" t="s">
        <v>69</v>
      </c>
      <c r="C6" s="39">
        <v>3</v>
      </c>
      <c r="D6" s="94">
        <f>'Funding Model'!$D$22</f>
        <v>314686.51772419503</v>
      </c>
      <c r="E6" s="94">
        <f>'Funding Model'!$E$22</f>
        <v>69201.680689977453</v>
      </c>
      <c r="F6" s="64"/>
      <c r="G6" s="64"/>
      <c r="H6" s="290">
        <f>'Band Calculations'!Y7</f>
        <v>688368.83281983854</v>
      </c>
      <c r="I6" s="94">
        <v>4465</v>
      </c>
      <c r="J6" s="94">
        <v>646.26155548804309</v>
      </c>
      <c r="K6" s="64">
        <f t="shared" si="0"/>
        <v>1077368.292789499</v>
      </c>
      <c r="L6" s="64" t="e">
        <f>#REF!</f>
        <v>#REF!</v>
      </c>
      <c r="M6" s="64" t="e">
        <f>#REF!</f>
        <v>#REF!</v>
      </c>
      <c r="N6" s="64" t="e">
        <f t="shared" si="1"/>
        <v>#REF!</v>
      </c>
      <c r="Q6" s="64">
        <f t="shared" si="2"/>
        <v>1077368.292789499</v>
      </c>
      <c r="R6" s="246">
        <f>'Band Calculations'!Z7</f>
        <v>63</v>
      </c>
      <c r="T6" s="150">
        <f t="shared" si="3"/>
        <v>17101.08401253173</v>
      </c>
      <c r="U6" s="150">
        <f t="shared" si="4"/>
        <v>630000</v>
      </c>
      <c r="V6" s="150">
        <f t="shared" si="5"/>
        <v>7101.08401253173</v>
      </c>
      <c r="W6" s="218">
        <f>'2012-13 Top-ups'!Y9</f>
        <v>9266.6596869076475</v>
      </c>
      <c r="X6" s="64">
        <f t="shared" ref="X6:X24" si="13">IF(V6&gt;W6,(V6),(W6))</f>
        <v>9266.6596869076475</v>
      </c>
      <c r="Y6" s="64">
        <f t="shared" si="6"/>
        <v>19266.659686907646</v>
      </c>
      <c r="Z6" s="94">
        <f t="shared" si="7"/>
        <v>8101.6596869076457</v>
      </c>
      <c r="AA6" s="64">
        <f t="shared" si="8"/>
        <v>136431.26748568279</v>
      </c>
      <c r="AB6" s="64">
        <f t="shared" si="9"/>
        <v>1213799.5602751819</v>
      </c>
      <c r="AC6" s="64">
        <f t="shared" si="10"/>
        <v>1195592.5668710542</v>
      </c>
      <c r="AD6" s="64">
        <f t="shared" si="11"/>
        <v>18977.659791604037</v>
      </c>
      <c r="AE6" s="64">
        <f t="shared" si="12"/>
        <v>8977.6597916040373</v>
      </c>
    </row>
    <row r="7" spans="1:32" x14ac:dyDescent="0.25">
      <c r="A7" s="185">
        <v>9257011</v>
      </c>
      <c r="B7" s="38" t="s">
        <v>70</v>
      </c>
      <c r="C7" s="39">
        <v>3</v>
      </c>
      <c r="D7" s="94">
        <f>'Funding Model'!$D$22</f>
        <v>314686.51772419503</v>
      </c>
      <c r="E7" s="94">
        <f>'Funding Model'!$E$22</f>
        <v>69201.680689977453</v>
      </c>
      <c r="F7" s="64"/>
      <c r="G7" s="64"/>
      <c r="H7" s="64">
        <f>'Band Calculations'!Y8</f>
        <v>431340.2745136476</v>
      </c>
      <c r="I7" s="94">
        <v>4911.5</v>
      </c>
      <c r="J7" s="94">
        <v>610.88158066056155</v>
      </c>
      <c r="K7" s="64">
        <f t="shared" si="0"/>
        <v>820750.85450848076</v>
      </c>
      <c r="L7" s="64" t="e">
        <f>#REF!</f>
        <v>#REF!</v>
      </c>
      <c r="M7" s="64" t="e">
        <f>#REF!</f>
        <v>#REF!</v>
      </c>
      <c r="N7" s="64" t="e">
        <f t="shared" si="1"/>
        <v>#REF!</v>
      </c>
      <c r="Q7" s="64">
        <f t="shared" si="2"/>
        <v>820750.85450848076</v>
      </c>
      <c r="R7" s="137">
        <f>'Band Calculations'!Z8</f>
        <v>41</v>
      </c>
      <c r="T7" s="150">
        <f t="shared" si="3"/>
        <v>20018.313524597092</v>
      </c>
      <c r="U7" s="150">
        <f t="shared" si="4"/>
        <v>410000</v>
      </c>
      <c r="V7" s="150">
        <f t="shared" si="5"/>
        <v>10018.313524597092</v>
      </c>
      <c r="W7" s="64">
        <f>'2012-13 Top-ups'!Y10</f>
        <v>9842.6358739976295</v>
      </c>
      <c r="X7" s="64">
        <f t="shared" si="13"/>
        <v>10018.313524597092</v>
      </c>
      <c r="Y7" s="64">
        <f t="shared" si="6"/>
        <v>20018.313524597092</v>
      </c>
      <c r="Z7" s="94">
        <f t="shared" si="7"/>
        <v>8853.3135245970916</v>
      </c>
      <c r="AA7" s="64">
        <f t="shared" si="8"/>
        <v>0</v>
      </c>
      <c r="AB7" s="64">
        <f t="shared" si="9"/>
        <v>820750.85450848076</v>
      </c>
      <c r="AC7" s="64">
        <f t="shared" si="10"/>
        <v>808439.59169085359</v>
      </c>
      <c r="AD7" s="64">
        <f t="shared" si="11"/>
        <v>19718.038821728136</v>
      </c>
      <c r="AE7" s="64">
        <f t="shared" si="12"/>
        <v>9718.0388217281361</v>
      </c>
    </row>
    <row r="8" spans="1:32" x14ac:dyDescent="0.25">
      <c r="A8" s="185">
        <v>9257024</v>
      </c>
      <c r="B8" s="38" t="s">
        <v>71</v>
      </c>
      <c r="C8" s="39">
        <v>3</v>
      </c>
      <c r="D8" s="94">
        <f>'Funding Model'!$D$22</f>
        <v>314686.51772419503</v>
      </c>
      <c r="E8" s="94">
        <f>'Funding Model'!$E$22</f>
        <v>69201.680689977453</v>
      </c>
      <c r="F8" s="64"/>
      <c r="G8" s="64"/>
      <c r="H8" s="64">
        <f>'Band Calculations'!Y9</f>
        <v>413562.54341202579</v>
      </c>
      <c r="I8" s="94">
        <v>8483.5</v>
      </c>
      <c r="J8" s="94">
        <v>628.57156807430238</v>
      </c>
      <c r="K8" s="64">
        <f t="shared" si="0"/>
        <v>806562.81339427258</v>
      </c>
      <c r="L8" s="64" t="e">
        <f>#REF!</f>
        <v>#REF!</v>
      </c>
      <c r="M8" s="64" t="e">
        <f>#REF!</f>
        <v>#REF!</v>
      </c>
      <c r="N8" s="64" t="e">
        <f t="shared" si="1"/>
        <v>#REF!</v>
      </c>
      <c r="Q8" s="64">
        <f t="shared" si="2"/>
        <v>806562.81339427258</v>
      </c>
      <c r="R8" s="137">
        <f>'Band Calculations'!Z9</f>
        <v>47</v>
      </c>
      <c r="T8" s="150">
        <f t="shared" si="3"/>
        <v>17160.910923282394</v>
      </c>
      <c r="U8" s="150">
        <f t="shared" si="4"/>
        <v>470000</v>
      </c>
      <c r="V8" s="150">
        <f t="shared" si="5"/>
        <v>7160.9109232823939</v>
      </c>
      <c r="W8" s="64">
        <f>'2012-13 Top-ups'!Y11</f>
        <v>7021.6194829533033</v>
      </c>
      <c r="X8" s="64">
        <f t="shared" si="13"/>
        <v>7160.9109232823939</v>
      </c>
      <c r="Y8" s="64">
        <f t="shared" si="6"/>
        <v>17160.910923282394</v>
      </c>
      <c r="Z8" s="94">
        <f t="shared" si="7"/>
        <v>5995.9109232823939</v>
      </c>
      <c r="AA8" s="64">
        <f t="shared" si="8"/>
        <v>0</v>
      </c>
      <c r="AB8" s="64">
        <f t="shared" si="9"/>
        <v>806562.81339427258</v>
      </c>
      <c r="AC8" s="64">
        <f t="shared" si="10"/>
        <v>794464.37119335844</v>
      </c>
      <c r="AD8" s="64">
        <f t="shared" si="11"/>
        <v>16903.497259433159</v>
      </c>
      <c r="AE8" s="64">
        <f t="shared" si="12"/>
        <v>6903.4972594331593</v>
      </c>
    </row>
    <row r="9" spans="1:32" x14ac:dyDescent="0.25">
      <c r="A9" s="185">
        <v>9257008</v>
      </c>
      <c r="B9" s="38" t="s">
        <v>73</v>
      </c>
      <c r="C9" s="39">
        <v>3</v>
      </c>
      <c r="D9" s="94">
        <f>'Funding Model'!D22</f>
        <v>314686.51772419503</v>
      </c>
      <c r="E9" s="94">
        <f>'Funding Model'!E22</f>
        <v>69201.680689977453</v>
      </c>
      <c r="F9" s="64"/>
      <c r="G9" s="64"/>
      <c r="H9" s="64">
        <f>'Band Calculations'!Y12</f>
        <v>763633.2768432966</v>
      </c>
      <c r="I9" s="94">
        <v>10716</v>
      </c>
      <c r="J9" s="94">
        <v>737.65982379237016</v>
      </c>
      <c r="K9" s="64">
        <f t="shared" si="0"/>
        <v>1158975.1350812614</v>
      </c>
      <c r="L9" s="64" t="e">
        <f>#REF!</f>
        <v>#REF!</v>
      </c>
      <c r="M9" s="64" t="e">
        <f>#REF!</f>
        <v>#REF!</v>
      </c>
      <c r="N9" s="64" t="e">
        <f t="shared" si="1"/>
        <v>#REF!</v>
      </c>
      <c r="Q9" s="64">
        <f t="shared" si="2"/>
        <v>1158975.1350812614</v>
      </c>
      <c r="R9" s="137">
        <f>'Band Calculations'!Z12</f>
        <v>84</v>
      </c>
      <c r="T9" s="150">
        <f t="shared" si="3"/>
        <v>13797.323036681682</v>
      </c>
      <c r="U9" s="150">
        <f t="shared" si="4"/>
        <v>840000</v>
      </c>
      <c r="V9" s="150">
        <f t="shared" si="5"/>
        <v>3797.3230366816824</v>
      </c>
      <c r="W9" s="218">
        <f>'2012-13 Top-ups'!Y12</f>
        <v>4046.8427447784434</v>
      </c>
      <c r="X9" s="64">
        <f t="shared" si="13"/>
        <v>4046.8427447784434</v>
      </c>
      <c r="Y9" s="64">
        <f t="shared" si="6"/>
        <v>14046.842744778443</v>
      </c>
      <c r="Z9" s="94">
        <f t="shared" si="7"/>
        <v>2881.8427447784434</v>
      </c>
      <c r="AA9" s="64">
        <f t="shared" si="8"/>
        <v>20959.65548012792</v>
      </c>
      <c r="AB9" s="64">
        <f t="shared" si="9"/>
        <v>1179934.7905613894</v>
      </c>
      <c r="AC9" s="64">
        <f t="shared" si="10"/>
        <v>1162235.7687029685</v>
      </c>
      <c r="AD9" s="64">
        <f t="shared" si="11"/>
        <v>13836.140103606767</v>
      </c>
      <c r="AE9" s="64">
        <f t="shared" si="12"/>
        <v>3836.1401036067673</v>
      </c>
    </row>
    <row r="10" spans="1:32" x14ac:dyDescent="0.25">
      <c r="A10" s="185">
        <v>9257002</v>
      </c>
      <c r="B10" s="38" t="s">
        <v>75</v>
      </c>
      <c r="C10" s="39">
        <v>4</v>
      </c>
      <c r="D10" s="94">
        <f>'Funding Model'!$D$23</f>
        <v>405763.82046267512</v>
      </c>
      <c r="E10" s="94">
        <f>'Funding Model'!$E$23</f>
        <v>88790.687513148558</v>
      </c>
      <c r="F10" s="64"/>
      <c r="G10" s="64"/>
      <c r="H10" s="64">
        <f>'Band Calculations'!Y14</f>
        <v>953428.91014556075</v>
      </c>
      <c r="I10" s="94">
        <v>20092.5</v>
      </c>
      <c r="J10" s="94">
        <v>873.28306063104901</v>
      </c>
      <c r="K10" s="64">
        <f t="shared" si="0"/>
        <v>1468949.2011820155</v>
      </c>
      <c r="L10" s="64" t="e">
        <f>#REF!</f>
        <v>#REF!</v>
      </c>
      <c r="M10" s="64" t="e">
        <f>#REF!</f>
        <v>#REF!</v>
      </c>
      <c r="N10" s="64" t="e">
        <f t="shared" si="1"/>
        <v>#REF!</v>
      </c>
      <c r="Q10" s="64">
        <f t="shared" si="2"/>
        <v>1468949.2011820155</v>
      </c>
      <c r="R10" s="137">
        <f>'Band Calculations'!Z14</f>
        <v>130</v>
      </c>
      <c r="T10" s="150">
        <f t="shared" si="3"/>
        <v>11299.609239861658</v>
      </c>
      <c r="U10" s="150">
        <f t="shared" si="4"/>
        <v>1300000</v>
      </c>
      <c r="V10" s="150">
        <f t="shared" si="5"/>
        <v>1299.6092398616584</v>
      </c>
      <c r="W10" s="218">
        <f>'2012-13 Top-ups'!Y13</f>
        <v>1473.9679208874052</v>
      </c>
      <c r="X10" s="64">
        <f t="shared" si="13"/>
        <v>1473.9679208874052</v>
      </c>
      <c r="Y10" s="64">
        <f t="shared" si="6"/>
        <v>11473.967920887406</v>
      </c>
      <c r="Z10" s="94">
        <f t="shared" si="7"/>
        <v>308.96792088740585</v>
      </c>
      <c r="AA10" s="64">
        <f t="shared" si="8"/>
        <v>22666.628533347088</v>
      </c>
      <c r="AB10" s="64">
        <f t="shared" si="9"/>
        <v>1491615.8297153625</v>
      </c>
      <c r="AC10" s="64">
        <f t="shared" si="10"/>
        <v>1469241.592269632</v>
      </c>
      <c r="AD10" s="64">
        <f t="shared" si="11"/>
        <v>11301.858402074093</v>
      </c>
      <c r="AE10" s="64">
        <f t="shared" si="12"/>
        <v>1301.8584020740927</v>
      </c>
    </row>
    <row r="11" spans="1:32" ht="13" x14ac:dyDescent="0.3">
      <c r="A11" s="185">
        <v>9257009</v>
      </c>
      <c r="B11" s="38" t="s">
        <v>76</v>
      </c>
      <c r="C11" s="39">
        <v>5</v>
      </c>
      <c r="D11" s="158">
        <v>418723</v>
      </c>
      <c r="E11" s="158">
        <v>117027</v>
      </c>
      <c r="F11" s="64"/>
      <c r="G11" s="64"/>
      <c r="H11" s="64">
        <f>'Band Calculations'!Y15</f>
        <v>998240.72223642375</v>
      </c>
      <c r="I11" s="94">
        <v>19199.5</v>
      </c>
      <c r="J11" s="94">
        <v>876.23139186667242</v>
      </c>
      <c r="K11" s="64">
        <f t="shared" si="0"/>
        <v>1554066.4536282904</v>
      </c>
      <c r="L11" s="64" t="e">
        <f>#REF!</f>
        <v>#REF!</v>
      </c>
      <c r="M11" s="64" t="e">
        <f>#REF!</f>
        <v>#REF!</v>
      </c>
      <c r="N11" s="64" t="e">
        <f t="shared" si="1"/>
        <v>#REF!</v>
      </c>
      <c r="Q11" s="64">
        <f t="shared" si="2"/>
        <v>1554066.4536282904</v>
      </c>
      <c r="R11" s="137">
        <f>'Band Calculations'!Z15</f>
        <v>131</v>
      </c>
      <c r="T11" s="150">
        <f t="shared" si="3"/>
        <v>11863.102699452598</v>
      </c>
      <c r="U11" s="150">
        <f t="shared" si="4"/>
        <v>1310000</v>
      </c>
      <c r="V11" s="150">
        <f t="shared" si="5"/>
        <v>1863.1026994525982</v>
      </c>
      <c r="W11" s="64">
        <f>'2012-13 Top-ups'!Y14</f>
        <v>1236.4721328262956</v>
      </c>
      <c r="X11" s="64">
        <f t="shared" si="13"/>
        <v>1863.1026994525982</v>
      </c>
      <c r="Y11" s="64">
        <f t="shared" si="6"/>
        <v>11863.102699452598</v>
      </c>
      <c r="Z11" s="94">
        <f t="shared" si="7"/>
        <v>698.10269945259824</v>
      </c>
      <c r="AA11" s="64">
        <f t="shared" si="8"/>
        <v>0</v>
      </c>
      <c r="AB11" s="64">
        <f t="shared" si="9"/>
        <v>1554066.4536282904</v>
      </c>
      <c r="AC11" s="64">
        <f t="shared" si="10"/>
        <v>1530755.4568238661</v>
      </c>
      <c r="AD11" s="64">
        <f t="shared" si="11"/>
        <v>11685.15615896081</v>
      </c>
      <c r="AE11" s="64">
        <f t="shared" si="12"/>
        <v>1685.15615896081</v>
      </c>
    </row>
    <row r="12" spans="1:32" ht="13" x14ac:dyDescent="0.3">
      <c r="A12" s="185">
        <v>9257028</v>
      </c>
      <c r="B12" s="38" t="s">
        <v>77</v>
      </c>
      <c r="C12" s="39">
        <v>5</v>
      </c>
      <c r="D12" s="158">
        <v>418723</v>
      </c>
      <c r="E12" s="158">
        <v>117027</v>
      </c>
      <c r="F12" s="64"/>
      <c r="G12" s="64"/>
      <c r="H12" s="64">
        <f>'Band Calculations'!Y19</f>
        <v>772394.9035265795</v>
      </c>
      <c r="I12" s="94">
        <v>9823</v>
      </c>
      <c r="J12" s="94">
        <v>705.22818020051216</v>
      </c>
      <c r="K12" s="64">
        <f t="shared" si="0"/>
        <v>1318673.1317067801</v>
      </c>
      <c r="L12" s="64" t="e">
        <f>#REF!</f>
        <v>#REF!</v>
      </c>
      <c r="M12" s="64" t="e">
        <f>#REF!</f>
        <v>#REF!</v>
      </c>
      <c r="N12" s="64" t="e">
        <f t="shared" si="1"/>
        <v>#REF!</v>
      </c>
      <c r="Q12" s="64">
        <f t="shared" si="2"/>
        <v>1318673.1317067801</v>
      </c>
      <c r="R12" s="137">
        <f>'Band Calculations'!Z19</f>
        <v>73</v>
      </c>
      <c r="T12" s="150">
        <f t="shared" si="3"/>
        <v>18064.015502832604</v>
      </c>
      <c r="U12" s="150">
        <f t="shared" si="4"/>
        <v>730000</v>
      </c>
      <c r="V12" s="150">
        <f t="shared" si="5"/>
        <v>8064.0155028326044</v>
      </c>
      <c r="W12" s="64">
        <f>'2012-13 Top-ups'!Y15</f>
        <v>7904.5929792820807</v>
      </c>
      <c r="X12" s="64">
        <f t="shared" si="13"/>
        <v>8064.0155028326044</v>
      </c>
      <c r="Y12" s="64">
        <f t="shared" si="6"/>
        <v>18064.015502832604</v>
      </c>
      <c r="Z12" s="94">
        <f t="shared" si="7"/>
        <v>6899.0155028326044</v>
      </c>
      <c r="AA12" s="64">
        <f t="shared" si="8"/>
        <v>0</v>
      </c>
      <c r="AB12" s="64">
        <f t="shared" si="9"/>
        <v>1318673.1317067801</v>
      </c>
      <c r="AC12" s="64">
        <f t="shared" si="10"/>
        <v>1298893.0347311783</v>
      </c>
      <c r="AD12" s="64">
        <f t="shared" si="11"/>
        <v>17793.055270290115</v>
      </c>
      <c r="AE12" s="64">
        <f t="shared" si="12"/>
        <v>7793.055270290115</v>
      </c>
    </row>
    <row r="13" spans="1:32" x14ac:dyDescent="0.25">
      <c r="A13" s="185">
        <v>9257021</v>
      </c>
      <c r="B13" s="38" t="s">
        <v>78</v>
      </c>
      <c r="C13" s="39">
        <v>5</v>
      </c>
      <c r="D13" s="94">
        <f>'Funding Model'!$D$24</f>
        <v>418723.18610831723</v>
      </c>
      <c r="E13" s="94">
        <f>'Funding Model'!$E$24</f>
        <v>117027.3922528728</v>
      </c>
      <c r="F13" s="64"/>
      <c r="G13" s="64"/>
      <c r="H13" s="64">
        <f>'Band Calculations'!Y20</f>
        <v>1057721.8869930455</v>
      </c>
      <c r="I13" s="94">
        <v>23664.5</v>
      </c>
      <c r="J13" s="94">
        <v>908.66303545853043</v>
      </c>
      <c r="K13" s="64">
        <f t="shared" si="0"/>
        <v>1618045.6283896938</v>
      </c>
      <c r="L13" s="64" t="e">
        <f>#REF!</f>
        <v>#REF!</v>
      </c>
      <c r="M13" s="64" t="e">
        <f>#REF!</f>
        <v>#REF!</v>
      </c>
      <c r="N13" s="64" t="e">
        <f t="shared" si="1"/>
        <v>#REF!</v>
      </c>
      <c r="Q13" s="64">
        <f t="shared" si="2"/>
        <v>1618045.6283896938</v>
      </c>
      <c r="R13" s="137">
        <f>'Band Calculations'!Z20</f>
        <v>142</v>
      </c>
      <c r="T13" s="150">
        <f t="shared" si="3"/>
        <v>11394.687523871084</v>
      </c>
      <c r="U13" s="150">
        <f t="shared" si="4"/>
        <v>1420000</v>
      </c>
      <c r="V13" s="150">
        <f t="shared" si="5"/>
        <v>1394.6875238710836</v>
      </c>
      <c r="W13" s="64">
        <f>'2012-13 Top-ups'!Y16</f>
        <v>531.61770718907042</v>
      </c>
      <c r="X13" s="64">
        <f t="shared" si="13"/>
        <v>1394.6875238710836</v>
      </c>
      <c r="Y13" s="64">
        <f t="shared" si="6"/>
        <v>11394.687523871084</v>
      </c>
      <c r="Z13" s="94">
        <f t="shared" si="7"/>
        <v>229.68752387108361</v>
      </c>
      <c r="AA13" s="64">
        <f t="shared" si="8"/>
        <v>0</v>
      </c>
      <c r="AB13" s="64">
        <f t="shared" si="9"/>
        <v>1618045.6283896938</v>
      </c>
      <c r="AC13" s="64">
        <f t="shared" si="10"/>
        <v>1593774.9439638483</v>
      </c>
      <c r="AD13" s="64">
        <f t="shared" si="11"/>
        <v>11223.767211013017</v>
      </c>
      <c r="AE13" s="64">
        <f t="shared" si="12"/>
        <v>1223.767211013017</v>
      </c>
    </row>
    <row r="14" spans="1:32" s="40" customFormat="1" x14ac:dyDescent="0.25">
      <c r="A14" s="131">
        <v>9257015</v>
      </c>
      <c r="B14" s="38" t="s">
        <v>55</v>
      </c>
      <c r="C14" s="39">
        <v>5</v>
      </c>
      <c r="D14" s="94">
        <f>'Funding Model'!D24</f>
        <v>418723.18610831723</v>
      </c>
      <c r="E14" s="94">
        <f>'Funding Model'!E24</f>
        <v>117027.3922528728</v>
      </c>
      <c r="F14" s="94"/>
      <c r="G14" s="94">
        <v>17037</v>
      </c>
      <c r="H14" s="94">
        <f>'Band Calculations'!Y21</f>
        <v>1707600.4078561282</v>
      </c>
      <c r="I14" s="94">
        <v>33934</v>
      </c>
      <c r="J14" s="94">
        <v>1056.0795972397032</v>
      </c>
      <c r="K14" s="94">
        <f t="shared" si="0"/>
        <v>2295378.065814558</v>
      </c>
      <c r="L14" s="94" t="e">
        <f>#REF!</f>
        <v>#REF!</v>
      </c>
      <c r="M14" s="94" t="e">
        <f>#REF!</f>
        <v>#REF!</v>
      </c>
      <c r="N14" s="94" t="e">
        <f t="shared" si="1"/>
        <v>#REF!</v>
      </c>
      <c r="Q14" s="94">
        <f t="shared" si="2"/>
        <v>2295378.065814558</v>
      </c>
      <c r="R14" s="246">
        <f>'Band Calculations'!Z21</f>
        <v>230.83333333333337</v>
      </c>
      <c r="T14" s="247">
        <f t="shared" si="3"/>
        <v>9943.8760973915851</v>
      </c>
      <c r="U14" s="247">
        <f>R14*10000</f>
        <v>2308333.3333333335</v>
      </c>
      <c r="V14" s="247">
        <f>T14-10000</f>
        <v>-56.123902608414937</v>
      </c>
      <c r="W14" s="94">
        <f>'2012-13 Top-ups'!Y17</f>
        <v>566.81728358124712</v>
      </c>
      <c r="X14" s="94">
        <f t="shared" si="13"/>
        <v>566.81728358124712</v>
      </c>
      <c r="Y14" s="94">
        <f t="shared" si="6"/>
        <v>10566.817283581247</v>
      </c>
      <c r="Z14" s="94">
        <f t="shared" si="7"/>
        <v>-598.18271641875253</v>
      </c>
      <c r="AA14" s="94">
        <f>(X14-V14)*R14</f>
        <v>143795.59047878036</v>
      </c>
      <c r="AB14" s="64">
        <f>Q14+AA14</f>
        <v>2439173.6562933382</v>
      </c>
      <c r="AC14" s="64">
        <f t="shared" si="10"/>
        <v>2402586.051448938</v>
      </c>
      <c r="AD14" s="64">
        <f t="shared" si="11"/>
        <v>10408.315024327527</v>
      </c>
      <c r="AE14" s="64">
        <f t="shared" si="12"/>
        <v>408.31502432752677</v>
      </c>
    </row>
    <row r="15" spans="1:32" s="40" customFormat="1" x14ac:dyDescent="0.25">
      <c r="A15" s="131">
        <v>9257017</v>
      </c>
      <c r="B15" s="38" t="s">
        <v>79</v>
      </c>
      <c r="C15" s="39">
        <v>5</v>
      </c>
      <c r="D15" s="94">
        <f>(5/12)*'Funding Model'!$D$24</f>
        <v>174467.99421179885</v>
      </c>
      <c r="E15" s="94">
        <f>(5/12)*'Funding Model'!$E$24</f>
        <v>48761.413438697004</v>
      </c>
      <c r="F15" s="94"/>
      <c r="G15" s="94"/>
      <c r="H15" s="94">
        <f>'Band Calculations'!Y22</f>
        <v>147253.4775666777</v>
      </c>
      <c r="I15" s="94">
        <f>(5/12)*7144</f>
        <v>2976.666666666667</v>
      </c>
      <c r="J15" s="94">
        <v>690.48652402239486</v>
      </c>
      <c r="K15" s="94">
        <f t="shared" si="0"/>
        <v>374150.03840786265</v>
      </c>
      <c r="L15" s="94" t="e">
        <f>#REF!</f>
        <v>#REF!</v>
      </c>
      <c r="M15" s="94" t="e">
        <f>#REF!</f>
        <v>#REF!</v>
      </c>
      <c r="N15" s="94" t="e">
        <f t="shared" si="1"/>
        <v>#REF!</v>
      </c>
      <c r="Q15" s="94">
        <f t="shared" si="2"/>
        <v>374150.03840786265</v>
      </c>
      <c r="R15" s="246">
        <f>'Band Calculations'!Z22</f>
        <v>15.416666666666668</v>
      </c>
      <c r="T15" s="247">
        <f t="shared" si="3"/>
        <v>24269.191680510008</v>
      </c>
      <c r="U15" s="247">
        <f t="shared" si="4"/>
        <v>154166.66666666669</v>
      </c>
      <c r="V15" s="247">
        <f t="shared" si="5"/>
        <v>14269.191680510008</v>
      </c>
      <c r="W15" s="94">
        <f>'2012-13 Top-ups'!Y18</f>
        <v>7924.7200338559323</v>
      </c>
      <c r="X15" s="94">
        <f t="shared" si="13"/>
        <v>14269.191680510008</v>
      </c>
      <c r="Y15" s="94">
        <f t="shared" si="6"/>
        <v>24269.191680510008</v>
      </c>
      <c r="Z15" s="94">
        <f t="shared" si="7"/>
        <v>13104.191680510008</v>
      </c>
      <c r="AA15" s="94">
        <f t="shared" si="8"/>
        <v>0</v>
      </c>
      <c r="AB15" s="64">
        <f t="shared" si="9"/>
        <v>374150.03840786265</v>
      </c>
      <c r="AC15" s="64">
        <f t="shared" si="10"/>
        <v>368537.7878317447</v>
      </c>
      <c r="AD15" s="64">
        <f t="shared" si="11"/>
        <v>23905.153805302358</v>
      </c>
      <c r="AE15" s="64">
        <f t="shared" si="12"/>
        <v>13905.153805302358</v>
      </c>
      <c r="AF15" s="79" t="s">
        <v>306</v>
      </c>
    </row>
    <row r="16" spans="1:32" x14ac:dyDescent="0.25">
      <c r="A16" s="185">
        <v>9257016</v>
      </c>
      <c r="B16" s="38" t="s">
        <v>80</v>
      </c>
      <c r="C16" s="39">
        <v>6</v>
      </c>
      <c r="D16" s="94">
        <f>'Funding Model'!D25</f>
        <v>493762.11190507573</v>
      </c>
      <c r="E16" s="94">
        <f>'Funding Model'!E25</f>
        <v>131719.7894229154</v>
      </c>
      <c r="F16" s="64"/>
      <c r="G16" s="64"/>
      <c r="H16" s="64">
        <f>'Band Calculations'!Y23</f>
        <v>1449833.142735743</v>
      </c>
      <c r="I16" s="94">
        <v>12055.5</v>
      </c>
      <c r="J16" s="94">
        <v>832.00642333232065</v>
      </c>
      <c r="K16" s="64">
        <f t="shared" si="0"/>
        <v>2088202.5504870664</v>
      </c>
      <c r="L16" s="64" t="e">
        <f>#REF!</f>
        <v>#REF!</v>
      </c>
      <c r="M16" s="64" t="e">
        <f>#REF!-#REF!</f>
        <v>#REF!</v>
      </c>
      <c r="N16" s="64" t="e">
        <f t="shared" si="1"/>
        <v>#REF!</v>
      </c>
      <c r="Q16" s="64">
        <f t="shared" si="2"/>
        <v>2088202.5504870664</v>
      </c>
      <c r="R16" s="137">
        <f>'Band Calculations'!Z23</f>
        <v>129</v>
      </c>
      <c r="T16" s="150">
        <f t="shared" si="3"/>
        <v>16187.616670442376</v>
      </c>
      <c r="U16" s="150">
        <f t="shared" si="4"/>
        <v>1290000</v>
      </c>
      <c r="V16" s="150">
        <f t="shared" si="5"/>
        <v>6187.6166704423758</v>
      </c>
      <c r="W16" s="218">
        <f>'2012-13 Top-ups'!Y19</f>
        <v>7115.6740291999495</v>
      </c>
      <c r="X16" s="64">
        <f t="shared" si="13"/>
        <v>7115.6740291999495</v>
      </c>
      <c r="Y16" s="64">
        <f t="shared" si="6"/>
        <v>17115.674029199949</v>
      </c>
      <c r="Z16" s="94">
        <f t="shared" si="7"/>
        <v>5950.6740291999486</v>
      </c>
      <c r="AA16" s="64">
        <f>(X16-V16)*R16</f>
        <v>119719.399279727</v>
      </c>
      <c r="AB16" s="64">
        <f t="shared" si="9"/>
        <v>2207921.9497667933</v>
      </c>
      <c r="AC16" s="64">
        <f t="shared" si="10"/>
        <v>2174803.1205202914</v>
      </c>
      <c r="AD16" s="64">
        <f t="shared" si="11"/>
        <v>16858.938918761949</v>
      </c>
      <c r="AE16" s="64">
        <f t="shared" si="12"/>
        <v>6858.938918761949</v>
      </c>
    </row>
    <row r="17" spans="1:36" ht="25" x14ac:dyDescent="0.25">
      <c r="A17" s="185"/>
      <c r="B17" s="38"/>
      <c r="C17" s="39"/>
      <c r="D17" s="64"/>
      <c r="E17" s="64"/>
      <c r="F17" s="64"/>
      <c r="G17" s="64"/>
      <c r="H17" s="64"/>
      <c r="I17" s="94"/>
      <c r="J17" s="94"/>
      <c r="K17" s="64"/>
      <c r="L17" s="64"/>
      <c r="M17" s="71"/>
      <c r="N17" s="71"/>
      <c r="O17" s="65" t="s">
        <v>105</v>
      </c>
      <c r="P17" s="88" t="s">
        <v>106</v>
      </c>
      <c r="Q17" s="64"/>
      <c r="R17" s="37"/>
      <c r="T17" s="150"/>
      <c r="U17" s="150"/>
      <c r="V17" s="150"/>
      <c r="W17" s="64"/>
      <c r="X17" s="64"/>
      <c r="Y17" s="64"/>
      <c r="Z17" s="94"/>
      <c r="AA17" s="64"/>
      <c r="AB17" s="64"/>
      <c r="AC17" s="64"/>
      <c r="AD17" s="64"/>
      <c r="AE17" s="64"/>
    </row>
    <row r="18" spans="1:36" ht="13" x14ac:dyDescent="0.3">
      <c r="A18" s="185">
        <v>9257031</v>
      </c>
      <c r="B18" s="43" t="s">
        <v>81</v>
      </c>
      <c r="C18" s="39">
        <v>3</v>
      </c>
      <c r="D18" s="94">
        <f>'Funding Model'!D26</f>
        <v>280697.16623783787</v>
      </c>
      <c r="E18" s="94">
        <f>'Funding Model'!E26</f>
        <v>55663.058379368813</v>
      </c>
      <c r="F18" s="64">
        <f>'2012-13 Top-ups'!F41</f>
        <v>154884</v>
      </c>
      <c r="G18" s="64"/>
      <c r="H18" s="64">
        <f>'Band Calculations'!Y10</f>
        <v>873951.18016309384</v>
      </c>
      <c r="I18" s="94">
        <v>10716</v>
      </c>
      <c r="J18" s="94">
        <v>669.84820537303062</v>
      </c>
      <c r="K18" s="64">
        <f>SUM(D18:J18)</f>
        <v>1376581.2529856735</v>
      </c>
      <c r="L18" s="64" t="e">
        <f>#REF!</f>
        <v>#REF!</v>
      </c>
      <c r="M18" s="64" t="e">
        <f>#REF!</f>
        <v>#REF!</v>
      </c>
      <c r="N18" s="64" t="e">
        <f>K18-L18-M18</f>
        <v>#REF!</v>
      </c>
      <c r="O18" s="64" t="e">
        <f>#REF!</f>
        <v>#REF!</v>
      </c>
      <c r="P18" s="71" t="e">
        <f>N18+O18</f>
        <v>#REF!</v>
      </c>
      <c r="Q18" s="64">
        <f t="shared" si="2"/>
        <v>1221697.2529856735</v>
      </c>
      <c r="R18" s="137">
        <f>'Band Calculations'!Z10</f>
        <v>61</v>
      </c>
      <c r="T18" s="150">
        <f>Q18/R18</f>
        <v>20027.823819437272</v>
      </c>
      <c r="U18" s="150">
        <f>R18*10000</f>
        <v>610000</v>
      </c>
      <c r="V18" s="150">
        <f>T18-10000</f>
        <v>10027.823819437272</v>
      </c>
      <c r="W18" s="218">
        <f>'2012-13 Top-ups'!Y20</f>
        <v>10454.001885681211</v>
      </c>
      <c r="X18" s="64">
        <f t="shared" si="13"/>
        <v>10454.001885681211</v>
      </c>
      <c r="Y18" s="64">
        <f t="shared" si="6"/>
        <v>20454.001885681209</v>
      </c>
      <c r="Z18" s="94">
        <f t="shared" si="7"/>
        <v>9289.0018856812094</v>
      </c>
      <c r="AA18" s="181">
        <v>40316.591859062166</v>
      </c>
      <c r="AB18" s="64">
        <f>Q18+AA18</f>
        <v>1262013.8448447357</v>
      </c>
      <c r="AC18" s="64">
        <f t="shared" si="10"/>
        <v>1243083.6371720647</v>
      </c>
      <c r="AD18" s="64">
        <f t="shared" si="11"/>
        <v>20378.420281509258</v>
      </c>
      <c r="AE18" s="64">
        <f t="shared" si="12"/>
        <v>10378.420281509258</v>
      </c>
      <c r="AF18" s="1956" t="s">
        <v>352</v>
      </c>
      <c r="AG18" s="1957"/>
      <c r="AH18" s="1957"/>
      <c r="AI18" s="40"/>
      <c r="AJ18" s="40"/>
    </row>
    <row r="19" spans="1:36" ht="13" x14ac:dyDescent="0.3">
      <c r="A19" s="185">
        <v>9257029</v>
      </c>
      <c r="B19" s="43" t="s">
        <v>84</v>
      </c>
      <c r="C19" s="39">
        <v>4</v>
      </c>
      <c r="D19" s="94">
        <f>'Funding Model'!$D$27</f>
        <v>360067.26321081078</v>
      </c>
      <c r="E19" s="94">
        <f>'Funding Model'!$E$27</f>
        <v>58044.118057617408</v>
      </c>
      <c r="F19" s="64">
        <f>'2012-13 Top-ups'!F42</f>
        <v>219086</v>
      </c>
      <c r="G19" s="64"/>
      <c r="H19" s="64">
        <f>'Band Calculations'!Y16</f>
        <v>888278.24869035766</v>
      </c>
      <c r="I19" s="94">
        <v>10269.5</v>
      </c>
      <c r="J19" s="94">
        <v>672.79653660865415</v>
      </c>
      <c r="K19" s="64">
        <f>SUM(D19:J19)</f>
        <v>1536417.9264953944</v>
      </c>
      <c r="L19" s="64" t="e">
        <f>#REF!</f>
        <v>#REF!</v>
      </c>
      <c r="M19" s="64" t="e">
        <f>#REF!</f>
        <v>#REF!</v>
      </c>
      <c r="N19" s="64" t="e">
        <f>K19-L19-M19</f>
        <v>#REF!</v>
      </c>
      <c r="O19" s="64" t="e">
        <f>#REF!</f>
        <v>#REF!</v>
      </c>
      <c r="P19" s="71" t="e">
        <f>N19+O19</f>
        <v>#REF!</v>
      </c>
      <c r="Q19" s="64">
        <f t="shared" si="2"/>
        <v>1317331.9264953944</v>
      </c>
      <c r="R19" s="137">
        <f>'Band Calculations'!Z16</f>
        <v>62.000000000000007</v>
      </c>
      <c r="T19" s="150">
        <f t="shared" si="3"/>
        <v>21247.28913702249</v>
      </c>
      <c r="U19" s="150">
        <f t="shared" si="4"/>
        <v>620000.00000000012</v>
      </c>
      <c r="V19" s="150">
        <f t="shared" si="5"/>
        <v>11247.28913702249</v>
      </c>
      <c r="W19" s="218">
        <f>'2012-13 Top-ups'!Y21</f>
        <v>12588.373556603292</v>
      </c>
      <c r="X19" s="64">
        <f t="shared" si="13"/>
        <v>12588.373556603292</v>
      </c>
      <c r="Y19" s="64">
        <f t="shared" si="6"/>
        <v>22588.373556603292</v>
      </c>
      <c r="Z19" s="94">
        <f t="shared" si="7"/>
        <v>11423.373556603292</v>
      </c>
      <c r="AA19" s="181">
        <v>79860.944014009787</v>
      </c>
      <c r="AB19" s="64">
        <f>Q19+AA19</f>
        <v>1397192.8705094042</v>
      </c>
      <c r="AC19" s="64">
        <f t="shared" si="10"/>
        <v>1376234.9774517631</v>
      </c>
      <c r="AD19" s="64">
        <f t="shared" si="11"/>
        <v>22197.338345996177</v>
      </c>
      <c r="AE19" s="64">
        <f t="shared" si="12"/>
        <v>12197.338345996177</v>
      </c>
      <c r="AF19" s="1956"/>
      <c r="AG19" s="1957"/>
      <c r="AH19" s="1957"/>
    </row>
    <row r="20" spans="1:36" ht="13" x14ac:dyDescent="0.3">
      <c r="A20" s="185">
        <v>9257032</v>
      </c>
      <c r="B20" s="43" t="s">
        <v>82</v>
      </c>
      <c r="C20" s="39">
        <v>5</v>
      </c>
      <c r="D20" s="94">
        <f>'Funding Model'!$D$27</f>
        <v>360067.26321081078</v>
      </c>
      <c r="E20" s="94">
        <f>'Funding Model'!$E$27</f>
        <v>58044.118057617408</v>
      </c>
      <c r="F20" s="64">
        <f>'2012-13 Top-ups'!F43</f>
        <v>194478</v>
      </c>
      <c r="G20" s="64"/>
      <c r="H20" s="64">
        <f>'Band Calculations'!Y17</f>
        <v>845297.04310856608</v>
      </c>
      <c r="I20" s="94">
        <v>12948.5</v>
      </c>
      <c r="J20" s="94">
        <v>663.9515429017838</v>
      </c>
      <c r="K20" s="64">
        <f>SUM(D20:J20)</f>
        <v>1471498.8759198962</v>
      </c>
      <c r="L20" s="64" t="e">
        <f>#REF!</f>
        <v>#REF!</v>
      </c>
      <c r="M20" s="64" t="e">
        <f>#REF!</f>
        <v>#REF!</v>
      </c>
      <c r="N20" s="64" t="e">
        <f>K20-L20-M20</f>
        <v>#REF!</v>
      </c>
      <c r="O20" s="64" t="e">
        <f>#REF!</f>
        <v>#REF!</v>
      </c>
      <c r="P20" s="71" t="e">
        <f>N20+O20</f>
        <v>#REF!</v>
      </c>
      <c r="Q20" s="64">
        <f t="shared" si="2"/>
        <v>1277020.8759198962</v>
      </c>
      <c r="R20" s="137">
        <f>'Band Calculations'!Z17</f>
        <v>59.000000000000007</v>
      </c>
      <c r="T20" s="150">
        <f t="shared" si="3"/>
        <v>21644.421625760948</v>
      </c>
      <c r="U20" s="150">
        <f t="shared" si="4"/>
        <v>590000.00000000012</v>
      </c>
      <c r="V20" s="150">
        <f t="shared" si="5"/>
        <v>11644.421625760948</v>
      </c>
      <c r="W20" s="218">
        <f>'2012-13 Top-ups'!Y22</f>
        <v>12489.112053133687</v>
      </c>
      <c r="X20" s="64">
        <f t="shared" si="13"/>
        <v>12489.112053133687</v>
      </c>
      <c r="Y20" s="64">
        <f t="shared" si="6"/>
        <v>22489.112053133686</v>
      </c>
      <c r="Z20" s="94">
        <f t="shared" si="7"/>
        <v>11324.112053133686</v>
      </c>
      <c r="AA20" s="181">
        <v>26602.507487718856</v>
      </c>
      <c r="AB20" s="64">
        <f t="shared" si="9"/>
        <v>1303623.3834076151</v>
      </c>
      <c r="AC20" s="64">
        <f t="shared" si="10"/>
        <v>1284069.0326565008</v>
      </c>
      <c r="AD20" s="64">
        <f t="shared" si="11"/>
        <v>21763.881909432213</v>
      </c>
      <c r="AE20" s="64">
        <f t="shared" si="12"/>
        <v>11763.881909432213</v>
      </c>
      <c r="AF20" s="1956"/>
      <c r="AG20" s="1957"/>
      <c r="AH20" s="1957"/>
    </row>
    <row r="21" spans="1:36" ht="13" x14ac:dyDescent="0.3">
      <c r="A21" s="185">
        <v>9257030</v>
      </c>
      <c r="B21" s="43" t="s">
        <v>83</v>
      </c>
      <c r="C21" s="39">
        <v>4</v>
      </c>
      <c r="D21" s="94">
        <f>'Funding Model'!$D$27</f>
        <v>360067.26321081078</v>
      </c>
      <c r="E21" s="94">
        <f>'Funding Model'!$E$27</f>
        <v>58044.118057617408</v>
      </c>
      <c r="F21" s="64">
        <f>'2012-13 Top-ups'!F44</f>
        <v>238797</v>
      </c>
      <c r="G21" s="64"/>
      <c r="H21" s="64">
        <f>'Band Calculations'!Y18</f>
        <v>787988.76899951079</v>
      </c>
      <c r="I21" s="94">
        <v>8483.5</v>
      </c>
      <c r="J21" s="94">
        <v>652.15821795928991</v>
      </c>
      <c r="K21" s="64">
        <f>SUM(D21:J21)</f>
        <v>1454032.8084858984</v>
      </c>
      <c r="L21" s="64" t="e">
        <f>#REF!</f>
        <v>#REF!</v>
      </c>
      <c r="M21" s="64" t="e">
        <f>#REF!</f>
        <v>#REF!</v>
      </c>
      <c r="N21" s="64" t="e">
        <f>K21-L21-M21</f>
        <v>#REF!</v>
      </c>
      <c r="O21" s="64" t="e">
        <f>#REF!</f>
        <v>#REF!</v>
      </c>
      <c r="P21" s="71" t="e">
        <f>N21+O21</f>
        <v>#REF!</v>
      </c>
      <c r="Q21" s="64">
        <f t="shared" si="2"/>
        <v>1215235.8084858984</v>
      </c>
      <c r="R21" s="137">
        <f>'Band Calculations'!Z18</f>
        <v>55</v>
      </c>
      <c r="T21" s="150">
        <f t="shared" si="3"/>
        <v>22095.196517925426</v>
      </c>
      <c r="U21" s="150">
        <f t="shared" si="4"/>
        <v>550000</v>
      </c>
      <c r="V21" s="150">
        <f t="shared" si="5"/>
        <v>12095.196517925426</v>
      </c>
      <c r="W21" s="218">
        <f>'2012-13 Top-ups'!Y23</f>
        <v>12845.087262459823</v>
      </c>
      <c r="X21" s="64">
        <f t="shared" si="13"/>
        <v>12845.087262459823</v>
      </c>
      <c r="Y21" s="64">
        <f t="shared" si="6"/>
        <v>22845.087262459823</v>
      </c>
      <c r="Z21" s="94">
        <f t="shared" si="7"/>
        <v>11680.087262459823</v>
      </c>
      <c r="AA21" s="181">
        <v>14526.12988381803</v>
      </c>
      <c r="AB21" s="64">
        <f t="shared" si="9"/>
        <v>1229761.9383697165</v>
      </c>
      <c r="AC21" s="64">
        <f t="shared" si="10"/>
        <v>1211315.5092941707</v>
      </c>
      <c r="AD21" s="64">
        <f t="shared" si="11"/>
        <v>22023.918350803102</v>
      </c>
      <c r="AE21" s="64">
        <f t="shared" si="12"/>
        <v>12023.918350803102</v>
      </c>
      <c r="AF21" s="1956"/>
      <c r="AG21" s="1957"/>
      <c r="AH21" s="1957"/>
    </row>
    <row r="22" spans="1:36" ht="13" x14ac:dyDescent="0.3">
      <c r="A22" s="185"/>
      <c r="B22" s="43"/>
      <c r="C22" s="39"/>
      <c r="D22" s="94"/>
      <c r="E22" s="94"/>
      <c r="F22" s="64"/>
      <c r="G22" s="64"/>
      <c r="H22" s="64"/>
      <c r="I22" s="94"/>
      <c r="J22" s="94"/>
      <c r="K22" s="64"/>
      <c r="L22" s="72"/>
      <c r="M22" s="72"/>
      <c r="N22" s="64"/>
      <c r="O22" s="52"/>
      <c r="P22" s="52"/>
      <c r="Q22" s="64"/>
      <c r="R22" s="37"/>
      <c r="T22" s="150"/>
      <c r="U22" s="150"/>
      <c r="V22" s="150"/>
      <c r="W22" s="64"/>
      <c r="X22" s="64"/>
      <c r="Y22" s="64"/>
      <c r="Z22" s="94"/>
      <c r="AA22" s="64"/>
      <c r="AB22" s="64"/>
      <c r="AC22" s="64"/>
      <c r="AD22" s="64"/>
      <c r="AE22" s="64"/>
    </row>
    <row r="23" spans="1:36" x14ac:dyDescent="0.25">
      <c r="A23" s="185">
        <v>9257033</v>
      </c>
      <c r="B23" s="38" t="s">
        <v>72</v>
      </c>
      <c r="C23" s="39">
        <v>3</v>
      </c>
      <c r="D23" s="94">
        <f>'Funding Model'!$D$22</f>
        <v>314686.51772419503</v>
      </c>
      <c r="E23" s="94">
        <f>'Funding Model'!$E$22</f>
        <v>69201.680689977453</v>
      </c>
      <c r="F23" s="64"/>
      <c r="G23" s="64"/>
      <c r="H23" s="64">
        <f>'Band Calculations'!Y11</f>
        <v>505498.28651081503</v>
      </c>
      <c r="I23" s="94">
        <v>11162.5</v>
      </c>
      <c r="J23" s="94">
        <v>666.89987413740721</v>
      </c>
      <c r="K23" s="64">
        <f>SUM(D23:J23)</f>
        <v>901215.88479912491</v>
      </c>
      <c r="L23" s="91" t="e">
        <f>#REF!</f>
        <v>#REF!</v>
      </c>
      <c r="M23" s="91" t="e">
        <f>#REF!</f>
        <v>#REF!</v>
      </c>
      <c r="N23" s="64" t="e">
        <f>K23-L23-M23</f>
        <v>#REF!</v>
      </c>
      <c r="O23" s="52"/>
      <c r="P23" s="52"/>
      <c r="Q23" s="64">
        <f t="shared" si="2"/>
        <v>901215.88479912491</v>
      </c>
      <c r="R23" s="137">
        <f>'Band Calculations'!Z11</f>
        <v>60</v>
      </c>
      <c r="T23" s="150">
        <f t="shared" si="3"/>
        <v>15020.264746652081</v>
      </c>
      <c r="U23" s="150">
        <f t="shared" si="4"/>
        <v>600000</v>
      </c>
      <c r="V23" s="150">
        <f t="shared" si="5"/>
        <v>5020.2647466520812</v>
      </c>
      <c r="W23" s="218">
        <f>'2012-13 Top-ups'!Y24</f>
        <v>5872.5645709492128</v>
      </c>
      <c r="X23" s="64">
        <f t="shared" si="13"/>
        <v>5872.5645709492128</v>
      </c>
      <c r="Y23" s="64">
        <f t="shared" si="6"/>
        <v>15872.564570949213</v>
      </c>
      <c r="Z23" s="94">
        <f t="shared" si="7"/>
        <v>4707.5645709492128</v>
      </c>
      <c r="AA23" s="64">
        <f>(X23-V23)*R23</f>
        <v>51137.989457827898</v>
      </c>
      <c r="AB23" s="64">
        <f t="shared" si="9"/>
        <v>952353.87425695278</v>
      </c>
      <c r="AC23" s="64">
        <f t="shared" si="10"/>
        <v>938068.56614309852</v>
      </c>
      <c r="AD23" s="64">
        <f t="shared" si="11"/>
        <v>15634.476102384975</v>
      </c>
      <c r="AE23" s="64">
        <f t="shared" si="12"/>
        <v>5634.4761023849751</v>
      </c>
    </row>
    <row r="24" spans="1:36" x14ac:dyDescent="0.25">
      <c r="A24" s="185">
        <v>9257034</v>
      </c>
      <c r="B24" s="38" t="s">
        <v>74</v>
      </c>
      <c r="C24" s="39">
        <v>4</v>
      </c>
      <c r="D24" s="94">
        <f>'Funding Model'!$D$23</f>
        <v>405763.82046267512</v>
      </c>
      <c r="E24" s="94">
        <f>'Funding Model'!$E$23</f>
        <v>88790.687513148558</v>
      </c>
      <c r="F24" s="64"/>
      <c r="G24" s="64"/>
      <c r="H24" s="64">
        <f>'Band Calculations'!Y13</f>
        <v>894237.97448646929</v>
      </c>
      <c r="I24" s="94">
        <v>16074</v>
      </c>
      <c r="J24" s="94">
        <v>811.36810468295653</v>
      </c>
      <c r="K24" s="64">
        <f>SUM(D24:J24)</f>
        <v>1405677.850566976</v>
      </c>
      <c r="L24" s="74" t="e">
        <f>#REF!</f>
        <v>#REF!</v>
      </c>
      <c r="M24" s="74" t="e">
        <f>#REF!</f>
        <v>#REF!</v>
      </c>
      <c r="N24" s="64" t="e">
        <f>K24-L24-M24</f>
        <v>#REF!</v>
      </c>
      <c r="Q24" s="64">
        <f t="shared" si="2"/>
        <v>1405677.850566976</v>
      </c>
      <c r="R24" s="137">
        <f>'Band Calculations'!Z13</f>
        <v>109</v>
      </c>
      <c r="T24" s="150">
        <f t="shared" si="3"/>
        <v>12896.127069421798</v>
      </c>
      <c r="U24" s="150">
        <f t="shared" si="4"/>
        <v>1090000</v>
      </c>
      <c r="V24" s="150">
        <f t="shared" si="5"/>
        <v>2896.1270694217983</v>
      </c>
      <c r="W24" s="64">
        <f>'2012-13 Top-ups'!Y25</f>
        <v>2604.6020198467581</v>
      </c>
      <c r="X24" s="64">
        <f t="shared" si="13"/>
        <v>2896.1270694217983</v>
      </c>
      <c r="Y24" s="64">
        <f t="shared" si="6"/>
        <v>12896.127069421798</v>
      </c>
      <c r="Z24" s="94">
        <f t="shared" si="7"/>
        <v>1731.1270694217983</v>
      </c>
      <c r="AA24" s="64">
        <f>(X24-V24)*R24</f>
        <v>0</v>
      </c>
      <c r="AB24" s="64">
        <f t="shared" si="9"/>
        <v>1405677.850566976</v>
      </c>
      <c r="AC24" s="64">
        <f t="shared" si="10"/>
        <v>1384592.6828084714</v>
      </c>
      <c r="AD24" s="64">
        <f t="shared" si="11"/>
        <v>12702.685163380471</v>
      </c>
      <c r="AE24" s="64">
        <f t="shared" si="12"/>
        <v>2702.6851633804708</v>
      </c>
    </row>
    <row r="25" spans="1:36" x14ac:dyDescent="0.25">
      <c r="A25" s="69"/>
      <c r="B25" s="50"/>
      <c r="C25" s="61"/>
      <c r="D25" s="42"/>
      <c r="E25" s="42"/>
      <c r="F25" s="42"/>
      <c r="G25" s="42"/>
      <c r="H25" s="42"/>
      <c r="I25" s="80"/>
      <c r="J25" s="80"/>
      <c r="L25" s="42"/>
      <c r="M25" s="42"/>
    </row>
    <row r="26" spans="1:36" ht="13.5" customHeight="1" thickBot="1" x14ac:dyDescent="0.3">
      <c r="A26" s="69"/>
      <c r="D26" s="136">
        <f t="shared" ref="D26:R26" si="14">SUM(D4:D24)</f>
        <v>6718354.6991984947</v>
      </c>
      <c r="E26" s="136">
        <f t="shared" si="14"/>
        <v>1540378.5397757187</v>
      </c>
      <c r="F26" s="136">
        <f t="shared" si="14"/>
        <v>807245</v>
      </c>
      <c r="G26" s="136">
        <f t="shared" si="14"/>
        <v>17037</v>
      </c>
      <c r="H26" s="136">
        <f t="shared" si="14"/>
        <v>15157696.112602487</v>
      </c>
      <c r="I26" s="136">
        <f t="shared" si="14"/>
        <v>236943.16666666666</v>
      </c>
      <c r="J26" s="136">
        <f t="shared" si="14"/>
        <v>13994.89833340567</v>
      </c>
      <c r="K26" s="136">
        <f>SUM(K4:K24)</f>
        <v>24491649.41657678</v>
      </c>
      <c r="L26" s="136" t="e">
        <f t="shared" ref="L26:Q26" si="15">SUM(L4:L24)</f>
        <v>#REF!</v>
      </c>
      <c r="M26" s="136" t="e">
        <f t="shared" si="15"/>
        <v>#REF!</v>
      </c>
      <c r="N26" s="136" t="e">
        <f t="shared" si="15"/>
        <v>#REF!</v>
      </c>
      <c r="O26" s="136" t="e">
        <f t="shared" si="15"/>
        <v>#REF!</v>
      </c>
      <c r="P26" s="136" t="e">
        <f t="shared" si="15"/>
        <v>#REF!</v>
      </c>
      <c r="Q26" s="136">
        <f t="shared" si="15"/>
        <v>23684404.41657678</v>
      </c>
      <c r="R26" s="166">
        <f t="shared" si="14"/>
        <v>1598.2500000000002</v>
      </c>
      <c r="S26" s="52"/>
      <c r="U26" s="73"/>
      <c r="V26" s="75"/>
      <c r="W26" s="52"/>
      <c r="X26" s="52"/>
      <c r="Y26" s="76"/>
      <c r="AA26" s="42">
        <f>SUM(AA4:AA24)</f>
        <v>670949.39034196257</v>
      </c>
      <c r="AB26" s="42">
        <f>SUM(AB4:AB24)</f>
        <v>24355353.80691874</v>
      </c>
    </row>
    <row r="27" spans="1:36" x14ac:dyDescent="0.25">
      <c r="A27" s="69"/>
      <c r="B27" s="40"/>
      <c r="C27" s="40"/>
      <c r="D27" s="79"/>
      <c r="E27" s="79"/>
      <c r="F27" s="79"/>
      <c r="G27" s="79"/>
      <c r="H27" s="40"/>
      <c r="K27" s="79"/>
      <c r="L27" s="42"/>
      <c r="M27" s="42"/>
      <c r="P27" s="124"/>
      <c r="Q27" s="124"/>
      <c r="R27" s="126"/>
      <c r="S27" s="52"/>
      <c r="U27" s="73"/>
      <c r="V27" s="75"/>
      <c r="W27" s="52"/>
      <c r="X27" s="52"/>
      <c r="Y27" s="76"/>
    </row>
    <row r="28" spans="1:36" x14ac:dyDescent="0.25">
      <c r="B28" s="34" t="s">
        <v>366</v>
      </c>
      <c r="D28" s="42">
        <f>D26-D15</f>
        <v>6543886.7049866961</v>
      </c>
      <c r="E28" s="42">
        <f t="shared" ref="E28:R28" si="16">E26-E15</f>
        <v>1491617.1263370216</v>
      </c>
      <c r="F28" s="42">
        <f t="shared" si="16"/>
        <v>807245</v>
      </c>
      <c r="G28" s="42">
        <f t="shared" si="16"/>
        <v>17037</v>
      </c>
      <c r="H28" s="42">
        <f t="shared" si="16"/>
        <v>15010442.635035809</v>
      </c>
      <c r="I28" s="42">
        <f t="shared" si="16"/>
        <v>233966.5</v>
      </c>
      <c r="J28" s="42">
        <f t="shared" si="16"/>
        <v>13304.411809383275</v>
      </c>
      <c r="K28" s="42">
        <f t="shared" si="16"/>
        <v>24117499.378168918</v>
      </c>
      <c r="L28" s="42" t="e">
        <f t="shared" si="16"/>
        <v>#REF!</v>
      </c>
      <c r="M28" s="42" t="e">
        <f t="shared" si="16"/>
        <v>#REF!</v>
      </c>
      <c r="N28" s="42" t="e">
        <f t="shared" si="16"/>
        <v>#REF!</v>
      </c>
      <c r="O28" s="42" t="e">
        <f t="shared" si="16"/>
        <v>#REF!</v>
      </c>
      <c r="P28" s="42" t="e">
        <f t="shared" si="16"/>
        <v>#REF!</v>
      </c>
      <c r="Q28" s="42">
        <f t="shared" si="16"/>
        <v>23310254.378168918</v>
      </c>
      <c r="R28" s="165">
        <f t="shared" si="16"/>
        <v>1582.8333333333335</v>
      </c>
      <c r="AB28" s="42">
        <f>AB26-AB15</f>
        <v>23981203.768510878</v>
      </c>
    </row>
    <row r="31" spans="1:36" x14ac:dyDescent="0.25">
      <c r="H31" s="289"/>
    </row>
    <row r="32" spans="1:36" x14ac:dyDescent="0.25">
      <c r="H32" s="289"/>
    </row>
    <row r="33" spans="8:8" x14ac:dyDescent="0.25">
      <c r="H33" s="289"/>
    </row>
    <row r="34" spans="8:8" x14ac:dyDescent="0.25">
      <c r="H34" s="289"/>
    </row>
    <row r="35" spans="8:8" x14ac:dyDescent="0.25">
      <c r="H35" s="289"/>
    </row>
    <row r="36" spans="8:8" x14ac:dyDescent="0.25">
      <c r="H36" s="289"/>
    </row>
    <row r="37" spans="8:8" x14ac:dyDescent="0.25">
      <c r="H37" s="289"/>
    </row>
    <row r="38" spans="8:8" x14ac:dyDescent="0.25">
      <c r="H38" s="289"/>
    </row>
    <row r="39" spans="8:8" x14ac:dyDescent="0.25">
      <c r="H39" s="289"/>
    </row>
    <row r="40" spans="8:8" x14ac:dyDescent="0.25">
      <c r="H40" s="289"/>
    </row>
    <row r="41" spans="8:8" x14ac:dyDescent="0.25">
      <c r="H41" s="289"/>
    </row>
    <row r="42" spans="8:8" x14ac:dyDescent="0.25">
      <c r="H42" s="289"/>
    </row>
    <row r="43" spans="8:8" x14ac:dyDescent="0.25">
      <c r="H43" s="289"/>
    </row>
    <row r="44" spans="8:8" x14ac:dyDescent="0.25">
      <c r="H44" s="289"/>
    </row>
    <row r="45" spans="8:8" x14ac:dyDescent="0.25">
      <c r="H45" s="289"/>
    </row>
    <row r="46" spans="8:8" x14ac:dyDescent="0.25">
      <c r="H46" s="289"/>
    </row>
    <row r="47" spans="8:8" x14ac:dyDescent="0.25">
      <c r="H47" s="289"/>
    </row>
    <row r="48" spans="8:8" x14ac:dyDescent="0.25">
      <c r="H48" s="289"/>
    </row>
    <row r="49" spans="8:8" x14ac:dyDescent="0.25">
      <c r="H49" s="289"/>
    </row>
    <row r="50" spans="8:8" x14ac:dyDescent="0.25">
      <c r="H50" s="289"/>
    </row>
    <row r="51" spans="8:8" x14ac:dyDescent="0.25">
      <c r="H51" s="289"/>
    </row>
  </sheetData>
  <sheetProtection password="C462" sheet="1" objects="1" scenarios="1"/>
  <mergeCells count="1">
    <mergeCell ref="AF18:AH21"/>
  </mergeCells>
  <phoneticPr fontId="61" type="noConversion"/>
  <pageMargins left="0.39370078740157483" right="0.39370078740157483" top="0.98425196850393704" bottom="0.98425196850393704" header="0.51181102362204722" footer="0.51181102362204722"/>
  <pageSetup paperSize="8" scale="63" orientation="landscape" r:id="rId1"/>
  <headerFooter alignWithMargins="0">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50"/>
    <pageSetUpPr fitToPage="1"/>
  </sheetPr>
  <dimension ref="A1:Z51"/>
  <sheetViews>
    <sheetView zoomScale="85" zoomScaleNormal="100" workbookViewId="0">
      <pane xSplit="2" topLeftCell="C1" activePane="topRight" state="frozen"/>
      <selection activeCell="B1" sqref="B1"/>
      <selection pane="topRight" activeCell="F42" sqref="F42"/>
    </sheetView>
  </sheetViews>
  <sheetFormatPr defaultColWidth="10.26953125" defaultRowHeight="12.5" x14ac:dyDescent="0.25"/>
  <cols>
    <col min="1" max="1" width="10.26953125" style="34"/>
    <col min="2" max="2" width="31.54296875" style="34" customWidth="1"/>
    <col min="3" max="3" width="6.1796875" style="34" customWidth="1"/>
    <col min="4" max="7" width="15.7265625" style="41" customWidth="1"/>
    <col min="8" max="10" width="15.7265625" style="34" customWidth="1"/>
    <col min="11" max="11" width="15.7265625" style="41" customWidth="1"/>
    <col min="12" max="14" width="15.7265625" style="41" hidden="1" customWidth="1"/>
    <col min="15" max="16" width="15.7265625" style="34" hidden="1" customWidth="1"/>
    <col min="17" max="17" width="15.7265625" style="34" customWidth="1"/>
    <col min="18" max="18" width="10.26953125" style="41" customWidth="1"/>
    <col min="19" max="19" width="0.81640625" style="34" customWidth="1"/>
    <col min="20" max="20" width="12.54296875" style="41" customWidth="1"/>
    <col min="21" max="23" width="12.54296875" style="42" customWidth="1"/>
    <col min="24" max="24" width="1.26953125" style="42" customWidth="1"/>
    <col min="25" max="25" width="12.54296875" style="42" customWidth="1"/>
    <col min="26" max="26" width="10.26953125" style="125" customWidth="1"/>
    <col min="27" max="16384" width="10.26953125" style="34"/>
  </cols>
  <sheetData>
    <row r="1" spans="1:25" ht="15.5" x14ac:dyDescent="0.35">
      <c r="B1" s="149" t="s">
        <v>146</v>
      </c>
      <c r="T1" s="152" t="s">
        <v>166</v>
      </c>
    </row>
    <row r="2" spans="1:25" ht="15.5" x14ac:dyDescent="0.35">
      <c r="B2" s="149"/>
      <c r="T2" s="152"/>
    </row>
    <row r="3" spans="1:25" ht="15.5" x14ac:dyDescent="0.35">
      <c r="B3" s="155" t="s">
        <v>170</v>
      </c>
      <c r="C3" s="33"/>
      <c r="T3" s="1960" t="s">
        <v>152</v>
      </c>
      <c r="U3" s="1958" t="s">
        <v>151</v>
      </c>
      <c r="V3" s="1958" t="s">
        <v>154</v>
      </c>
      <c r="W3" s="1961" t="s">
        <v>103</v>
      </c>
      <c r="X3" s="64"/>
      <c r="Y3" s="1958" t="s">
        <v>154</v>
      </c>
    </row>
    <row r="4" spans="1:25" x14ac:dyDescent="0.25">
      <c r="B4" s="47"/>
      <c r="C4" s="47"/>
      <c r="R4" s="76"/>
      <c r="T4" s="1960"/>
      <c r="U4" s="1958"/>
      <c r="V4" s="1958"/>
      <c r="W4" s="1961"/>
      <c r="X4" s="64"/>
      <c r="Y4" s="1958"/>
    </row>
    <row r="5" spans="1:25" x14ac:dyDescent="0.25">
      <c r="B5" s="47"/>
      <c r="C5" s="47"/>
      <c r="R5" s="76"/>
      <c r="T5" s="65"/>
      <c r="U5" s="150">
        <v>10000</v>
      </c>
      <c r="V5" s="150" t="s">
        <v>155</v>
      </c>
      <c r="W5" s="1961"/>
      <c r="X5" s="64"/>
      <c r="Y5" s="150" t="s">
        <v>155</v>
      </c>
    </row>
    <row r="6" spans="1:25" ht="50" x14ac:dyDescent="0.25">
      <c r="A6" s="183" t="s">
        <v>201</v>
      </c>
      <c r="B6" s="36" t="s">
        <v>66</v>
      </c>
      <c r="C6" s="39" t="s">
        <v>51</v>
      </c>
      <c r="D6" s="140" t="s">
        <v>20</v>
      </c>
      <c r="E6" s="141" t="s">
        <v>21</v>
      </c>
      <c r="F6" s="37" t="s">
        <v>64</v>
      </c>
      <c r="G6" s="37" t="s">
        <v>113</v>
      </c>
      <c r="H6" s="37" t="s">
        <v>102</v>
      </c>
      <c r="I6" s="65" t="s">
        <v>168</v>
      </c>
      <c r="J6" s="37" t="s">
        <v>85</v>
      </c>
      <c r="K6" s="37" t="s">
        <v>103</v>
      </c>
      <c r="L6" s="65" t="s">
        <v>140</v>
      </c>
      <c r="M6" s="65" t="s">
        <v>141</v>
      </c>
      <c r="N6" s="37" t="s">
        <v>104</v>
      </c>
      <c r="Q6" s="65" t="s">
        <v>297</v>
      </c>
      <c r="R6" s="37" t="s">
        <v>143</v>
      </c>
      <c r="T6" s="65" t="s">
        <v>149</v>
      </c>
      <c r="U6" s="150" t="s">
        <v>150</v>
      </c>
      <c r="V6" s="150" t="s">
        <v>153</v>
      </c>
      <c r="W6" s="150"/>
      <c r="X6" s="150"/>
      <c r="Y6" s="150" t="s">
        <v>169</v>
      </c>
    </row>
    <row r="7" spans="1:25" ht="13" x14ac:dyDescent="0.3">
      <c r="A7" s="185">
        <v>9257010</v>
      </c>
      <c r="B7" s="38" t="s">
        <v>67</v>
      </c>
      <c r="C7" s="39">
        <v>3</v>
      </c>
      <c r="D7" s="94">
        <v>314686.51772419503</v>
      </c>
      <c r="E7" s="94">
        <v>69201.680689977453</v>
      </c>
      <c r="F7" s="64"/>
      <c r="G7" s="64"/>
      <c r="H7" s="64">
        <v>415695.701620073</v>
      </c>
      <c r="I7" s="64"/>
      <c r="J7" s="94">
        <v>4465</v>
      </c>
      <c r="K7" s="64">
        <f>SUM(D7:J7)</f>
        <v>804048.90003424557</v>
      </c>
      <c r="L7" s="64" t="e">
        <f>#REF!</f>
        <v>#REF!</v>
      </c>
      <c r="M7" s="64" t="e">
        <f>#REF!</f>
        <v>#REF!</v>
      </c>
      <c r="N7" s="64" t="e">
        <f>K7-L7-M7</f>
        <v>#REF!</v>
      </c>
      <c r="Q7" s="64">
        <f>K7-F7</f>
        <v>804048.90003424557</v>
      </c>
      <c r="R7" s="37">
        <v>42</v>
      </c>
      <c r="T7" s="151">
        <f t="shared" ref="T7:T25" si="0">Q7/R7</f>
        <v>19144.021429386798</v>
      </c>
      <c r="U7" s="64">
        <f t="shared" ref="U7:U25" si="1">R7*10000</f>
        <v>420000</v>
      </c>
      <c r="V7" s="156">
        <f>T7-$U$5</f>
        <v>9144.0214293867975</v>
      </c>
      <c r="W7" s="64">
        <f t="shared" ref="W7:W25" si="2">($U$5+V7)*R7</f>
        <v>804048.90003424545</v>
      </c>
      <c r="X7" s="64"/>
      <c r="Y7" s="156">
        <f>V7*98.5%</f>
        <v>9006.8611079459952</v>
      </c>
    </row>
    <row r="8" spans="1:25" ht="13" x14ac:dyDescent="0.3">
      <c r="A8" s="185">
        <v>9257005</v>
      </c>
      <c r="B8" s="38" t="s">
        <v>68</v>
      </c>
      <c r="C8" s="39">
        <v>3</v>
      </c>
      <c r="D8" s="94">
        <v>314686.51772419503</v>
      </c>
      <c r="E8" s="94">
        <v>69201.680689977453</v>
      </c>
      <c r="F8" s="64"/>
      <c r="G8" s="64"/>
      <c r="H8" s="64">
        <v>527117.15587561659</v>
      </c>
      <c r="I8" s="64"/>
      <c r="J8" s="94">
        <v>10716</v>
      </c>
      <c r="K8" s="64">
        <f t="shared" ref="K8:K25" si="3">SUM(D8:J8)</f>
        <v>921721.3542897891</v>
      </c>
      <c r="L8" s="64" t="e">
        <f>#REF!</f>
        <v>#REF!</v>
      </c>
      <c r="M8" s="64" t="e">
        <f>#REF!</f>
        <v>#REF!</v>
      </c>
      <c r="N8" s="64" t="e">
        <f t="shared" ref="N8:N19" si="4">K8-L8-M8</f>
        <v>#REF!</v>
      </c>
      <c r="Q8" s="64">
        <f t="shared" ref="Q8:Q25" si="5">K8-F8</f>
        <v>921721.3542897891</v>
      </c>
      <c r="R8" s="37">
        <v>60</v>
      </c>
      <c r="T8" s="151">
        <f t="shared" si="0"/>
        <v>15362.022571496485</v>
      </c>
      <c r="U8" s="64">
        <f t="shared" si="1"/>
        <v>600000</v>
      </c>
      <c r="V8" s="156">
        <f t="shared" ref="V8:V25" si="6">T8-$U$5</f>
        <v>5362.0225714964854</v>
      </c>
      <c r="W8" s="64">
        <f t="shared" si="2"/>
        <v>921721.3542897891</v>
      </c>
      <c r="X8" s="64"/>
      <c r="Y8" s="156">
        <f t="shared" ref="Y8:Y25" si="7">V8*98.5%</f>
        <v>5281.5922329240384</v>
      </c>
    </row>
    <row r="9" spans="1:25" ht="13" x14ac:dyDescent="0.3">
      <c r="A9" s="185">
        <v>9257025</v>
      </c>
      <c r="B9" s="38" t="s">
        <v>69</v>
      </c>
      <c r="C9" s="39">
        <v>3</v>
      </c>
      <c r="D9" s="94">
        <v>314686.51772419503</v>
      </c>
      <c r="E9" s="94">
        <v>69201.680689977453</v>
      </c>
      <c r="F9" s="64"/>
      <c r="G9" s="64"/>
      <c r="H9" s="64">
        <v>502618.51285258046</v>
      </c>
      <c r="I9" s="64"/>
      <c r="J9" s="94">
        <v>6251</v>
      </c>
      <c r="K9" s="64">
        <f t="shared" si="3"/>
        <v>892757.71126675303</v>
      </c>
      <c r="L9" s="64" t="e">
        <f>#REF!</f>
        <v>#REF!</v>
      </c>
      <c r="M9" s="64" t="e">
        <f>#REF!</f>
        <v>#REF!</v>
      </c>
      <c r="N9" s="64" t="e">
        <f t="shared" si="4"/>
        <v>#REF!</v>
      </c>
      <c r="Q9" s="64">
        <f t="shared" si="5"/>
        <v>892757.71126675303</v>
      </c>
      <c r="R9" s="37">
        <v>46</v>
      </c>
      <c r="T9" s="151">
        <f t="shared" si="0"/>
        <v>19407.776331885936</v>
      </c>
      <c r="U9" s="64">
        <f t="shared" si="1"/>
        <v>460000</v>
      </c>
      <c r="V9" s="156">
        <f t="shared" si="6"/>
        <v>9407.7763318859361</v>
      </c>
      <c r="W9" s="64">
        <f t="shared" si="2"/>
        <v>892757.71126675303</v>
      </c>
      <c r="X9" s="64"/>
      <c r="Y9" s="156">
        <f t="shared" si="7"/>
        <v>9266.6596869076475</v>
      </c>
    </row>
    <row r="10" spans="1:25" ht="13" x14ac:dyDescent="0.3">
      <c r="A10" s="185">
        <v>9257011</v>
      </c>
      <c r="B10" s="38" t="s">
        <v>70</v>
      </c>
      <c r="C10" s="39">
        <v>3</v>
      </c>
      <c r="D10" s="94">
        <v>314686.51772419503</v>
      </c>
      <c r="E10" s="94">
        <v>69201.680689977453</v>
      </c>
      <c r="F10" s="64"/>
      <c r="G10" s="64"/>
      <c r="H10" s="64">
        <v>431340.27451364766</v>
      </c>
      <c r="I10" s="64"/>
      <c r="J10" s="94">
        <v>4465</v>
      </c>
      <c r="K10" s="64">
        <f t="shared" si="3"/>
        <v>819693.47292782017</v>
      </c>
      <c r="L10" s="64" t="e">
        <f>#REF!</f>
        <v>#REF!</v>
      </c>
      <c r="M10" s="64" t="e">
        <f>#REF!</f>
        <v>#REF!</v>
      </c>
      <c r="N10" s="64" t="e">
        <f t="shared" si="4"/>
        <v>#REF!</v>
      </c>
      <c r="Q10" s="64">
        <f t="shared" si="5"/>
        <v>819693.47292782017</v>
      </c>
      <c r="R10" s="37">
        <v>41</v>
      </c>
      <c r="T10" s="151">
        <f t="shared" si="0"/>
        <v>19992.523729946832</v>
      </c>
      <c r="U10" s="64">
        <f t="shared" si="1"/>
        <v>410000</v>
      </c>
      <c r="V10" s="156">
        <f t="shared" si="6"/>
        <v>9992.5237299468317</v>
      </c>
      <c r="W10" s="64">
        <f t="shared" si="2"/>
        <v>819693.47292782005</v>
      </c>
      <c r="X10" s="64"/>
      <c r="Y10" s="156">
        <f t="shared" si="7"/>
        <v>9842.6358739976295</v>
      </c>
    </row>
    <row r="11" spans="1:25" ht="13" x14ac:dyDescent="0.3">
      <c r="A11" s="185">
        <v>9257024</v>
      </c>
      <c r="B11" s="38" t="s">
        <v>71</v>
      </c>
      <c r="C11" s="39">
        <v>3</v>
      </c>
      <c r="D11" s="94">
        <v>314686.51772419503</v>
      </c>
      <c r="E11" s="94">
        <v>69201.680689977453</v>
      </c>
      <c r="F11" s="64"/>
      <c r="G11" s="64"/>
      <c r="H11" s="64">
        <v>413562.54341202567</v>
      </c>
      <c r="I11" s="64"/>
      <c r="J11" s="94">
        <v>7591</v>
      </c>
      <c r="K11" s="64">
        <f t="shared" si="3"/>
        <v>805041.74182619818</v>
      </c>
      <c r="L11" s="64" t="e">
        <f>#REF!</f>
        <v>#REF!</v>
      </c>
      <c r="M11" s="64" t="e">
        <f>#REF!</f>
        <v>#REF!</v>
      </c>
      <c r="N11" s="64" t="e">
        <f t="shared" si="4"/>
        <v>#REF!</v>
      </c>
      <c r="Q11" s="64">
        <f t="shared" si="5"/>
        <v>805041.74182619818</v>
      </c>
      <c r="R11" s="37">
        <v>47</v>
      </c>
      <c r="T11" s="151">
        <f t="shared" si="0"/>
        <v>17128.547698429749</v>
      </c>
      <c r="U11" s="64">
        <f t="shared" si="1"/>
        <v>470000</v>
      </c>
      <c r="V11" s="156">
        <f t="shared" si="6"/>
        <v>7128.5476984297493</v>
      </c>
      <c r="W11" s="64">
        <f t="shared" si="2"/>
        <v>805041.74182619818</v>
      </c>
      <c r="X11" s="64"/>
      <c r="Y11" s="156">
        <f t="shared" si="7"/>
        <v>7021.6194829533033</v>
      </c>
    </row>
    <row r="12" spans="1:25" ht="13" x14ac:dyDescent="0.3">
      <c r="A12" s="185">
        <v>9257008</v>
      </c>
      <c r="B12" s="38" t="s">
        <v>73</v>
      </c>
      <c r="C12" s="39">
        <v>3</v>
      </c>
      <c r="D12" s="94">
        <v>314686.51772419503</v>
      </c>
      <c r="E12" s="94">
        <v>69201.680689977453</v>
      </c>
      <c r="F12" s="64"/>
      <c r="G12" s="64"/>
      <c r="H12" s="64">
        <v>718178.9151264336</v>
      </c>
      <c r="I12" s="64"/>
      <c r="J12" s="94">
        <v>12502</v>
      </c>
      <c r="K12" s="64">
        <f t="shared" si="3"/>
        <v>1114569.1135406061</v>
      </c>
      <c r="L12" s="64" t="e">
        <f>#REF!</f>
        <v>#REF!</v>
      </c>
      <c r="M12" s="64" t="e">
        <f>#REF!</f>
        <v>#REF!</v>
      </c>
      <c r="N12" s="64" t="e">
        <f t="shared" si="4"/>
        <v>#REF!</v>
      </c>
      <c r="Q12" s="64">
        <f t="shared" si="5"/>
        <v>1114569.1135406061</v>
      </c>
      <c r="R12" s="37">
        <v>79</v>
      </c>
      <c r="T12" s="151">
        <f t="shared" si="0"/>
        <v>14108.469791653242</v>
      </c>
      <c r="U12" s="64">
        <f t="shared" si="1"/>
        <v>790000</v>
      </c>
      <c r="V12" s="156">
        <f t="shared" si="6"/>
        <v>4108.4697916532423</v>
      </c>
      <c r="W12" s="64">
        <f t="shared" si="2"/>
        <v>1114569.1135406061</v>
      </c>
      <c r="X12" s="64"/>
      <c r="Y12" s="156">
        <f t="shared" si="7"/>
        <v>4046.8427447784434</v>
      </c>
    </row>
    <row r="13" spans="1:25" ht="13" x14ac:dyDescent="0.3">
      <c r="A13" s="185">
        <v>9257002</v>
      </c>
      <c r="B13" s="38" t="s">
        <v>75</v>
      </c>
      <c r="C13" s="39">
        <v>4</v>
      </c>
      <c r="D13" s="94">
        <v>405763.82046267512</v>
      </c>
      <c r="E13" s="94">
        <v>88790.687513148558</v>
      </c>
      <c r="F13" s="64"/>
      <c r="G13" s="64"/>
      <c r="H13" s="64">
        <v>902090.43036849203</v>
      </c>
      <c r="I13" s="64"/>
      <c r="J13" s="94">
        <v>17414</v>
      </c>
      <c r="K13" s="64">
        <f t="shared" si="3"/>
        <v>1414058.9383443156</v>
      </c>
      <c r="L13" s="64" t="e">
        <f>#REF!</f>
        <v>#REF!</v>
      </c>
      <c r="M13" s="64" t="e">
        <f>#REF!</f>
        <v>#REF!</v>
      </c>
      <c r="N13" s="64" t="e">
        <f t="shared" si="4"/>
        <v>#REF!</v>
      </c>
      <c r="Q13" s="64">
        <f t="shared" si="5"/>
        <v>1414058.9383443156</v>
      </c>
      <c r="R13" s="37">
        <v>123</v>
      </c>
      <c r="T13" s="151">
        <f t="shared" si="0"/>
        <v>11496.414132880614</v>
      </c>
      <c r="U13" s="64">
        <f t="shared" si="1"/>
        <v>1230000</v>
      </c>
      <c r="V13" s="156">
        <f t="shared" si="6"/>
        <v>1496.4141328806145</v>
      </c>
      <c r="W13" s="64">
        <f t="shared" si="2"/>
        <v>1414058.9383443156</v>
      </c>
      <c r="X13" s="64"/>
      <c r="Y13" s="156">
        <f t="shared" si="7"/>
        <v>1473.9679208874052</v>
      </c>
    </row>
    <row r="14" spans="1:25" ht="13" x14ac:dyDescent="0.3">
      <c r="A14" s="185">
        <v>9257009</v>
      </c>
      <c r="B14" s="38" t="s">
        <v>76</v>
      </c>
      <c r="C14" s="39">
        <v>4</v>
      </c>
      <c r="D14" s="94">
        <v>405763.82046267512</v>
      </c>
      <c r="E14" s="94">
        <v>88790.687513148558</v>
      </c>
      <c r="F14" s="64"/>
      <c r="G14" s="64"/>
      <c r="H14" s="64">
        <v>983000.40586640185</v>
      </c>
      <c r="I14" s="94">
        <v>-42588</v>
      </c>
      <c r="J14" s="94">
        <v>16967</v>
      </c>
      <c r="K14" s="64">
        <f>SUM(D14:J14)</f>
        <v>1451933.9138422254</v>
      </c>
      <c r="L14" s="64" t="e">
        <f>#REF!</f>
        <v>#REF!</v>
      </c>
      <c r="M14" s="64" t="e">
        <f>#REF!</f>
        <v>#REF!</v>
      </c>
      <c r="N14" s="64" t="e">
        <f t="shared" si="4"/>
        <v>#REF!</v>
      </c>
      <c r="Q14" s="64">
        <f t="shared" si="5"/>
        <v>1451933.9138422254</v>
      </c>
      <c r="R14" s="37">
        <v>129</v>
      </c>
      <c r="T14" s="151">
        <f t="shared" si="0"/>
        <v>11255.301657691671</v>
      </c>
      <c r="U14" s="64">
        <f t="shared" si="1"/>
        <v>1290000</v>
      </c>
      <c r="V14" s="156">
        <f t="shared" si="6"/>
        <v>1255.3016576916707</v>
      </c>
      <c r="W14" s="64">
        <f t="shared" si="2"/>
        <v>1451933.9138422254</v>
      </c>
      <c r="X14" s="64"/>
      <c r="Y14" s="156">
        <f t="shared" si="7"/>
        <v>1236.4721328262956</v>
      </c>
    </row>
    <row r="15" spans="1:25" ht="13" x14ac:dyDescent="0.3">
      <c r="A15" s="185">
        <v>9257028</v>
      </c>
      <c r="B15" s="38" t="s">
        <v>77</v>
      </c>
      <c r="C15" s="39">
        <v>4</v>
      </c>
      <c r="D15" s="94">
        <v>405763.82046267512</v>
      </c>
      <c r="E15" s="94">
        <v>88790.687513148558</v>
      </c>
      <c r="F15" s="64"/>
      <c r="G15" s="64"/>
      <c r="H15" s="64">
        <v>761814.15142347582</v>
      </c>
      <c r="I15" s="94">
        <v>32945</v>
      </c>
      <c r="J15" s="94">
        <v>8484</v>
      </c>
      <c r="K15" s="64">
        <f t="shared" si="3"/>
        <v>1297797.6593992994</v>
      </c>
      <c r="L15" s="64" t="e">
        <f>#REF!</f>
        <v>#REF!</v>
      </c>
      <c r="M15" s="64" t="e">
        <f>#REF!</f>
        <v>#REF!</v>
      </c>
      <c r="N15" s="64" t="e">
        <f t="shared" si="4"/>
        <v>#REF!</v>
      </c>
      <c r="Q15" s="64">
        <f t="shared" si="5"/>
        <v>1297797.6593992994</v>
      </c>
      <c r="R15" s="37">
        <v>72</v>
      </c>
      <c r="T15" s="151">
        <f t="shared" si="0"/>
        <v>18024.967491656935</v>
      </c>
      <c r="U15" s="64">
        <f t="shared" si="1"/>
        <v>720000</v>
      </c>
      <c r="V15" s="156">
        <f t="shared" si="6"/>
        <v>8024.9674916569347</v>
      </c>
      <c r="W15" s="64">
        <f t="shared" si="2"/>
        <v>1297797.6593992994</v>
      </c>
      <c r="X15" s="64"/>
      <c r="Y15" s="156">
        <f t="shared" si="7"/>
        <v>7904.5929792820807</v>
      </c>
    </row>
    <row r="16" spans="1:25" ht="13" x14ac:dyDescent="0.3">
      <c r="A16" s="185">
        <v>9257021</v>
      </c>
      <c r="B16" s="38" t="s">
        <v>78</v>
      </c>
      <c r="C16" s="39">
        <v>5</v>
      </c>
      <c r="D16" s="94">
        <v>418723.18610831723</v>
      </c>
      <c r="E16" s="94">
        <v>117027.3922528728</v>
      </c>
      <c r="F16" s="64"/>
      <c r="G16" s="64"/>
      <c r="H16" s="64">
        <v>1020478.1585777974</v>
      </c>
      <c r="I16" s="94">
        <v>-128362</v>
      </c>
      <c r="J16" s="94">
        <v>16074</v>
      </c>
      <c r="K16" s="64">
        <f t="shared" si="3"/>
        <v>1443940.7369389874</v>
      </c>
      <c r="L16" s="64" t="e">
        <f>#REF!</f>
        <v>#REF!</v>
      </c>
      <c r="M16" s="64" t="e">
        <f>#REF!</f>
        <v>#REF!</v>
      </c>
      <c r="N16" s="64" t="e">
        <f t="shared" si="4"/>
        <v>#REF!</v>
      </c>
      <c r="Q16" s="64">
        <f t="shared" si="5"/>
        <v>1443940.7369389874</v>
      </c>
      <c r="R16" s="37">
        <v>137</v>
      </c>
      <c r="T16" s="151">
        <f t="shared" si="0"/>
        <v>10539.713408313777</v>
      </c>
      <c r="U16" s="64">
        <f t="shared" si="1"/>
        <v>1370000</v>
      </c>
      <c r="V16" s="156">
        <f t="shared" si="6"/>
        <v>539.71340831377711</v>
      </c>
      <c r="W16" s="64">
        <f t="shared" si="2"/>
        <v>1443940.7369389874</v>
      </c>
      <c r="X16" s="64"/>
      <c r="Y16" s="156">
        <f t="shared" si="7"/>
        <v>531.61770718907042</v>
      </c>
    </row>
    <row r="17" spans="1:26" s="125" customFormat="1" ht="13" x14ac:dyDescent="0.3">
      <c r="A17" s="185">
        <v>9257015</v>
      </c>
      <c r="B17" s="38" t="s">
        <v>55</v>
      </c>
      <c r="C17" s="39">
        <v>5</v>
      </c>
      <c r="D17" s="94">
        <v>418723.18610831723</v>
      </c>
      <c r="E17" s="94">
        <v>117027.3922528728</v>
      </c>
      <c r="F17" s="64"/>
      <c r="G17" s="64"/>
      <c r="H17" s="64">
        <v>1316763.3469966392</v>
      </c>
      <c r="I17" s="94"/>
      <c r="J17" s="94">
        <v>29916</v>
      </c>
      <c r="K17" s="64">
        <f t="shared" si="3"/>
        <v>1882429.9253578293</v>
      </c>
      <c r="L17" s="64" t="e">
        <f>#REF!</f>
        <v>#REF!</v>
      </c>
      <c r="M17" s="64" t="e">
        <f>#REF!</f>
        <v>#REF!</v>
      </c>
      <c r="N17" s="64" t="e">
        <f t="shared" si="4"/>
        <v>#REF!</v>
      </c>
      <c r="O17" s="34"/>
      <c r="P17" s="34"/>
      <c r="Q17" s="64">
        <f t="shared" si="5"/>
        <v>1882429.9253578293</v>
      </c>
      <c r="R17" s="37">
        <v>178</v>
      </c>
      <c r="S17" s="34"/>
      <c r="T17" s="151">
        <f t="shared" si="0"/>
        <v>10575.44901886421</v>
      </c>
      <c r="U17" s="64">
        <f t="shared" si="1"/>
        <v>1780000</v>
      </c>
      <c r="V17" s="156">
        <f t="shared" si="6"/>
        <v>575.4490188642103</v>
      </c>
      <c r="W17" s="64">
        <f t="shared" si="2"/>
        <v>1882429.9253578295</v>
      </c>
      <c r="X17" s="64"/>
      <c r="Y17" s="156">
        <f t="shared" si="7"/>
        <v>566.81728358124712</v>
      </c>
    </row>
    <row r="18" spans="1:26" s="125" customFormat="1" ht="13" x14ac:dyDescent="0.3">
      <c r="A18" s="185">
        <v>9257017</v>
      </c>
      <c r="B18" s="38" t="s">
        <v>79</v>
      </c>
      <c r="C18" s="39">
        <v>5</v>
      </c>
      <c r="D18" s="94">
        <v>418723.18610831723</v>
      </c>
      <c r="E18" s="94">
        <v>117027.3922528728</v>
      </c>
      <c r="F18" s="64"/>
      <c r="G18" s="64">
        <v>29207</v>
      </c>
      <c r="H18" s="64">
        <v>783229.30770600447</v>
      </c>
      <c r="I18" s="94">
        <v>126178</v>
      </c>
      <c r="J18" s="94">
        <v>5358</v>
      </c>
      <c r="K18" s="64">
        <f t="shared" si="3"/>
        <v>1479722.8860671944</v>
      </c>
      <c r="L18" s="64" t="e">
        <f>#REF!</f>
        <v>#REF!</v>
      </c>
      <c r="M18" s="64" t="e">
        <f>#REF!</f>
        <v>#REF!</v>
      </c>
      <c r="N18" s="64" t="e">
        <f t="shared" si="4"/>
        <v>#REF!</v>
      </c>
      <c r="O18" s="34"/>
      <c r="P18" s="34"/>
      <c r="Q18" s="64">
        <f t="shared" si="5"/>
        <v>1479722.8860671944</v>
      </c>
      <c r="R18" s="37">
        <v>82</v>
      </c>
      <c r="S18" s="34"/>
      <c r="T18" s="151">
        <f>Q18/R18</f>
        <v>18045.401049599932</v>
      </c>
      <c r="U18" s="64">
        <f t="shared" si="1"/>
        <v>820000</v>
      </c>
      <c r="V18" s="156">
        <f t="shared" si="6"/>
        <v>8045.4010495999319</v>
      </c>
      <c r="W18" s="64">
        <f t="shared" si="2"/>
        <v>1479722.8860671944</v>
      </c>
      <c r="X18" s="64"/>
      <c r="Y18" s="156">
        <f t="shared" si="7"/>
        <v>7924.7200338559323</v>
      </c>
    </row>
    <row r="19" spans="1:26" s="125" customFormat="1" ht="13" x14ac:dyDescent="0.3">
      <c r="A19" s="185">
        <v>9257016</v>
      </c>
      <c r="B19" s="38" t="s">
        <v>80</v>
      </c>
      <c r="C19" s="39">
        <v>6</v>
      </c>
      <c r="D19" s="94">
        <v>493762.11190507573</v>
      </c>
      <c r="E19" s="94">
        <v>131719.7894229154</v>
      </c>
      <c r="F19" s="64"/>
      <c r="G19" s="64"/>
      <c r="H19" s="64">
        <v>1191335.7606975872</v>
      </c>
      <c r="I19" s="94"/>
      <c r="J19" s="94">
        <v>8930</v>
      </c>
      <c r="K19" s="64">
        <f t="shared" si="3"/>
        <v>1825747.6620255783</v>
      </c>
      <c r="L19" s="64" t="e">
        <f>#REF!</f>
        <v>#REF!</v>
      </c>
      <c r="M19" s="64" t="e">
        <f>#REF!-#REF!</f>
        <v>#REF!</v>
      </c>
      <c r="N19" s="64" t="e">
        <f t="shared" si="4"/>
        <v>#REF!</v>
      </c>
      <c r="O19" s="34"/>
      <c r="P19" s="34"/>
      <c r="Q19" s="64">
        <f t="shared" si="5"/>
        <v>1825747.6620255783</v>
      </c>
      <c r="R19" s="37">
        <v>106</v>
      </c>
      <c r="S19" s="34"/>
      <c r="T19" s="151">
        <f t="shared" si="0"/>
        <v>17224.034547411116</v>
      </c>
      <c r="U19" s="64">
        <f t="shared" si="1"/>
        <v>1060000</v>
      </c>
      <c r="V19" s="156">
        <f t="shared" si="6"/>
        <v>7224.0345474111164</v>
      </c>
      <c r="W19" s="64">
        <f t="shared" si="2"/>
        <v>1825747.6620255783</v>
      </c>
      <c r="X19" s="64"/>
      <c r="Y19" s="156">
        <f t="shared" si="7"/>
        <v>7115.6740291999495</v>
      </c>
    </row>
    <row r="20" spans="1:26" s="42" customFormat="1" ht="13" x14ac:dyDescent="0.3">
      <c r="A20" s="185">
        <v>9257031</v>
      </c>
      <c r="B20" s="43" t="s">
        <v>81</v>
      </c>
      <c r="C20" s="39">
        <v>3</v>
      </c>
      <c r="D20" s="94">
        <v>280697.16623783787</v>
      </c>
      <c r="E20" s="94">
        <v>55663.058379368813</v>
      </c>
      <c r="F20" s="64">
        <v>154884</v>
      </c>
      <c r="G20" s="64"/>
      <c r="H20" s="64">
        <v>787988.76899951079</v>
      </c>
      <c r="I20" s="94"/>
      <c r="J20" s="94">
        <v>9377</v>
      </c>
      <c r="K20" s="64">
        <f t="shared" si="3"/>
        <v>1288609.9936167174</v>
      </c>
      <c r="L20" s="64" t="e">
        <f>#REF!</f>
        <v>#REF!</v>
      </c>
      <c r="M20" s="64" t="e">
        <f>#REF!</f>
        <v>#REF!</v>
      </c>
      <c r="N20" s="64" t="e">
        <f t="shared" ref="N20:N25" si="8">K20-L20-M20</f>
        <v>#REF!</v>
      </c>
      <c r="O20" s="64" t="e">
        <f>#REF!</f>
        <v>#REF!</v>
      </c>
      <c r="P20" s="71" t="e">
        <f>N20+O20</f>
        <v>#REF!</v>
      </c>
      <c r="Q20" s="64">
        <f t="shared" si="5"/>
        <v>1133725.9936167174</v>
      </c>
      <c r="R20" s="37">
        <v>55</v>
      </c>
      <c r="S20" s="34"/>
      <c r="T20" s="151">
        <f>Q20/R20</f>
        <v>20613.199883940317</v>
      </c>
      <c r="U20" s="64">
        <f>R20*10000</f>
        <v>550000</v>
      </c>
      <c r="V20" s="288">
        <f>T20-$U$5</f>
        <v>10613.199883940317</v>
      </c>
      <c r="W20" s="64">
        <f t="shared" si="2"/>
        <v>1133725.9936167174</v>
      </c>
      <c r="X20" s="64"/>
      <c r="Y20" s="156">
        <f t="shared" si="7"/>
        <v>10454.001885681211</v>
      </c>
      <c r="Z20" s="125"/>
    </row>
    <row r="21" spans="1:26" s="42" customFormat="1" ht="13" x14ac:dyDescent="0.3">
      <c r="A21" s="185">
        <v>9257029</v>
      </c>
      <c r="B21" s="43" t="s">
        <v>84</v>
      </c>
      <c r="C21" s="39">
        <v>4</v>
      </c>
      <c r="D21" s="94">
        <v>360067.26321081078</v>
      </c>
      <c r="E21" s="94">
        <v>58044.118057617408</v>
      </c>
      <c r="F21" s="64">
        <v>219086</v>
      </c>
      <c r="G21" s="64"/>
      <c r="H21" s="64">
        <v>888278.24869035766</v>
      </c>
      <c r="I21" s="64">
        <v>97045</v>
      </c>
      <c r="J21" s="94">
        <v>8930</v>
      </c>
      <c r="K21" s="64">
        <f>SUM(D21:J21)</f>
        <v>1631450.6299587858</v>
      </c>
      <c r="L21" s="64" t="e">
        <f>#REF!</f>
        <v>#REF!</v>
      </c>
      <c r="M21" s="64" t="e">
        <f>#REF!</f>
        <v>#REF!</v>
      </c>
      <c r="N21" s="64" t="e">
        <f t="shared" si="8"/>
        <v>#REF!</v>
      </c>
      <c r="O21" s="64" t="e">
        <f>#REF!</f>
        <v>#REF!</v>
      </c>
      <c r="P21" s="71" t="e">
        <f>N21+O21</f>
        <v>#REF!</v>
      </c>
      <c r="Q21" s="64">
        <f t="shared" si="5"/>
        <v>1412364.6299587858</v>
      </c>
      <c r="R21" s="37">
        <v>62</v>
      </c>
      <c r="S21" s="34"/>
      <c r="T21" s="151">
        <f>Q21/R21</f>
        <v>22780.074676754612</v>
      </c>
      <c r="U21" s="64">
        <f t="shared" si="1"/>
        <v>620000</v>
      </c>
      <c r="V21" s="288">
        <f>T21-$U$5</f>
        <v>12780.074676754612</v>
      </c>
      <c r="W21" s="64">
        <f t="shared" si="2"/>
        <v>1412364.6299587858</v>
      </c>
      <c r="X21" s="64"/>
      <c r="Y21" s="156">
        <f>V21*98.5%</f>
        <v>12588.373556603292</v>
      </c>
      <c r="Z21" s="125"/>
    </row>
    <row r="22" spans="1:26" s="42" customFormat="1" ht="13" x14ac:dyDescent="0.3">
      <c r="A22" s="185">
        <v>9257032</v>
      </c>
      <c r="B22" s="43" t="s">
        <v>82</v>
      </c>
      <c r="C22" s="39">
        <v>5</v>
      </c>
      <c r="D22" s="94">
        <v>360067.26321081078</v>
      </c>
      <c r="E22" s="94">
        <v>58044.118057617408</v>
      </c>
      <c r="F22" s="64">
        <v>194478</v>
      </c>
      <c r="G22" s="64"/>
      <c r="H22" s="64">
        <v>945586.52279941295</v>
      </c>
      <c r="I22" s="64">
        <v>122420</v>
      </c>
      <c r="J22" s="94">
        <v>10716</v>
      </c>
      <c r="K22" s="64">
        <f t="shared" si="3"/>
        <v>1691311.9040678411</v>
      </c>
      <c r="L22" s="64" t="e">
        <f>#REF!</f>
        <v>#REF!</v>
      </c>
      <c r="M22" s="64" t="e">
        <f>#REF!</f>
        <v>#REF!</v>
      </c>
      <c r="N22" s="64" t="e">
        <f t="shared" si="8"/>
        <v>#REF!</v>
      </c>
      <c r="O22" s="64" t="e">
        <f>#REF!</f>
        <v>#REF!</v>
      </c>
      <c r="P22" s="71" t="e">
        <f>N22+O22</f>
        <v>#REF!</v>
      </c>
      <c r="Q22" s="64">
        <f t="shared" si="5"/>
        <v>1496833.9040678411</v>
      </c>
      <c r="R22" s="37">
        <v>66</v>
      </c>
      <c r="S22" s="34"/>
      <c r="T22" s="151">
        <f>Q22/R22</f>
        <v>22679.30157678547</v>
      </c>
      <c r="U22" s="64">
        <f t="shared" si="1"/>
        <v>660000</v>
      </c>
      <c r="V22" s="288">
        <f>T22-$U$5</f>
        <v>12679.30157678547</v>
      </c>
      <c r="W22" s="64">
        <f>($U$5+V22)*R22</f>
        <v>1496833.9040678411</v>
      </c>
      <c r="X22" s="64"/>
      <c r="Y22" s="156">
        <f>V22*98.5%</f>
        <v>12489.112053133687</v>
      </c>
      <c r="Z22" s="125"/>
    </row>
    <row r="23" spans="1:26" s="42" customFormat="1" ht="13" x14ac:dyDescent="0.3">
      <c r="A23" s="185">
        <v>9257030</v>
      </c>
      <c r="B23" s="43" t="s">
        <v>83</v>
      </c>
      <c r="C23" s="39">
        <v>4</v>
      </c>
      <c r="D23" s="94">
        <v>360067.26321081078</v>
      </c>
      <c r="E23" s="94">
        <v>58044.118057617408</v>
      </c>
      <c r="F23" s="64">
        <v>238797</v>
      </c>
      <c r="G23" s="64"/>
      <c r="H23" s="64">
        <v>873951.18016309384</v>
      </c>
      <c r="I23" s="64">
        <v>108062</v>
      </c>
      <c r="J23" s="94">
        <v>5358</v>
      </c>
      <c r="K23" s="64">
        <f t="shared" si="3"/>
        <v>1644279.561431522</v>
      </c>
      <c r="L23" s="64" t="e">
        <f>#REF!</f>
        <v>#REF!</v>
      </c>
      <c r="M23" s="64" t="e">
        <f>#REF!</f>
        <v>#REF!</v>
      </c>
      <c r="N23" s="64" t="e">
        <f t="shared" si="8"/>
        <v>#REF!</v>
      </c>
      <c r="O23" s="64" t="e">
        <f>#REF!</f>
        <v>#REF!</v>
      </c>
      <c r="P23" s="71" t="e">
        <f>N23+O23</f>
        <v>#REF!</v>
      </c>
      <c r="Q23" s="64">
        <f t="shared" si="5"/>
        <v>1405482.561431522</v>
      </c>
      <c r="R23" s="37">
        <v>61</v>
      </c>
      <c r="S23" s="34"/>
      <c r="T23" s="151">
        <f t="shared" si="0"/>
        <v>23040.697728385607</v>
      </c>
      <c r="U23" s="64">
        <f t="shared" si="1"/>
        <v>610000</v>
      </c>
      <c r="V23" s="288">
        <f t="shared" si="6"/>
        <v>13040.697728385607</v>
      </c>
      <c r="W23" s="64">
        <f t="shared" si="2"/>
        <v>1405482.561431522</v>
      </c>
      <c r="X23" s="64"/>
      <c r="Y23" s="156">
        <f t="shared" si="7"/>
        <v>12845.087262459823</v>
      </c>
      <c r="Z23" s="125"/>
    </row>
    <row r="24" spans="1:26" s="42" customFormat="1" ht="13" x14ac:dyDescent="0.3">
      <c r="A24" s="185">
        <v>9257033</v>
      </c>
      <c r="B24" s="38" t="s">
        <v>72</v>
      </c>
      <c r="C24" s="39">
        <v>3</v>
      </c>
      <c r="D24" s="94">
        <v>314686.51772419503</v>
      </c>
      <c r="E24" s="94">
        <v>69201.680689977453</v>
      </c>
      <c r="F24" s="64"/>
      <c r="G24" s="64"/>
      <c r="H24" s="64">
        <v>438098.5149760397</v>
      </c>
      <c r="I24" s="64"/>
      <c r="J24" s="94">
        <v>8037</v>
      </c>
      <c r="K24" s="64">
        <f t="shared" si="3"/>
        <v>830023.71339021227</v>
      </c>
      <c r="L24" s="91" t="e">
        <f>#REF!</f>
        <v>#REF!</v>
      </c>
      <c r="M24" s="91" t="e">
        <f>#REF!</f>
        <v>#REF!</v>
      </c>
      <c r="N24" s="64" t="e">
        <f t="shared" si="8"/>
        <v>#REF!</v>
      </c>
      <c r="O24" s="52"/>
      <c r="P24" s="52"/>
      <c r="Q24" s="64">
        <f t="shared" si="5"/>
        <v>830023.71339021227</v>
      </c>
      <c r="R24" s="37">
        <v>52</v>
      </c>
      <c r="S24" s="34"/>
      <c r="T24" s="151">
        <f t="shared" si="0"/>
        <v>15961.994488273313</v>
      </c>
      <c r="U24" s="64">
        <f t="shared" si="1"/>
        <v>520000</v>
      </c>
      <c r="V24" s="288">
        <f t="shared" si="6"/>
        <v>5961.9944882733125</v>
      </c>
      <c r="W24" s="64">
        <f t="shared" si="2"/>
        <v>830023.71339021227</v>
      </c>
      <c r="X24" s="64"/>
      <c r="Y24" s="156">
        <f t="shared" si="7"/>
        <v>5872.5645709492128</v>
      </c>
      <c r="Z24" s="125"/>
    </row>
    <row r="25" spans="1:26" s="42" customFormat="1" ht="13" x14ac:dyDescent="0.3">
      <c r="A25" s="185">
        <v>9257034</v>
      </c>
      <c r="B25" s="38" t="s">
        <v>74</v>
      </c>
      <c r="C25" s="39">
        <v>4</v>
      </c>
      <c r="D25" s="94">
        <v>405763.82046267512</v>
      </c>
      <c r="E25" s="94">
        <v>88790.687513148558</v>
      </c>
      <c r="F25" s="64"/>
      <c r="G25" s="64"/>
      <c r="H25" s="64">
        <v>943462.0831737977</v>
      </c>
      <c r="I25" s="64"/>
      <c r="J25" s="94">
        <v>16074</v>
      </c>
      <c r="K25" s="64">
        <f t="shared" si="3"/>
        <v>1454090.5911496214</v>
      </c>
      <c r="L25" s="74" t="e">
        <f>#REF!</f>
        <v>#REF!</v>
      </c>
      <c r="M25" s="74" t="e">
        <f>#REF!</f>
        <v>#REF!</v>
      </c>
      <c r="N25" s="64" t="e">
        <f t="shared" si="8"/>
        <v>#REF!</v>
      </c>
      <c r="O25" s="34"/>
      <c r="P25" s="34"/>
      <c r="Q25" s="64">
        <f t="shared" si="5"/>
        <v>1454090.5911496214</v>
      </c>
      <c r="R25" s="37">
        <v>115</v>
      </c>
      <c r="S25" s="34"/>
      <c r="T25" s="151">
        <f t="shared" si="0"/>
        <v>12644.266009996709</v>
      </c>
      <c r="U25" s="64">
        <f t="shared" si="1"/>
        <v>1150000</v>
      </c>
      <c r="V25" s="288">
        <f t="shared" si="6"/>
        <v>2644.2660099967088</v>
      </c>
      <c r="W25" s="64">
        <f t="shared" si="2"/>
        <v>1454090.5911496214</v>
      </c>
      <c r="X25" s="64"/>
      <c r="Y25" s="156">
        <f t="shared" si="7"/>
        <v>2604.6020198467581</v>
      </c>
      <c r="Z25" s="125"/>
    </row>
    <row r="26" spans="1:26" s="42" customFormat="1" x14ac:dyDescent="0.25">
      <c r="B26" s="50"/>
      <c r="C26" s="61"/>
      <c r="K26" s="41"/>
      <c r="N26" s="41"/>
      <c r="O26" s="34"/>
      <c r="P26" s="34"/>
      <c r="Q26" s="34"/>
      <c r="R26" s="41"/>
      <c r="S26" s="34"/>
      <c r="T26" s="143"/>
      <c r="Z26" s="125"/>
    </row>
    <row r="27" spans="1:26" s="42" customFormat="1" ht="13.5" customHeight="1" thickBot="1" x14ac:dyDescent="0.3">
      <c r="B27" s="34"/>
      <c r="C27" s="34"/>
      <c r="D27" s="136">
        <f t="shared" ref="D27:S27" si="9">SUM(D7:D25)</f>
        <v>6936691.532020363</v>
      </c>
      <c r="E27" s="136">
        <f t="shared" si="9"/>
        <v>1552171.8936161916</v>
      </c>
      <c r="F27" s="136">
        <f t="shared" si="9"/>
        <v>807245</v>
      </c>
      <c r="G27" s="136">
        <f t="shared" si="9"/>
        <v>29207</v>
      </c>
      <c r="H27" s="136">
        <f t="shared" si="9"/>
        <v>14844589.983838988</v>
      </c>
      <c r="I27" s="136">
        <f t="shared" si="9"/>
        <v>315700</v>
      </c>
      <c r="J27" s="136">
        <f>SUM(J7:J25)</f>
        <v>207625</v>
      </c>
      <c r="K27" s="136">
        <f t="shared" si="9"/>
        <v>24693230.409475543</v>
      </c>
      <c r="L27" s="136" t="e">
        <f t="shared" si="9"/>
        <v>#REF!</v>
      </c>
      <c r="M27" s="136" t="e">
        <f t="shared" si="9"/>
        <v>#REF!</v>
      </c>
      <c r="N27" s="136" t="e">
        <f t="shared" si="9"/>
        <v>#REF!</v>
      </c>
      <c r="O27" s="136" t="e">
        <f t="shared" si="9"/>
        <v>#REF!</v>
      </c>
      <c r="P27" s="136" t="e">
        <f t="shared" si="9"/>
        <v>#REF!</v>
      </c>
      <c r="Q27" s="136">
        <f t="shared" si="9"/>
        <v>23885985.409475543</v>
      </c>
      <c r="R27" s="166">
        <f t="shared" si="9"/>
        <v>1553</v>
      </c>
      <c r="S27" s="136">
        <f t="shared" si="9"/>
        <v>0</v>
      </c>
      <c r="T27" s="145" t="s">
        <v>156</v>
      </c>
      <c r="Z27" s="125"/>
    </row>
    <row r="28" spans="1:26" s="42" customFormat="1" x14ac:dyDescent="0.25">
      <c r="A28" s="34"/>
      <c r="B28" s="40"/>
      <c r="C28" s="40"/>
      <c r="D28" s="79"/>
      <c r="E28" s="79"/>
      <c r="F28" s="79"/>
      <c r="G28" s="79"/>
      <c r="H28" s="40"/>
      <c r="I28" s="40"/>
      <c r="J28" s="40"/>
      <c r="K28" s="79"/>
      <c r="N28" s="41"/>
      <c r="O28" s="34"/>
      <c r="P28" s="124"/>
      <c r="Q28" s="124"/>
      <c r="R28" s="126"/>
      <c r="S28" s="52"/>
      <c r="T28" s="1962" t="s">
        <v>167</v>
      </c>
      <c r="U28" s="1962"/>
      <c r="V28" s="1962"/>
      <c r="W28" s="1962"/>
      <c r="X28" s="1962"/>
      <c r="Z28" s="125"/>
    </row>
    <row r="29" spans="1:26" s="42" customFormat="1" x14ac:dyDescent="0.25">
      <c r="A29" s="34"/>
      <c r="B29" s="34"/>
      <c r="C29" s="34"/>
      <c r="D29" s="79"/>
      <c r="E29" s="79"/>
      <c r="F29" s="79"/>
      <c r="G29" s="79"/>
      <c r="H29" s="40"/>
      <c r="I29" s="40"/>
      <c r="J29" s="40"/>
      <c r="K29" s="79"/>
      <c r="L29" s="41"/>
      <c r="M29" s="41"/>
      <c r="N29" s="41"/>
      <c r="O29" s="34"/>
      <c r="P29" s="34"/>
      <c r="Q29" s="34"/>
      <c r="R29" s="41"/>
      <c r="S29" s="34"/>
      <c r="T29" s="1962"/>
      <c r="U29" s="1962"/>
      <c r="V29" s="1962"/>
      <c r="W29" s="1962"/>
      <c r="X29" s="1962"/>
      <c r="Z29" s="125"/>
    </row>
    <row r="30" spans="1:26" s="42" customFormat="1" hidden="1" x14ac:dyDescent="0.25">
      <c r="A30" s="125"/>
      <c r="B30" s="134" t="s">
        <v>136</v>
      </c>
      <c r="C30" s="134"/>
      <c r="D30" s="94">
        <f>'Funding Model'!D29</f>
        <v>0</v>
      </c>
      <c r="E30" s="94">
        <f>'Funding Model'!E29</f>
        <v>0</v>
      </c>
      <c r="F30" s="94"/>
      <c r="G30" s="94"/>
      <c r="H30" s="94">
        <f>'[14]Band Calculations'!K24</f>
        <v>233840.41276193573</v>
      </c>
      <c r="I30" s="94">
        <v>233</v>
      </c>
      <c r="J30" s="94"/>
      <c r="K30" s="94">
        <f>SUM(D30:H30)</f>
        <v>233840.41276193573</v>
      </c>
      <c r="L30" s="64" t="e">
        <f>#REF!</f>
        <v>#REF!</v>
      </c>
      <c r="M30" s="64" t="e">
        <f>#REF!</f>
        <v>#REF!</v>
      </c>
      <c r="N30" s="64" t="e">
        <f>K30-L30-M30</f>
        <v>#REF!</v>
      </c>
      <c r="O30" s="125"/>
      <c r="P30" s="125"/>
      <c r="Q30" s="125"/>
      <c r="R30" s="137">
        <f>'[14]Band Calculations'!I24</f>
        <v>20</v>
      </c>
      <c r="S30" s="125"/>
      <c r="Z30" s="125"/>
    </row>
    <row r="31" spans="1:26" s="42" customFormat="1" hidden="1" x14ac:dyDescent="0.25">
      <c r="A31" s="125"/>
      <c r="B31" s="134" t="s">
        <v>137</v>
      </c>
      <c r="C31" s="134"/>
      <c r="D31" s="94">
        <f>'Funding Model'!D28</f>
        <v>0</v>
      </c>
      <c r="E31" s="94">
        <f>'Funding Model'!E28</f>
        <v>0</v>
      </c>
      <c r="F31" s="94"/>
      <c r="G31" s="94"/>
      <c r="H31" s="94">
        <f>'[14]Band Calculations'!K25</f>
        <v>105228.18574287108</v>
      </c>
      <c r="I31" s="94"/>
      <c r="J31" s="94"/>
      <c r="K31" s="94">
        <f>SUM(D31:H31)</f>
        <v>105228.18574287108</v>
      </c>
      <c r="L31" s="64" t="e">
        <f>#REF!</f>
        <v>#REF!</v>
      </c>
      <c r="M31" s="64" t="e">
        <f>#REF!</f>
        <v>#REF!</v>
      </c>
      <c r="N31" s="64" t="e">
        <f>K31-L31-M31</f>
        <v>#REF!</v>
      </c>
      <c r="O31" s="133"/>
      <c r="P31" s="125"/>
      <c r="Q31" s="125"/>
      <c r="R31" s="137">
        <f>'[14]Band Calculations'!I25</f>
        <v>9</v>
      </c>
      <c r="S31" s="125"/>
      <c r="Z31" s="125"/>
    </row>
    <row r="32" spans="1:26" s="42" customFormat="1" x14ac:dyDescent="0.25">
      <c r="A32" s="125"/>
      <c r="B32" s="133"/>
      <c r="C32" s="133"/>
      <c r="D32" s="128"/>
      <c r="E32" s="128"/>
      <c r="F32" s="128"/>
      <c r="G32" s="128"/>
      <c r="H32" s="128"/>
      <c r="I32" s="128"/>
      <c r="J32" s="128"/>
      <c r="K32" s="128"/>
      <c r="L32" s="73"/>
      <c r="M32" s="73"/>
      <c r="N32" s="73"/>
      <c r="O32" s="133"/>
      <c r="P32" s="125"/>
      <c r="Q32" s="125"/>
      <c r="R32" s="154"/>
      <c r="S32" s="125"/>
      <c r="Z32" s="125"/>
    </row>
    <row r="33" spans="1:26" s="42" customFormat="1" x14ac:dyDescent="0.25">
      <c r="A33" s="125"/>
      <c r="B33" s="125"/>
      <c r="C33" s="125"/>
      <c r="D33" s="80"/>
      <c r="E33" s="80"/>
      <c r="F33" s="80"/>
      <c r="G33" s="80"/>
      <c r="H33" s="80"/>
      <c r="I33" s="80"/>
      <c r="J33" s="80"/>
      <c r="K33" s="80"/>
      <c r="L33" s="132"/>
      <c r="M33" s="132"/>
      <c r="N33" s="73"/>
      <c r="O33" s="133"/>
      <c r="P33" s="125"/>
      <c r="Q33" s="125"/>
      <c r="S33" s="125"/>
      <c r="T33" s="146"/>
      <c r="Z33" s="125"/>
    </row>
    <row r="34" spans="1:26" s="42" customFormat="1" ht="13" thickBot="1" x14ac:dyDescent="0.3">
      <c r="A34" s="125"/>
      <c r="B34" s="153" t="s">
        <v>171</v>
      </c>
      <c r="C34" s="125"/>
      <c r="D34" s="80"/>
      <c r="E34" s="80"/>
      <c r="F34" s="80"/>
      <c r="G34" s="80"/>
      <c r="H34" s="128"/>
      <c r="I34" s="128"/>
      <c r="J34" s="128"/>
      <c r="K34" s="128"/>
      <c r="L34" s="136" t="e">
        <f>L27+L30+L31</f>
        <v>#REF!</v>
      </c>
      <c r="M34" s="136" t="e">
        <f>M27+M30+M31</f>
        <v>#REF!</v>
      </c>
      <c r="N34" s="136" t="e">
        <f>N27+N30+N31</f>
        <v>#REF!</v>
      </c>
      <c r="O34" s="133"/>
      <c r="P34" s="125"/>
      <c r="Q34" s="125"/>
      <c r="S34" s="125"/>
      <c r="T34" s="146" t="s">
        <v>176</v>
      </c>
      <c r="Z34" s="125"/>
    </row>
    <row r="35" spans="1:26" s="125" customFormat="1" ht="12.75" customHeight="1" x14ac:dyDescent="0.25">
      <c r="B35" s="34" t="s">
        <v>157</v>
      </c>
      <c r="D35" s="80"/>
      <c r="E35" s="80"/>
      <c r="F35" s="80"/>
      <c r="G35" s="80"/>
      <c r="H35" s="128"/>
      <c r="I35" s="128"/>
      <c r="J35" s="128"/>
      <c r="K35" s="128"/>
      <c r="L35" s="132"/>
      <c r="M35" s="132"/>
      <c r="N35" s="73"/>
      <c r="O35" s="133"/>
      <c r="R35" s="42"/>
      <c r="T35" s="1959" t="s">
        <v>175</v>
      </c>
      <c r="U35" s="1959"/>
      <c r="V35" s="1959"/>
      <c r="W35" s="1959"/>
      <c r="X35" s="124"/>
      <c r="Y35" s="42"/>
    </row>
    <row r="36" spans="1:26" s="125" customFormat="1" ht="12.75" customHeight="1" x14ac:dyDescent="0.25">
      <c r="B36" s="34" t="s">
        <v>172</v>
      </c>
      <c r="D36" s="80"/>
      <c r="E36" s="80"/>
      <c r="F36" s="80"/>
      <c r="G36" s="80"/>
      <c r="H36" s="128"/>
      <c r="I36" s="128"/>
      <c r="J36" s="128"/>
      <c r="K36" s="128"/>
      <c r="L36" s="132"/>
      <c r="M36" s="132"/>
      <c r="N36" s="73"/>
      <c r="O36" s="133"/>
      <c r="R36" s="42"/>
      <c r="T36" s="1959"/>
      <c r="U36" s="1959"/>
      <c r="V36" s="1959"/>
      <c r="W36" s="1959"/>
      <c r="X36" s="124"/>
      <c r="Y36" s="42"/>
    </row>
    <row r="37" spans="1:26" s="125" customFormat="1" x14ac:dyDescent="0.25">
      <c r="A37" s="34"/>
      <c r="B37" s="34" t="s">
        <v>237</v>
      </c>
      <c r="C37" s="34"/>
      <c r="D37" s="41"/>
      <c r="E37" s="41"/>
      <c r="F37" s="41"/>
      <c r="G37" s="41"/>
      <c r="H37" s="52"/>
      <c r="I37" s="52"/>
      <c r="J37" s="52"/>
      <c r="K37" s="73"/>
      <c r="L37" s="75"/>
      <c r="M37" s="75"/>
      <c r="N37" s="76"/>
      <c r="O37" s="73"/>
      <c r="P37" s="42"/>
      <c r="Q37" s="42"/>
      <c r="R37" s="41"/>
      <c r="S37" s="34"/>
      <c r="T37" s="1959"/>
      <c r="U37" s="1959"/>
      <c r="V37" s="1959"/>
      <c r="W37" s="1959"/>
      <c r="X37" s="124"/>
      <c r="Y37" s="42"/>
    </row>
    <row r="38" spans="1:26" s="125" customFormat="1" x14ac:dyDescent="0.25">
      <c r="A38" s="34"/>
      <c r="B38" s="34" t="s">
        <v>174</v>
      </c>
      <c r="C38" s="34"/>
      <c r="D38" s="41"/>
      <c r="E38" s="41"/>
      <c r="F38" s="41"/>
      <c r="G38" s="41"/>
      <c r="H38" s="52"/>
      <c r="I38" s="52"/>
      <c r="J38" s="52"/>
      <c r="K38" s="73"/>
      <c r="L38" s="75"/>
      <c r="M38" s="75"/>
      <c r="N38" s="76"/>
      <c r="O38" s="73"/>
      <c r="P38" s="42"/>
      <c r="Q38" s="42"/>
      <c r="R38" s="41"/>
      <c r="S38" s="34"/>
      <c r="T38" s="124"/>
      <c r="U38" s="124"/>
      <c r="V38" s="124"/>
      <c r="W38" s="124"/>
      <c r="X38" s="124"/>
      <c r="Y38" s="42"/>
    </row>
    <row r="39" spans="1:26" s="125" customFormat="1" x14ac:dyDescent="0.25">
      <c r="A39" s="34"/>
      <c r="B39" s="34" t="s">
        <v>179</v>
      </c>
      <c r="C39" s="34"/>
      <c r="D39" s="41"/>
      <c r="E39" s="41"/>
      <c r="F39" s="41"/>
      <c r="G39" s="41"/>
      <c r="H39" s="52"/>
      <c r="I39" s="52"/>
      <c r="J39" s="52"/>
      <c r="K39" s="73"/>
      <c r="L39" s="127"/>
      <c r="M39" s="127"/>
      <c r="N39" s="61"/>
      <c r="O39" s="128"/>
      <c r="P39" s="80"/>
      <c r="Q39" s="80"/>
      <c r="R39" s="41"/>
      <c r="S39" s="34"/>
      <c r="T39" s="89"/>
      <c r="U39" s="89"/>
      <c r="V39" s="89"/>
      <c r="W39" s="89"/>
      <c r="X39" s="89"/>
      <c r="Y39" s="42"/>
    </row>
    <row r="40" spans="1:26" s="125" customFormat="1" ht="13" thickBot="1" x14ac:dyDescent="0.3">
      <c r="A40" s="34"/>
      <c r="B40" s="34"/>
      <c r="C40" s="34"/>
      <c r="D40" s="41"/>
      <c r="E40" s="41"/>
      <c r="F40" s="41"/>
      <c r="G40" s="41"/>
      <c r="H40" s="52"/>
      <c r="I40" s="52"/>
      <c r="J40" s="52"/>
      <c r="K40" s="73"/>
      <c r="L40" s="127" t="s">
        <v>144</v>
      </c>
      <c r="M40" s="127"/>
      <c r="N40" s="61"/>
      <c r="O40" s="128"/>
      <c r="P40" s="80"/>
      <c r="Q40" s="80"/>
      <c r="R40" s="41"/>
      <c r="S40" s="34"/>
      <c r="T40" s="89"/>
      <c r="U40" s="89"/>
      <c r="V40" s="89"/>
      <c r="W40" s="89"/>
      <c r="X40" s="89"/>
      <c r="Y40" s="42"/>
    </row>
    <row r="41" spans="1:26" s="125" customFormat="1" x14ac:dyDescent="0.25">
      <c r="A41" s="34"/>
      <c r="B41" s="34"/>
      <c r="C41" s="34"/>
      <c r="D41" s="41"/>
      <c r="E41" s="159" t="s">
        <v>60</v>
      </c>
      <c r="F41" s="162">
        <v>154884</v>
      </c>
      <c r="G41" s="52"/>
      <c r="H41" s="73"/>
      <c r="I41" s="73"/>
      <c r="J41" s="73"/>
      <c r="K41" s="76"/>
      <c r="L41" s="127"/>
      <c r="M41" s="127"/>
      <c r="N41" s="61"/>
      <c r="O41" s="128"/>
      <c r="P41" s="80"/>
      <c r="Q41" s="80"/>
      <c r="R41" s="41"/>
      <c r="S41" s="34"/>
      <c r="T41" s="89"/>
      <c r="U41" s="89"/>
      <c r="V41" s="89"/>
      <c r="W41" s="89"/>
      <c r="X41" s="89"/>
      <c r="Y41" s="42"/>
    </row>
    <row r="42" spans="1:26" s="125" customFormat="1" ht="13" x14ac:dyDescent="0.3">
      <c r="A42" s="34"/>
      <c r="B42" s="34"/>
      <c r="C42" s="34"/>
      <c r="D42" s="41"/>
      <c r="E42" s="160" t="s">
        <v>181</v>
      </c>
      <c r="F42" s="163">
        <v>219086</v>
      </c>
      <c r="G42" s="76"/>
      <c r="H42" s="147"/>
      <c r="I42" s="147"/>
      <c r="J42" s="147"/>
      <c r="K42" s="148"/>
      <c r="L42" s="75" t="s">
        <v>147</v>
      </c>
      <c r="M42" s="75"/>
      <c r="N42" s="76"/>
      <c r="O42" s="73"/>
      <c r="P42" s="42"/>
      <c r="Q42" s="42"/>
      <c r="R42" s="41"/>
      <c r="S42" s="34"/>
      <c r="T42" s="89"/>
      <c r="U42" s="89"/>
      <c r="V42" s="89"/>
      <c r="W42" s="89"/>
      <c r="X42" s="89"/>
      <c r="Y42" s="42"/>
    </row>
    <row r="43" spans="1:26" s="125" customFormat="1" ht="13" x14ac:dyDescent="0.3">
      <c r="A43" s="34"/>
      <c r="B43" s="34"/>
      <c r="C43" s="34"/>
      <c r="D43" s="41"/>
      <c r="E43" s="160" t="s">
        <v>61</v>
      </c>
      <c r="F43" s="163">
        <v>194478</v>
      </c>
      <c r="G43" s="76"/>
      <c r="H43" s="147"/>
      <c r="I43" s="147"/>
      <c r="J43" s="147"/>
      <c r="K43" s="148"/>
      <c r="L43" s="75"/>
      <c r="M43" s="75"/>
      <c r="N43" s="76"/>
      <c r="O43" s="73"/>
      <c r="P43" s="42"/>
      <c r="Q43" s="42"/>
      <c r="R43" s="41"/>
      <c r="S43" s="34"/>
      <c r="T43" s="89"/>
      <c r="U43" s="89"/>
      <c r="V43" s="89"/>
      <c r="W43" s="89"/>
      <c r="X43" s="89"/>
      <c r="Y43" s="42"/>
    </row>
    <row r="44" spans="1:26" s="125" customFormat="1" ht="13.5" thickBot="1" x14ac:dyDescent="0.35">
      <c r="A44" s="34"/>
      <c r="B44" s="34"/>
      <c r="C44" s="34"/>
      <c r="D44" s="41"/>
      <c r="E44" s="161" t="s">
        <v>180</v>
      </c>
      <c r="F44" s="164">
        <v>238797</v>
      </c>
      <c r="G44" s="76"/>
      <c r="H44" s="147"/>
      <c r="I44" s="147"/>
      <c r="J44" s="147"/>
      <c r="K44" s="148"/>
      <c r="L44" s="75"/>
      <c r="M44" s="75"/>
      <c r="N44" s="76"/>
      <c r="O44" s="73"/>
      <c r="P44" s="42"/>
      <c r="Q44" s="42"/>
      <c r="R44" s="41"/>
      <c r="S44" s="34"/>
      <c r="T44" s="89"/>
      <c r="U44" s="89"/>
      <c r="V44" s="89"/>
      <c r="W44" s="89"/>
      <c r="X44" s="89"/>
      <c r="Y44" s="42"/>
    </row>
    <row r="45" spans="1:26" s="125" customFormat="1" x14ac:dyDescent="0.25">
      <c r="A45" s="34"/>
      <c r="B45" s="34"/>
      <c r="C45" s="34"/>
      <c r="D45" s="41"/>
      <c r="E45" s="76"/>
      <c r="F45" s="73"/>
      <c r="G45" s="76"/>
      <c r="H45" s="34"/>
      <c r="I45" s="34"/>
      <c r="J45" s="34"/>
      <c r="K45" s="41"/>
      <c r="L45" s="129"/>
      <c r="M45" s="87"/>
      <c r="N45" s="79"/>
      <c r="O45" s="80"/>
      <c r="P45" s="42"/>
      <c r="Q45" s="42"/>
      <c r="R45" s="41"/>
      <c r="S45" s="34"/>
      <c r="T45" s="89"/>
      <c r="U45" s="89"/>
      <c r="V45" s="89"/>
      <c r="W45" s="89"/>
      <c r="X45" s="89"/>
      <c r="Y45" s="42"/>
    </row>
    <row r="46" spans="1:26" s="125" customFormat="1" x14ac:dyDescent="0.25">
      <c r="A46" s="34"/>
      <c r="B46" s="34"/>
      <c r="C46" s="34"/>
      <c r="D46" s="41"/>
      <c r="E46" s="76"/>
      <c r="F46" s="76"/>
      <c r="G46" s="76"/>
      <c r="H46" s="34"/>
      <c r="I46" s="34"/>
      <c r="J46" s="34"/>
      <c r="K46" s="41"/>
      <c r="L46" s="75"/>
      <c r="M46" s="75"/>
      <c r="N46" s="73"/>
      <c r="O46" s="42"/>
      <c r="P46" s="73"/>
      <c r="Q46" s="73"/>
      <c r="R46" s="41"/>
      <c r="S46" s="34"/>
      <c r="T46" s="89"/>
      <c r="U46" s="89"/>
      <c r="V46" s="89"/>
      <c r="W46" s="89"/>
      <c r="X46" s="89"/>
      <c r="Y46" s="42"/>
    </row>
    <row r="47" spans="1:26" s="125" customFormat="1" x14ac:dyDescent="0.25">
      <c r="A47" s="34"/>
      <c r="B47" s="34"/>
      <c r="C47" s="34"/>
      <c r="D47" s="41"/>
      <c r="E47" s="41"/>
      <c r="F47" s="41"/>
      <c r="G47" s="41"/>
      <c r="H47" s="34"/>
      <c r="I47" s="34"/>
      <c r="J47" s="34"/>
      <c r="K47" s="41"/>
      <c r="L47" s="52" t="s">
        <v>145</v>
      </c>
      <c r="M47" s="129"/>
      <c r="N47" s="73"/>
      <c r="O47" s="42"/>
      <c r="P47" s="34"/>
      <c r="Q47" s="34"/>
      <c r="R47" s="41"/>
      <c r="S47" s="34"/>
      <c r="T47" s="41"/>
      <c r="U47" s="42"/>
      <c r="V47" s="42"/>
      <c r="W47" s="42"/>
      <c r="X47" s="42"/>
      <c r="Y47" s="42"/>
    </row>
    <row r="48" spans="1:26" s="125" customFormat="1" x14ac:dyDescent="0.25">
      <c r="A48" s="34"/>
      <c r="B48" s="34"/>
      <c r="C48" s="34"/>
      <c r="D48" s="41"/>
      <c r="E48" s="41"/>
      <c r="F48" s="41"/>
      <c r="G48" s="41"/>
      <c r="H48" s="34"/>
      <c r="I48" s="34"/>
      <c r="J48" s="34"/>
      <c r="K48" s="41"/>
      <c r="L48" s="47" t="s">
        <v>112</v>
      </c>
      <c r="M48" s="75"/>
      <c r="N48" s="73">
        <v>-281813.35687466699</v>
      </c>
      <c r="O48" s="73"/>
      <c r="P48" s="73"/>
      <c r="Q48" s="73"/>
      <c r="R48" s="41"/>
      <c r="S48" s="34"/>
      <c r="T48" s="144"/>
      <c r="U48" s="42"/>
      <c r="V48" s="42"/>
      <c r="W48" s="42"/>
      <c r="X48" s="42"/>
      <c r="Y48" s="42"/>
    </row>
    <row r="49" spans="2:20" x14ac:dyDescent="0.25">
      <c r="L49" s="47" t="s">
        <v>116</v>
      </c>
      <c r="M49" s="76"/>
      <c r="N49" s="73">
        <v>-217634.72639999999</v>
      </c>
      <c r="T49" s="69"/>
    </row>
    <row r="50" spans="2:20" x14ac:dyDescent="0.25">
      <c r="B50" s="135"/>
      <c r="C50" s="89"/>
      <c r="D50" s="89"/>
      <c r="E50" s="89"/>
      <c r="F50" s="89"/>
      <c r="G50" s="89"/>
      <c r="H50" s="89"/>
      <c r="I50" s="89"/>
      <c r="J50" s="89"/>
      <c r="K50" s="89"/>
      <c r="L50" s="33" t="s">
        <v>114</v>
      </c>
      <c r="M50" s="89"/>
      <c r="N50" s="93">
        <v>62139.81013245543</v>
      </c>
      <c r="O50" s="89"/>
      <c r="P50" s="82"/>
      <c r="Q50" s="82"/>
    </row>
    <row r="51" spans="2:20" x14ac:dyDescent="0.25">
      <c r="B51" s="89"/>
      <c r="C51" s="89"/>
      <c r="D51" s="89"/>
      <c r="E51" s="89"/>
      <c r="F51" s="89"/>
      <c r="G51" s="89"/>
      <c r="H51" s="89"/>
      <c r="I51" s="89"/>
      <c r="J51" s="89"/>
      <c r="K51" s="89"/>
      <c r="L51" s="89"/>
      <c r="M51" s="89"/>
      <c r="N51" s="138">
        <v>-437308.27314221102</v>
      </c>
      <c r="O51" s="89"/>
      <c r="P51" s="82"/>
      <c r="Q51" s="82"/>
    </row>
  </sheetData>
  <sheetProtection password="C462" sheet="1" objects="1" scenarios="1"/>
  <mergeCells count="7">
    <mergeCell ref="Y3:Y4"/>
    <mergeCell ref="T35:W37"/>
    <mergeCell ref="T3:T4"/>
    <mergeCell ref="U3:U4"/>
    <mergeCell ref="V3:V4"/>
    <mergeCell ref="W3:W5"/>
    <mergeCell ref="T28:X29"/>
  </mergeCells>
  <phoneticPr fontId="61" type="noConversion"/>
  <pageMargins left="0.39370078740157483" right="0.39370078740157483" top="0.98425196850393704" bottom="0.98425196850393704" header="0.51181102362204722" footer="0.51181102362204722"/>
  <pageSetup paperSize="9" scale="53" orientation="landscape" r:id="rId1"/>
  <headerFooter alignWithMargins="0">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pageSetUpPr fitToPage="1"/>
  </sheetPr>
  <dimension ref="A1:W130"/>
  <sheetViews>
    <sheetView topLeftCell="A109" zoomScale="85" zoomScaleNormal="85" workbookViewId="0">
      <pane xSplit="2" topLeftCell="C1" activePane="topRight" state="frozen"/>
      <selection pane="topRight" activeCell="J126" sqref="J126"/>
    </sheetView>
  </sheetViews>
  <sheetFormatPr defaultColWidth="10.26953125" defaultRowHeight="12.5" x14ac:dyDescent="0.25"/>
  <cols>
    <col min="1" max="1" width="9.1796875" style="34" customWidth="1"/>
    <col min="2" max="2" width="26.7265625" style="34" customWidth="1"/>
    <col min="3" max="3" width="6.26953125" style="34" bestFit="1" customWidth="1"/>
    <col min="4" max="8" width="10.26953125" style="34" customWidth="1"/>
    <col min="9" max="9" width="10.26953125" style="41" customWidth="1"/>
    <col min="10" max="10" width="11.1796875" style="41" customWidth="1"/>
    <col min="11" max="11" width="10.26953125" style="34" customWidth="1"/>
    <col min="12" max="12" width="10.54296875" style="34" customWidth="1"/>
    <col min="13" max="13" width="11.54296875" style="34" customWidth="1"/>
    <col min="14" max="14" width="10.26953125" style="34" customWidth="1"/>
    <col min="15" max="17" width="10.26953125" style="34"/>
    <col min="18" max="19" width="11.26953125" style="34" bestFit="1" customWidth="1"/>
    <col min="20" max="16384" width="10.26953125" style="34"/>
  </cols>
  <sheetData>
    <row r="1" spans="1:14" x14ac:dyDescent="0.25">
      <c r="A1" s="63" t="s">
        <v>97</v>
      </c>
      <c r="C1" s="33"/>
    </row>
    <row r="2" spans="1:14" x14ac:dyDescent="0.25">
      <c r="A2" s="63"/>
      <c r="C2" s="33"/>
    </row>
    <row r="3" spans="1:14" ht="13" x14ac:dyDescent="0.3">
      <c r="A3" s="230" t="s">
        <v>282</v>
      </c>
      <c r="C3" s="47"/>
      <c r="I3" s="231" t="s">
        <v>284</v>
      </c>
    </row>
    <row r="4" spans="1:14" x14ac:dyDescent="0.25">
      <c r="B4" s="35"/>
      <c r="C4" s="35"/>
    </row>
    <row r="5" spans="1:14" ht="37.5" x14ac:dyDescent="0.25">
      <c r="A5" s="183" t="s">
        <v>201</v>
      </c>
      <c r="B5" s="36" t="s">
        <v>66</v>
      </c>
      <c r="C5" s="37" t="s">
        <v>51</v>
      </c>
      <c r="D5" s="34" t="s">
        <v>256</v>
      </c>
      <c r="E5" s="34" t="s">
        <v>257</v>
      </c>
      <c r="F5" s="34" t="s">
        <v>258</v>
      </c>
      <c r="G5" s="34" t="s">
        <v>259</v>
      </c>
      <c r="H5" s="34" t="s">
        <v>260</v>
      </c>
      <c r="I5" s="48" t="s">
        <v>252</v>
      </c>
      <c r="J5" s="48" t="s">
        <v>253</v>
      </c>
      <c r="K5" s="48" t="s">
        <v>251</v>
      </c>
      <c r="L5" s="48" t="s">
        <v>336</v>
      </c>
      <c r="M5" s="48" t="s">
        <v>337</v>
      </c>
      <c r="N5" s="48" t="s">
        <v>338</v>
      </c>
    </row>
    <row r="6" spans="1:14" x14ac:dyDescent="0.25">
      <c r="A6" s="185">
        <v>9257010</v>
      </c>
      <c r="B6" s="38" t="s">
        <v>67</v>
      </c>
      <c r="C6" s="236">
        <v>3</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35</v>
      </c>
      <c r="K6" s="168">
        <f>SUM(I6:J6)</f>
        <v>35</v>
      </c>
      <c r="L6" s="80">
        <f t="shared" ref="L6:L23" si="0">((((K6*D6)*$G$92)+((K6*E6)*$G$94)+((K6*F6)*$G$96)+((K6*G6)*$G$98)+((K6*H6)*$G$100)+((K6*H6)*$G$102)))*(5/12)</f>
        <v>145703.46716918354</v>
      </c>
      <c r="M6" s="42">
        <f>(K6*(5/12))*10000</f>
        <v>145833.33333333334</v>
      </c>
      <c r="N6" s="42">
        <f>(VLOOKUP(A6,'2014-15 Funding Detail'!$A$3:$Z$23,19,FALSE)*(5/12))*K6</f>
        <v>129377.959388285</v>
      </c>
    </row>
    <row r="7" spans="1:14" x14ac:dyDescent="0.25">
      <c r="A7" s="185">
        <v>9257005</v>
      </c>
      <c r="B7" s="38" t="s">
        <v>68</v>
      </c>
      <c r="C7" s="244">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38</v>
      </c>
      <c r="K7" s="168">
        <f t="shared" ref="K7:K23" si="1">SUM(I7:J7)</f>
        <v>38</v>
      </c>
      <c r="L7" s="80">
        <f t="shared" si="0"/>
        <v>154179.31505896556</v>
      </c>
      <c r="M7" s="42">
        <f t="shared" ref="M7:M23" si="2">(K7*(5/12))*10000</f>
        <v>158333.33333333334</v>
      </c>
      <c r="N7" s="42">
        <f>(VLOOKUP(A7,'2014-15 Funding Detail'!$A$3:$Z$23,19,FALSE)*(5/12))*K7</f>
        <v>107984.34773996435</v>
      </c>
    </row>
    <row r="8" spans="1:14" x14ac:dyDescent="0.25">
      <c r="A8" s="185">
        <v>9257025</v>
      </c>
      <c r="B8" s="38" t="s">
        <v>69</v>
      </c>
      <c r="C8" s="244">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10</v>
      </c>
      <c r="J8" s="233">
        <v>39</v>
      </c>
      <c r="K8" s="168">
        <f t="shared" si="1"/>
        <v>49</v>
      </c>
      <c r="L8" s="80">
        <f t="shared" si="0"/>
        <v>206784.77709866289</v>
      </c>
      <c r="M8" s="42">
        <f t="shared" si="2"/>
        <v>204166.66666666669</v>
      </c>
      <c r="N8" s="42">
        <f>(VLOOKUP(A8,'2014-15 Funding Detail'!$A$3:$Z$23,19,FALSE)*(5/12))*K8</f>
        <v>183293.88741191576</v>
      </c>
    </row>
    <row r="9" spans="1:14" x14ac:dyDescent="0.25">
      <c r="A9" s="185">
        <v>9257011</v>
      </c>
      <c r="B9" s="38" t="s">
        <v>70</v>
      </c>
      <c r="C9" s="236">
        <v>3</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39</v>
      </c>
      <c r="K9" s="168">
        <f t="shared" si="1"/>
        <v>39</v>
      </c>
      <c r="L9" s="80">
        <f t="shared" si="0"/>
        <v>166866.0387354678</v>
      </c>
      <c r="M9" s="42">
        <f t="shared" si="2"/>
        <v>162500</v>
      </c>
      <c r="N9" s="42">
        <f>(VLOOKUP(A9,'2014-15 Funding Detail'!$A$3:$Z$23,19,FALSE)*(5/12))*K9</f>
        <v>157918.13085308223</v>
      </c>
    </row>
    <row r="10" spans="1:14" x14ac:dyDescent="0.25">
      <c r="A10" s="185">
        <v>9257024</v>
      </c>
      <c r="B10" s="38" t="s">
        <v>71</v>
      </c>
      <c r="C10" s="180">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0</v>
      </c>
      <c r="J10" s="233">
        <v>36</v>
      </c>
      <c r="K10" s="168">
        <f t="shared" si="1"/>
        <v>36</v>
      </c>
      <c r="L10" s="80">
        <f t="shared" si="0"/>
        <v>139341.7481429239</v>
      </c>
      <c r="M10" s="42">
        <f t="shared" si="2"/>
        <v>150000</v>
      </c>
      <c r="N10" s="42">
        <f>(VLOOKUP(A10,'2014-15 Funding Detail'!$A$3:$Z$23,19,FALSE)*(5/12))*K10</f>
        <v>103552.4588914974</v>
      </c>
    </row>
    <row r="11" spans="1:14" x14ac:dyDescent="0.25">
      <c r="A11" s="185">
        <v>9257031</v>
      </c>
      <c r="B11" s="38" t="s">
        <v>98</v>
      </c>
      <c r="C11" s="236">
        <v>3</v>
      </c>
      <c r="D11" s="49">
        <f>'Revised Band Returns'!F35</f>
        <v>0</v>
      </c>
      <c r="E11" s="49">
        <f>'Revised Band Returns'!H35</f>
        <v>0</v>
      </c>
      <c r="F11" s="49">
        <f>'Revised Band Returns'!J35</f>
        <v>0</v>
      </c>
      <c r="G11" s="49">
        <f>'Revised Band Returns'!L35</f>
        <v>0</v>
      </c>
      <c r="H11" s="49">
        <f>'Revised Band Returns'!N35</f>
        <v>1</v>
      </c>
      <c r="I11" s="233">
        <v>0</v>
      </c>
      <c r="J11" s="233">
        <v>61</v>
      </c>
      <c r="K11" s="168">
        <f t="shared" si="1"/>
        <v>61</v>
      </c>
      <c r="L11" s="80">
        <f t="shared" si="0"/>
        <v>364146.32506795577</v>
      </c>
      <c r="M11" s="42">
        <f t="shared" si="2"/>
        <v>254166.66666666669</v>
      </c>
      <c r="N11" s="42">
        <f>(VLOOKUP(A11,'2014-15 Funding Detail'!$A$3:$Z$23,19,FALSE)*(5/12))*K11</f>
        <v>263784.84882169362</v>
      </c>
    </row>
    <row r="12" spans="1:14" x14ac:dyDescent="0.25">
      <c r="A12" s="185">
        <v>9257033</v>
      </c>
      <c r="B12" s="38" t="s">
        <v>72</v>
      </c>
      <c r="C12" s="236">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10</v>
      </c>
      <c r="J12" s="233">
        <v>50</v>
      </c>
      <c r="K12" s="168">
        <f t="shared" si="1"/>
        <v>60</v>
      </c>
      <c r="L12" s="80">
        <f t="shared" si="0"/>
        <v>246332.97443288573</v>
      </c>
      <c r="M12" s="42">
        <f t="shared" si="2"/>
        <v>250000</v>
      </c>
      <c r="N12" s="42">
        <f>(VLOOKUP(A12,'2014-15 Funding Detail'!$A$3:$Z$23,19,FALSE)*(5/12))*K12</f>
        <v>159355.09871968153</v>
      </c>
    </row>
    <row r="13" spans="1:14" x14ac:dyDescent="0.25">
      <c r="A13" s="185">
        <v>9257008</v>
      </c>
      <c r="B13" s="38" t="s">
        <v>73</v>
      </c>
      <c r="C13" s="236">
        <v>3</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10</v>
      </c>
      <c r="J13" s="233">
        <v>74</v>
      </c>
      <c r="K13" s="168">
        <f t="shared" si="1"/>
        <v>84</v>
      </c>
      <c r="L13" s="80">
        <f t="shared" si="0"/>
        <v>306088.73366611655</v>
      </c>
      <c r="M13" s="42">
        <f t="shared" si="2"/>
        <v>350000</v>
      </c>
      <c r="N13" s="42">
        <f>(VLOOKUP(A13,'2014-15 Funding Detail'!$A$3:$Z$23,19,FALSE)*(5/12))*K13</f>
        <v>134264.90362623686</v>
      </c>
    </row>
    <row r="14" spans="1:14" x14ac:dyDescent="0.25">
      <c r="A14" s="185">
        <v>9257034</v>
      </c>
      <c r="B14" s="38" t="s">
        <v>74</v>
      </c>
      <c r="C14" s="244">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78</v>
      </c>
      <c r="K14" s="168">
        <f t="shared" si="1"/>
        <v>78</v>
      </c>
      <c r="L14" s="80">
        <f t="shared" si="0"/>
        <v>282169.31662901014</v>
      </c>
      <c r="M14" s="42">
        <f t="shared" si="2"/>
        <v>325000</v>
      </c>
      <c r="N14" s="42">
        <f>(VLOOKUP(A14,'2014-15 Funding Detail'!$A$3:$Z$23,19,FALSE)*(5/12))*K14</f>
        <v>107832.23093981248</v>
      </c>
    </row>
    <row r="15" spans="1:14" x14ac:dyDescent="0.25">
      <c r="A15" s="185">
        <v>9257002</v>
      </c>
      <c r="B15" s="38" t="s">
        <v>75</v>
      </c>
      <c r="C15" s="236">
        <v>4</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130</v>
      </c>
      <c r="K15" s="168">
        <f t="shared" si="1"/>
        <v>130</v>
      </c>
      <c r="L15" s="80">
        <f t="shared" si="0"/>
        <v>405214.4423928553</v>
      </c>
      <c r="M15" s="42">
        <f t="shared" si="2"/>
        <v>541666.66666666674</v>
      </c>
      <c r="N15" s="42">
        <f>(VLOOKUP(A15,'2014-15 Funding Detail'!$A$3:$Z$23,19,FALSE)*(5/12))*K15</f>
        <v>84802.239937422433</v>
      </c>
    </row>
    <row r="16" spans="1:14" x14ac:dyDescent="0.25">
      <c r="A16" s="185">
        <v>9257009</v>
      </c>
      <c r="B16" s="38" t="s">
        <v>76</v>
      </c>
      <c r="C16" s="244">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131</v>
      </c>
      <c r="K16" s="168">
        <f t="shared" si="1"/>
        <v>131</v>
      </c>
      <c r="L16" s="80">
        <f t="shared" si="0"/>
        <v>415296.41019249673</v>
      </c>
      <c r="M16" s="42">
        <f t="shared" si="2"/>
        <v>545833.33333333337</v>
      </c>
      <c r="N16" s="42">
        <f>(VLOOKUP(A16,'2014-15 Funding Detail'!$A$3:$Z$23,19,FALSE)*(5/12))*K16</f>
        <v>91981.440343277543</v>
      </c>
    </row>
    <row r="17" spans="1:14" x14ac:dyDescent="0.25">
      <c r="A17" s="185">
        <v>9257029</v>
      </c>
      <c r="B17" s="38" t="s">
        <v>99</v>
      </c>
      <c r="C17" s="180">
        <v>4</v>
      </c>
      <c r="D17" s="49">
        <f>'Revised Band Returns'!F41</f>
        <v>0</v>
      </c>
      <c r="E17" s="49">
        <f>'Revised Band Returns'!H41</f>
        <v>0</v>
      </c>
      <c r="F17" s="49">
        <f>'Revised Band Returns'!J41</f>
        <v>0</v>
      </c>
      <c r="G17" s="49">
        <f>'Revised Band Returns'!L41</f>
        <v>0</v>
      </c>
      <c r="H17" s="49">
        <f>'Revised Band Returns'!N41</f>
        <v>1</v>
      </c>
      <c r="I17" s="233">
        <v>0</v>
      </c>
      <c r="J17" s="233">
        <v>62</v>
      </c>
      <c r="K17" s="168">
        <f t="shared" si="1"/>
        <v>62</v>
      </c>
      <c r="L17" s="80">
        <f t="shared" si="0"/>
        <v>370115.93695431569</v>
      </c>
      <c r="M17" s="42">
        <f t="shared" si="2"/>
        <v>258333.33333333334</v>
      </c>
      <c r="N17" s="42">
        <f>(VLOOKUP(A17,'2014-15 Funding Detail'!$A$3:$Z$23,19,FALSE)*(5/12))*K17</f>
        <v>315097.90727156791</v>
      </c>
    </row>
    <row r="18" spans="1:14" x14ac:dyDescent="0.25">
      <c r="A18" s="185">
        <v>9257032</v>
      </c>
      <c r="B18" s="38" t="s">
        <v>100</v>
      </c>
      <c r="C18" s="236">
        <v>4</v>
      </c>
      <c r="D18" s="49">
        <f>'Revised Band Returns'!F42</f>
        <v>0</v>
      </c>
      <c r="E18" s="49">
        <f>'Revised Band Returns'!H42</f>
        <v>0</v>
      </c>
      <c r="F18" s="49">
        <f>'Revised Band Returns'!J42</f>
        <v>0</v>
      </c>
      <c r="G18" s="49">
        <f>'Revised Band Returns'!L42</f>
        <v>0</v>
      </c>
      <c r="H18" s="49">
        <f>'Revised Band Returns'!N42</f>
        <v>1</v>
      </c>
      <c r="I18" s="233">
        <v>0</v>
      </c>
      <c r="J18" s="233">
        <v>59</v>
      </c>
      <c r="K18" s="168">
        <f t="shared" si="1"/>
        <v>59</v>
      </c>
      <c r="L18" s="80">
        <f t="shared" si="0"/>
        <v>352207.10129523586</v>
      </c>
      <c r="M18" s="42">
        <f t="shared" si="2"/>
        <v>245833.33333333334</v>
      </c>
      <c r="N18" s="42">
        <f>(VLOOKUP(A18,'2014-15 Funding Detail'!$A$3:$Z$23,19,FALSE)*(5/12))*K18</f>
        <v>289195.43027354195</v>
      </c>
    </row>
    <row r="19" spans="1:14" x14ac:dyDescent="0.25">
      <c r="A19" s="185">
        <v>9257030</v>
      </c>
      <c r="B19" s="38" t="s">
        <v>92</v>
      </c>
      <c r="C19" s="244">
        <v>3</v>
      </c>
      <c r="D19" s="49">
        <f>'Revised Band Returns'!F43</f>
        <v>0</v>
      </c>
      <c r="E19" s="49">
        <f>'Revised Band Returns'!H43</f>
        <v>0</v>
      </c>
      <c r="F19" s="49">
        <f>'Revised Band Returns'!J43</f>
        <v>0</v>
      </c>
      <c r="G19" s="49">
        <f>'Revised Band Returns'!L43</f>
        <v>0</v>
      </c>
      <c r="H19" s="49">
        <f>'Revised Band Returns'!N43</f>
        <v>1</v>
      </c>
      <c r="I19" s="233">
        <v>0</v>
      </c>
      <c r="J19" s="233">
        <v>55</v>
      </c>
      <c r="K19" s="168">
        <f t="shared" si="1"/>
        <v>55</v>
      </c>
      <c r="L19" s="80">
        <f t="shared" si="0"/>
        <v>328328.65374979615</v>
      </c>
      <c r="M19" s="42">
        <f t="shared" si="2"/>
        <v>229166.66666666669</v>
      </c>
      <c r="N19" s="42">
        <f>(VLOOKUP(A19,'2014-15 Funding Detail'!$A$3:$Z$23,19,FALSE)*(5/12))*K19</f>
        <v>276809.71186912438</v>
      </c>
    </row>
    <row r="20" spans="1:14" x14ac:dyDescent="0.25">
      <c r="A20" s="185">
        <v>9257028</v>
      </c>
      <c r="B20" s="38" t="s">
        <v>77</v>
      </c>
      <c r="C20" s="236">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233">
        <v>0</v>
      </c>
      <c r="J20" s="233">
        <v>56</v>
      </c>
      <c r="K20" s="168">
        <f t="shared" si="1"/>
        <v>56</v>
      </c>
      <c r="L20" s="80">
        <f t="shared" si="0"/>
        <v>253289.64017957877</v>
      </c>
      <c r="M20" s="42">
        <f t="shared" si="2"/>
        <v>233333.33333333334</v>
      </c>
      <c r="N20" s="42">
        <f>(VLOOKUP(A20,'2014-15 Funding Detail'!$A$3:$Z$23,19,FALSE)*(5/12))*K20</f>
        <v>196591.50300240816</v>
      </c>
    </row>
    <row r="21" spans="1:14" x14ac:dyDescent="0.25">
      <c r="A21" s="185">
        <v>9257021</v>
      </c>
      <c r="B21" s="38" t="s">
        <v>78</v>
      </c>
      <c r="C21" s="236">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142</v>
      </c>
      <c r="K21" s="168">
        <f t="shared" si="1"/>
        <v>142</v>
      </c>
      <c r="L21" s="80">
        <f t="shared" si="0"/>
        <v>456856.40829387784</v>
      </c>
      <c r="M21" s="42">
        <f t="shared" si="2"/>
        <v>591666.66666666674</v>
      </c>
      <c r="N21" s="42">
        <f>(VLOOKUP(A21,'2014-15 Funding Detail'!$A$3:$Z$23,19,FALSE)*(5/12))*K21</f>
        <v>100928.66996640975</v>
      </c>
    </row>
    <row r="22" spans="1:14" x14ac:dyDescent="0.25">
      <c r="A22" s="185">
        <v>9257015</v>
      </c>
      <c r="B22" s="38" t="s">
        <v>55</v>
      </c>
      <c r="C22" s="244">
        <v>7</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10</v>
      </c>
      <c r="J22" s="233">
        <v>218</v>
      </c>
      <c r="K22" s="168">
        <f t="shared" si="1"/>
        <v>228</v>
      </c>
      <c r="L22" s="80">
        <f t="shared" si="0"/>
        <v>697313.24672939302</v>
      </c>
      <c r="M22" s="42">
        <f t="shared" si="2"/>
        <v>950000</v>
      </c>
      <c r="N22" s="42">
        <f>(VLOOKUP(A22,'2014-15 Funding Detail'!$A$3:$Z$23,19,FALSE)*(5/12))*K22</f>
        <v>38789.927311115047</v>
      </c>
    </row>
    <row r="23" spans="1:14" x14ac:dyDescent="0.25">
      <c r="A23" s="185">
        <v>9257016</v>
      </c>
      <c r="B23" s="38" t="s">
        <v>80</v>
      </c>
      <c r="C23" s="236">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79</v>
      </c>
      <c r="K23" s="168">
        <f t="shared" si="1"/>
        <v>79</v>
      </c>
      <c r="L23" s="80">
        <f t="shared" si="0"/>
        <v>333053.08543802291</v>
      </c>
      <c r="M23" s="42">
        <f t="shared" si="2"/>
        <v>329166.66666666669</v>
      </c>
      <c r="N23" s="42">
        <f>(VLOOKUP(A23,'2014-15 Funding Detail'!$A$3:$Z$23,19,FALSE)*(5/12))*K23</f>
        <v>225773.40607591419</v>
      </c>
    </row>
    <row r="24" spans="1:14" x14ac:dyDescent="0.25">
      <c r="A24" s="75"/>
      <c r="B24" s="50"/>
      <c r="C24" s="61"/>
      <c r="D24" s="49"/>
      <c r="E24" s="49"/>
      <c r="F24" s="49"/>
      <c r="G24" s="49"/>
      <c r="H24" s="49"/>
      <c r="I24" s="168"/>
      <c r="J24" s="168"/>
      <c r="K24" s="168"/>
      <c r="L24" s="80"/>
      <c r="M24" s="168"/>
      <c r="N24" s="168"/>
    </row>
    <row r="25" spans="1:14" ht="13" x14ac:dyDescent="0.3">
      <c r="A25" s="230" t="s">
        <v>283</v>
      </c>
      <c r="B25" s="50"/>
      <c r="C25" s="61"/>
      <c r="D25" s="49"/>
      <c r="E25" s="49"/>
      <c r="F25" s="49"/>
      <c r="G25" s="49"/>
      <c r="H25" s="49"/>
      <c r="I25" s="168"/>
      <c r="J25" s="168"/>
      <c r="K25" s="168"/>
      <c r="L25" s="80"/>
      <c r="M25" s="168"/>
      <c r="N25" s="168"/>
    </row>
    <row r="26" spans="1:14" x14ac:dyDescent="0.25">
      <c r="A26" s="75"/>
      <c r="B26" s="50"/>
      <c r="C26" s="61"/>
      <c r="D26" s="49"/>
      <c r="E26" s="49"/>
      <c r="F26" s="49"/>
      <c r="G26" s="49"/>
      <c r="H26" s="49"/>
      <c r="I26" s="231" t="s">
        <v>284</v>
      </c>
      <c r="J26" s="168"/>
      <c r="K26" s="168"/>
      <c r="L26" s="80"/>
      <c r="M26" s="168"/>
      <c r="N26" s="168"/>
    </row>
    <row r="27" spans="1:14" ht="37.5" x14ac:dyDescent="0.25">
      <c r="A27" s="183" t="s">
        <v>201</v>
      </c>
      <c r="B27" s="36" t="s">
        <v>66</v>
      </c>
      <c r="C27" s="37" t="s">
        <v>51</v>
      </c>
      <c r="D27" s="34" t="s">
        <v>256</v>
      </c>
      <c r="E27" s="34" t="s">
        <v>257</v>
      </c>
      <c r="F27" s="34" t="s">
        <v>258</v>
      </c>
      <c r="G27" s="34" t="s">
        <v>259</v>
      </c>
      <c r="H27" s="34" t="s">
        <v>260</v>
      </c>
      <c r="I27" s="48" t="s">
        <v>185</v>
      </c>
      <c r="J27" s="48" t="s">
        <v>288</v>
      </c>
      <c r="K27" s="252" t="s">
        <v>330</v>
      </c>
      <c r="L27" s="48" t="s">
        <v>339</v>
      </c>
      <c r="M27" s="168"/>
      <c r="N27" s="168"/>
    </row>
    <row r="28" spans="1:14" x14ac:dyDescent="0.25">
      <c r="A28" s="185">
        <v>9257010</v>
      </c>
      <c r="B28" s="38" t="s">
        <v>67</v>
      </c>
      <c r="C28" s="236">
        <v>3</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8</v>
      </c>
      <c r="J28" s="80">
        <f>((((I28*D28)*$G$92)+((I28*E28)*$G$94)+((I28*F28)*$G$96)+((I28*G28)*$G$98)+((I28*H28)*$G$100)+((I28*H28)*$G$102)))*(4/12)</f>
        <v>26642.919710936421</v>
      </c>
      <c r="K28" s="42">
        <f>(I28*(4/12))*11164</f>
        <v>29770.666666666664</v>
      </c>
      <c r="L28" s="80">
        <f>(VLOOKUP(A28,'2014-15 Funding Detail'!$A$3:$Z$23,21,FALSE)*4/12)*I28</f>
        <v>20553.684002429258</v>
      </c>
      <c r="M28" s="168"/>
      <c r="N28" s="168"/>
    </row>
    <row r="29" spans="1:14" x14ac:dyDescent="0.25">
      <c r="A29" s="185">
        <v>9257005</v>
      </c>
      <c r="B29" s="38" t="s">
        <v>68</v>
      </c>
      <c r="C29" s="244">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25</v>
      </c>
      <c r="J29" s="80">
        <f>((((I29*D29)*$G$92)+((I29*E29)*$G$94)+((I29*F29)*$G$96)+((I29*G29)*$G$98)+((I29*H29)*$G$100)+((I29*H29)*$G$102)))*(4/12)</f>
        <v>81147.007925771351</v>
      </c>
      <c r="K29" s="42">
        <f t="shared" ref="K29:K45" si="3">(I29*(4/12))*11164</f>
        <v>93033.333333333314</v>
      </c>
      <c r="L29" s="80">
        <f>(VLOOKUP(A29,'2014-15 Funding Detail'!$A$3:$Z$23,21,FALSE)*4/12)*I29</f>
        <v>47133.86723156018</v>
      </c>
      <c r="M29" s="168"/>
      <c r="N29" s="168"/>
    </row>
    <row r="30" spans="1:14" x14ac:dyDescent="0.25">
      <c r="A30" s="185">
        <v>9257025</v>
      </c>
      <c r="B30" s="38" t="s">
        <v>69</v>
      </c>
      <c r="C30" s="244">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14</v>
      </c>
      <c r="J30" s="80">
        <f t="shared" ref="J30:J45" si="4">((((I30*D30)*$G$92)+((I30*E30)*$G$94)+((I30*F30)*$G$96)+((I30*G30)*$G$98)+((I30*H30)*$G$100)+((I30*H30)*$G$102)))*(4/12)</f>
        <v>47265.091908265807</v>
      </c>
      <c r="K30" s="42">
        <f t="shared" si="3"/>
        <v>52098.666666666657</v>
      </c>
      <c r="L30" s="80">
        <f>(VLOOKUP(A30,'2014-15 Funding Detail'!$A$3:$Z$23,21,FALSE)*4/12)*I30</f>
        <v>36463.745694152174</v>
      </c>
      <c r="M30" s="168"/>
      <c r="N30" s="168"/>
    </row>
    <row r="31" spans="1:14" x14ac:dyDescent="0.25">
      <c r="A31" s="185">
        <v>9257011</v>
      </c>
      <c r="B31" s="38" t="s">
        <v>70</v>
      </c>
      <c r="C31" s="236">
        <v>3</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2</v>
      </c>
      <c r="J31" s="80">
        <f t="shared" si="4"/>
        <v>6845.7862045320117</v>
      </c>
      <c r="K31" s="42">
        <f t="shared" si="3"/>
        <v>7442.6666666666661</v>
      </c>
      <c r="L31" s="80">
        <f>(VLOOKUP(A31,'2014-15 Funding Detail'!$A$3:$Z$23,21,FALSE)*4/12)*I31</f>
        <v>5702.6925478187577</v>
      </c>
      <c r="M31" s="168"/>
      <c r="N31" s="168"/>
    </row>
    <row r="32" spans="1:14" x14ac:dyDescent="0.25">
      <c r="A32" s="185">
        <v>9257024</v>
      </c>
      <c r="B32" s="38" t="s">
        <v>71</v>
      </c>
      <c r="C32" s="180">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11</v>
      </c>
      <c r="J32" s="80">
        <f t="shared" si="4"/>
        <v>34061.316212714722</v>
      </c>
      <c r="K32" s="42">
        <f t="shared" si="3"/>
        <v>40934.666666666664</v>
      </c>
      <c r="L32" s="80">
        <f>(VLOOKUP(A32,'2014-15 Funding Detail'!$A$3:$Z$23,21,FALSE)*4/12)*I32</f>
        <v>21044.823284588248</v>
      </c>
      <c r="M32" s="168"/>
      <c r="N32" s="168"/>
    </row>
    <row r="33" spans="1:14" x14ac:dyDescent="0.25">
      <c r="A33" s="185">
        <v>9257031</v>
      </c>
      <c r="B33" s="38" t="s">
        <v>98</v>
      </c>
      <c r="C33" s="236">
        <v>3</v>
      </c>
      <c r="D33" s="49">
        <f>'Revised Band Returns'!F35</f>
        <v>0</v>
      </c>
      <c r="E33" s="49">
        <f>'Revised Band Returns'!H35</f>
        <v>0</v>
      </c>
      <c r="F33" s="49">
        <f>'Revised Band Returns'!J35</f>
        <v>0</v>
      </c>
      <c r="G33" s="49">
        <f>'Revised Band Returns'!L35</f>
        <v>0</v>
      </c>
      <c r="H33" s="49">
        <f>'Revised Band Returns'!N35</f>
        <v>1</v>
      </c>
      <c r="I33" s="233">
        <v>0</v>
      </c>
      <c r="J33" s="80">
        <f t="shared" si="4"/>
        <v>0</v>
      </c>
      <c r="K33" s="42">
        <f t="shared" si="3"/>
        <v>0</v>
      </c>
      <c r="L33" s="80">
        <f>(VLOOKUP(A33,'2014-15 Funding Detail'!$A$3:$Z$23,21,FALSE)*4/12)*I33</f>
        <v>0</v>
      </c>
      <c r="M33" s="168"/>
      <c r="N33" s="168"/>
    </row>
    <row r="34" spans="1:14" x14ac:dyDescent="0.25">
      <c r="A34" s="185">
        <v>9257033</v>
      </c>
      <c r="B34" s="38" t="s">
        <v>72</v>
      </c>
      <c r="C34" s="236">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4"/>
        <v>0</v>
      </c>
      <c r="K34" s="42">
        <f t="shared" si="3"/>
        <v>0</v>
      </c>
      <c r="L34" s="80">
        <f>(VLOOKUP(A34,'2014-15 Funding Detail'!$A$3:$Z$23,21,FALSE)*4/12)*I34</f>
        <v>0</v>
      </c>
      <c r="M34" s="168"/>
      <c r="N34" s="168"/>
    </row>
    <row r="35" spans="1:14" x14ac:dyDescent="0.25">
      <c r="A35" s="185">
        <v>9257008</v>
      </c>
      <c r="B35" s="38" t="s">
        <v>73</v>
      </c>
      <c r="C35" s="236">
        <v>3</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4"/>
        <v>0</v>
      </c>
      <c r="K35" s="42">
        <f t="shared" si="3"/>
        <v>0</v>
      </c>
      <c r="L35" s="80">
        <f>(VLOOKUP(A35,'2014-15 Funding Detail'!$A$3:$Z$23,21,FALSE)*4/12)*I35</f>
        <v>0</v>
      </c>
      <c r="M35" s="168"/>
      <c r="N35" s="168"/>
    </row>
    <row r="36" spans="1:14" x14ac:dyDescent="0.25">
      <c r="A36" s="185">
        <v>9257034</v>
      </c>
      <c r="B36" s="38" t="s">
        <v>74</v>
      </c>
      <c r="C36" s="244">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31</v>
      </c>
      <c r="J36" s="80">
        <f t="shared" si="4"/>
        <v>89715.372466659639</v>
      </c>
      <c r="K36" s="42">
        <f t="shared" si="3"/>
        <v>115361.33333333331</v>
      </c>
      <c r="L36" s="80">
        <f>(VLOOKUP(A36,'2014-15 Funding Detail'!$A$3:$Z$23,21,FALSE)*4/12)*I36</f>
        <v>22257.119580863458</v>
      </c>
      <c r="M36" s="168"/>
      <c r="N36" s="168"/>
    </row>
    <row r="37" spans="1:14" x14ac:dyDescent="0.25">
      <c r="A37" s="185">
        <v>9257002</v>
      </c>
      <c r="B37" s="38" t="s">
        <v>75</v>
      </c>
      <c r="C37" s="236">
        <v>4</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4"/>
        <v>0</v>
      </c>
      <c r="K37" s="42">
        <f t="shared" si="3"/>
        <v>0</v>
      </c>
      <c r="L37" s="80">
        <f>(VLOOKUP(A37,'2014-15 Funding Detail'!$A$3:$Z$23,21,FALSE)*4/12)*I37</f>
        <v>0</v>
      </c>
      <c r="M37" s="168"/>
      <c r="N37" s="168"/>
    </row>
    <row r="38" spans="1:14" x14ac:dyDescent="0.25">
      <c r="A38" s="185">
        <v>9257009</v>
      </c>
      <c r="B38" s="38" t="s">
        <v>76</v>
      </c>
      <c r="C38" s="244">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4"/>
        <v>0</v>
      </c>
      <c r="K38" s="42">
        <f t="shared" si="3"/>
        <v>0</v>
      </c>
      <c r="L38" s="80">
        <f>(VLOOKUP(A38,'2014-15 Funding Detail'!$A$3:$Z$23,21,FALSE)*4/12)*I38</f>
        <v>0</v>
      </c>
      <c r="M38" s="168"/>
      <c r="N38" s="168"/>
    </row>
    <row r="39" spans="1:14" x14ac:dyDescent="0.25">
      <c r="A39" s="185">
        <v>9257029</v>
      </c>
      <c r="B39" s="38" t="s">
        <v>99</v>
      </c>
      <c r="C39" s="180">
        <v>4</v>
      </c>
      <c r="D39" s="49">
        <f>'Revised Band Returns'!F41</f>
        <v>0</v>
      </c>
      <c r="E39" s="49">
        <f>'Revised Band Returns'!H41</f>
        <v>0</v>
      </c>
      <c r="F39" s="49">
        <f>'Revised Band Returns'!J41</f>
        <v>0</v>
      </c>
      <c r="G39" s="49">
        <f>'Revised Band Returns'!L41</f>
        <v>0</v>
      </c>
      <c r="H39" s="49">
        <f>'Revised Band Returns'!N41</f>
        <v>1</v>
      </c>
      <c r="I39" s="233">
        <v>0</v>
      </c>
      <c r="J39" s="80">
        <f t="shared" si="4"/>
        <v>0</v>
      </c>
      <c r="K39" s="42">
        <f t="shared" si="3"/>
        <v>0</v>
      </c>
      <c r="L39" s="80">
        <f>(VLOOKUP(A39,'2014-15 Funding Detail'!$A$3:$Z$23,21,FALSE)*4/12)*I39</f>
        <v>0</v>
      </c>
      <c r="M39" s="168"/>
      <c r="N39" s="168"/>
    </row>
    <row r="40" spans="1:14" x14ac:dyDescent="0.25">
      <c r="A40" s="185">
        <v>9257032</v>
      </c>
      <c r="B40" s="38" t="s">
        <v>100</v>
      </c>
      <c r="C40" s="236">
        <v>4</v>
      </c>
      <c r="D40" s="49">
        <f>'Revised Band Returns'!F42</f>
        <v>0</v>
      </c>
      <c r="E40" s="49">
        <f>'Revised Band Returns'!H42</f>
        <v>0</v>
      </c>
      <c r="F40" s="49">
        <f>'Revised Band Returns'!J42</f>
        <v>0</v>
      </c>
      <c r="G40" s="49">
        <f>'Revised Band Returns'!L42</f>
        <v>0</v>
      </c>
      <c r="H40" s="49">
        <f>'Revised Band Returns'!N42</f>
        <v>1</v>
      </c>
      <c r="I40" s="233">
        <v>0</v>
      </c>
      <c r="J40" s="80">
        <f t="shared" si="4"/>
        <v>0</v>
      </c>
      <c r="K40" s="42">
        <f t="shared" si="3"/>
        <v>0</v>
      </c>
      <c r="L40" s="80">
        <f>(VLOOKUP(A40,'2014-15 Funding Detail'!$A$3:$Z$23,21,FALSE)*4/12)*I40</f>
        <v>0</v>
      </c>
      <c r="M40" s="168"/>
      <c r="N40" s="168"/>
    </row>
    <row r="41" spans="1:14" x14ac:dyDescent="0.25">
      <c r="A41" s="185">
        <v>9257030</v>
      </c>
      <c r="B41" s="38" t="s">
        <v>92</v>
      </c>
      <c r="C41" s="244">
        <v>3</v>
      </c>
      <c r="D41" s="49">
        <f>'Revised Band Returns'!F43</f>
        <v>0</v>
      </c>
      <c r="E41" s="49">
        <f>'Revised Band Returns'!H43</f>
        <v>0</v>
      </c>
      <c r="F41" s="49">
        <f>'Revised Band Returns'!J43</f>
        <v>0</v>
      </c>
      <c r="G41" s="49">
        <f>'Revised Band Returns'!L43</f>
        <v>0</v>
      </c>
      <c r="H41" s="49">
        <f>'Revised Band Returns'!N43</f>
        <v>1</v>
      </c>
      <c r="I41" s="233">
        <v>0</v>
      </c>
      <c r="J41" s="80">
        <f t="shared" si="4"/>
        <v>0</v>
      </c>
      <c r="K41" s="42">
        <f t="shared" si="3"/>
        <v>0</v>
      </c>
      <c r="L41" s="80">
        <f>(VLOOKUP(A41,'2014-15 Funding Detail'!$A$3:$Z$23,21,FALSE)*4/12)*I41</f>
        <v>0</v>
      </c>
      <c r="M41" s="168"/>
      <c r="N41" s="168"/>
    </row>
    <row r="42" spans="1:14" x14ac:dyDescent="0.25">
      <c r="A42" s="185">
        <v>9257028</v>
      </c>
      <c r="B42" s="38" t="s">
        <v>77</v>
      </c>
      <c r="C42" s="236">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17</v>
      </c>
      <c r="J42" s="80">
        <f t="shared" si="4"/>
        <v>61513.198329326246</v>
      </c>
      <c r="K42" s="42">
        <f t="shared" si="3"/>
        <v>63262.666666666657</v>
      </c>
      <c r="L42" s="80">
        <f>(VLOOKUP(A42,'2014-15 Funding Detail'!$A$3:$Z$23,21,FALSE)*4/12)*I42</f>
        <v>41147.650729156274</v>
      </c>
      <c r="M42" s="168"/>
      <c r="N42" s="168"/>
    </row>
    <row r="43" spans="1:14" x14ac:dyDescent="0.25">
      <c r="A43" s="185">
        <v>9257021</v>
      </c>
      <c r="B43" s="38" t="s">
        <v>78</v>
      </c>
      <c r="C43" s="236">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4"/>
        <v>0</v>
      </c>
      <c r="K43" s="42">
        <f t="shared" si="3"/>
        <v>0</v>
      </c>
      <c r="L43" s="80">
        <f>(VLOOKUP(A43,'2014-15 Funding Detail'!$A$3:$Z$23,21,FALSE)*4/12)*I43</f>
        <v>0</v>
      </c>
      <c r="M43" s="168"/>
      <c r="N43" s="168"/>
    </row>
    <row r="44" spans="1:14" x14ac:dyDescent="0.25">
      <c r="A44" s="185">
        <v>9257015</v>
      </c>
      <c r="B44" s="38" t="s">
        <v>55</v>
      </c>
      <c r="C44" s="244">
        <v>7</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17</v>
      </c>
      <c r="J44" s="80">
        <f t="shared" si="4"/>
        <v>41594.123489121688</v>
      </c>
      <c r="K44" s="42">
        <f t="shared" si="3"/>
        <v>63262.666666666657</v>
      </c>
      <c r="L44" s="80">
        <f>(VLOOKUP(A44,'2014-15 Funding Detail'!$A$3:$Z$23,21,FALSE)*4/12)*I44</f>
        <v>-4282.2148621440147</v>
      </c>
      <c r="M44" s="168"/>
      <c r="N44" s="168"/>
    </row>
    <row r="45" spans="1:14" x14ac:dyDescent="0.25">
      <c r="A45" s="185">
        <v>9257016</v>
      </c>
      <c r="B45" s="38" t="s">
        <v>80</v>
      </c>
      <c r="C45" s="236">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50</v>
      </c>
      <c r="J45" s="80">
        <f t="shared" si="4"/>
        <v>168634.47363950528</v>
      </c>
      <c r="K45" s="42">
        <f t="shared" si="3"/>
        <v>186066.66666666663</v>
      </c>
      <c r="L45" s="80">
        <f>(VLOOKUP(A45,'2014-15 Funding Detail'!$A$3:$Z$23,21,FALSE)*4/12)*I45</f>
        <v>94915.648646032481</v>
      </c>
      <c r="M45" s="168"/>
      <c r="N45" s="168"/>
    </row>
    <row r="46" spans="1:14" x14ac:dyDescent="0.25">
      <c r="A46" s="75"/>
      <c r="B46" s="50"/>
      <c r="C46" s="61"/>
      <c r="D46" s="49"/>
      <c r="E46" s="49"/>
      <c r="F46" s="49"/>
      <c r="G46" s="49"/>
      <c r="H46" s="49"/>
      <c r="I46" s="168"/>
      <c r="J46" s="168"/>
      <c r="K46" s="168"/>
      <c r="L46" s="80"/>
      <c r="M46" s="168"/>
      <c r="N46" s="168"/>
    </row>
    <row r="47" spans="1:14" ht="13" x14ac:dyDescent="0.3">
      <c r="A47" s="230" t="s">
        <v>285</v>
      </c>
      <c r="B47" s="50"/>
      <c r="C47" s="50"/>
    </row>
    <row r="48" spans="1:14" x14ac:dyDescent="0.25">
      <c r="B48" s="50"/>
      <c r="C48" s="50"/>
      <c r="I48" s="231" t="s">
        <v>286</v>
      </c>
    </row>
    <row r="49" spans="1:14" ht="39.75" customHeight="1" x14ac:dyDescent="0.25">
      <c r="A49" s="183" t="s">
        <v>201</v>
      </c>
      <c r="B49" s="36" t="s">
        <v>66</v>
      </c>
      <c r="C49" s="37" t="s">
        <v>51</v>
      </c>
      <c r="D49" s="34" t="s">
        <v>256</v>
      </c>
      <c r="E49" s="34" t="s">
        <v>257</v>
      </c>
      <c r="F49" s="34" t="s">
        <v>258</v>
      </c>
      <c r="G49" s="34" t="s">
        <v>259</v>
      </c>
      <c r="H49" s="34" t="s">
        <v>260</v>
      </c>
      <c r="I49" s="48" t="s">
        <v>252</v>
      </c>
      <c r="J49" s="48" t="s">
        <v>253</v>
      </c>
      <c r="K49" s="48" t="s">
        <v>251</v>
      </c>
      <c r="L49" s="48" t="s">
        <v>287</v>
      </c>
      <c r="M49" s="93" t="s">
        <v>329</v>
      </c>
      <c r="N49" s="48" t="s">
        <v>340</v>
      </c>
    </row>
    <row r="50" spans="1:14" x14ac:dyDescent="0.25">
      <c r="A50" s="131">
        <v>9257010</v>
      </c>
      <c r="B50" s="38" t="s">
        <v>67</v>
      </c>
      <c r="C50" s="236">
        <v>3</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233">
        <v>34</v>
      </c>
      <c r="K50" s="233">
        <f>SUM(I50:J50)</f>
        <v>34</v>
      </c>
      <c r="L50" s="42">
        <f t="shared" ref="L50:L67" si="5">((((K50*D50)*$G$92)+((K50*E50)*$G$94)+((K50*F50)*$G$96)+((K50*G50)*$G$98)+((K50*H50)*$G$100)+((K50*H50)*$G$102)))*(7/12)</f>
        <v>198156.71535008965</v>
      </c>
      <c r="M50" s="42">
        <f>(K50*(7/12))*10000</f>
        <v>198333.33333333334</v>
      </c>
      <c r="N50" s="42">
        <f>(VLOOKUP(A50,'2014-15 Funding Detail'!$A$3:$Z$23,19,FALSE)*7/12)*K50</f>
        <v>175954.02476806761</v>
      </c>
    </row>
    <row r="51" spans="1:14" x14ac:dyDescent="0.25">
      <c r="A51" s="131">
        <v>9257005</v>
      </c>
      <c r="B51" s="38" t="s">
        <v>68</v>
      </c>
      <c r="C51" s="244">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233">
        <v>48</v>
      </c>
      <c r="K51" s="233">
        <f t="shared" ref="K51:K67" si="6">SUM(I51:J51)</f>
        <v>48</v>
      </c>
      <c r="L51" s="42">
        <f t="shared" si="5"/>
        <v>272653.94663059182</v>
      </c>
      <c r="M51" s="42">
        <f t="shared" ref="M51:M67" si="7">(K51*(7/12))*10000</f>
        <v>280000</v>
      </c>
      <c r="N51" s="42">
        <f>(VLOOKUP(A51,'2014-15 Funding Detail'!$A$3:$Z$23,19,FALSE)*7/12)*K51</f>
        <v>190961.7938980422</v>
      </c>
    </row>
    <row r="52" spans="1:14" x14ac:dyDescent="0.25">
      <c r="A52" s="131">
        <v>9257025</v>
      </c>
      <c r="B52" s="38" t="s">
        <v>69</v>
      </c>
      <c r="C52" s="244">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10</v>
      </c>
      <c r="J52" s="233">
        <v>39</v>
      </c>
      <c r="K52" s="233">
        <f t="shared" si="6"/>
        <v>49</v>
      </c>
      <c r="L52" s="42">
        <f t="shared" si="5"/>
        <v>289498.68793812807</v>
      </c>
      <c r="M52" s="42">
        <f t="shared" si="7"/>
        <v>285833.33333333337</v>
      </c>
      <c r="N52" s="42">
        <f>(VLOOKUP(A52,'2014-15 Funding Detail'!$A$3:$Z$23,19,FALSE)*7/12)*K52</f>
        <v>256611.44237668207</v>
      </c>
    </row>
    <row r="53" spans="1:14" x14ac:dyDescent="0.25">
      <c r="A53" s="131">
        <v>9257011</v>
      </c>
      <c r="B53" s="38" t="s">
        <v>70</v>
      </c>
      <c r="C53" s="236">
        <v>3</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233">
        <v>42</v>
      </c>
      <c r="K53" s="233">
        <f t="shared" si="6"/>
        <v>42</v>
      </c>
      <c r="L53" s="42">
        <f t="shared" si="5"/>
        <v>251582.64301655148</v>
      </c>
      <c r="M53" s="42">
        <f t="shared" si="7"/>
        <v>245000</v>
      </c>
      <c r="N53" s="42">
        <f>(VLOOKUP(A53,'2014-15 Funding Detail'!$A$3:$Z$23,19,FALSE)*7/12)*K53</f>
        <v>238091.95113233931</v>
      </c>
    </row>
    <row r="54" spans="1:14" x14ac:dyDescent="0.25">
      <c r="A54" s="131">
        <v>9257024</v>
      </c>
      <c r="B54" s="38" t="s">
        <v>71</v>
      </c>
      <c r="C54" s="180">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5</v>
      </c>
      <c r="J54" s="233">
        <v>39</v>
      </c>
      <c r="K54" s="233">
        <f t="shared" si="6"/>
        <v>44</v>
      </c>
      <c r="L54" s="42">
        <f t="shared" si="5"/>
        <v>238429.21348900307</v>
      </c>
      <c r="M54" s="42">
        <f t="shared" si="7"/>
        <v>256666.66666666669</v>
      </c>
      <c r="N54" s="42">
        <f>(VLOOKUP(A54,'2014-15 Funding Detail'!$A$3:$Z$23,19,FALSE)*7/12)*K54</f>
        <v>177189.76299211773</v>
      </c>
    </row>
    <row r="55" spans="1:14" x14ac:dyDescent="0.25">
      <c r="A55" s="131">
        <v>9257031</v>
      </c>
      <c r="B55" s="38" t="s">
        <v>98</v>
      </c>
      <c r="C55" s="236">
        <v>3</v>
      </c>
      <c r="D55" s="232">
        <f>'Revised Band Returns'!F35</f>
        <v>0</v>
      </c>
      <c r="E55" s="232">
        <f>'Revised Band Returns'!H35</f>
        <v>0</v>
      </c>
      <c r="F55" s="232">
        <f>'Revised Band Returns'!J35</f>
        <v>0</v>
      </c>
      <c r="G55" s="232">
        <f>'Revised Band Returns'!L35</f>
        <v>0</v>
      </c>
      <c r="H55" s="232">
        <f>'Revised Band Returns'!N35</f>
        <v>1</v>
      </c>
      <c r="I55" s="233">
        <v>0</v>
      </c>
      <c r="J55" s="233">
        <v>62</v>
      </c>
      <c r="K55" s="233">
        <f t="shared" si="6"/>
        <v>62</v>
      </c>
      <c r="L55" s="42">
        <f t="shared" si="5"/>
        <v>518162.31173604203</v>
      </c>
      <c r="M55" s="42">
        <f t="shared" si="7"/>
        <v>361666.66666666669</v>
      </c>
      <c r="N55" s="42">
        <f>(VLOOKUP(A55,'2014-15 Funding Detail'!$A$3:$Z$23,19,FALSE)*7/12)*K55</f>
        <v>375352.86684791814</v>
      </c>
    </row>
    <row r="56" spans="1:14" x14ac:dyDescent="0.25">
      <c r="A56" s="131">
        <v>9257033</v>
      </c>
      <c r="B56" s="38" t="s">
        <v>72</v>
      </c>
      <c r="C56" s="236">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10</v>
      </c>
      <c r="J56" s="233">
        <v>50</v>
      </c>
      <c r="K56" s="233">
        <f t="shared" si="6"/>
        <v>60</v>
      </c>
      <c r="L56" s="42">
        <f t="shared" si="5"/>
        <v>344866.16420604003</v>
      </c>
      <c r="M56" s="42">
        <f t="shared" si="7"/>
        <v>350000</v>
      </c>
      <c r="N56" s="42">
        <f>(VLOOKUP(A56,'2014-15 Funding Detail'!$A$3:$Z$23,19,FALSE)*7/12)*K56</f>
        <v>223097.13820755412</v>
      </c>
    </row>
    <row r="57" spans="1:14" x14ac:dyDescent="0.25">
      <c r="A57" s="131">
        <v>9257008</v>
      </c>
      <c r="B57" s="38" t="s">
        <v>73</v>
      </c>
      <c r="C57" s="236">
        <v>3</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10</v>
      </c>
      <c r="J57" s="233">
        <v>80</v>
      </c>
      <c r="K57" s="233">
        <f t="shared" si="6"/>
        <v>90</v>
      </c>
      <c r="L57" s="42">
        <f t="shared" si="5"/>
        <v>459133.10049917467</v>
      </c>
      <c r="M57" s="42">
        <f t="shared" si="7"/>
        <v>525000</v>
      </c>
      <c r="N57" s="42">
        <f>(VLOOKUP(A57,'2014-15 Funding Detail'!$A$3:$Z$23,19,FALSE)*7/12)*K57</f>
        <v>201397.35543935528</v>
      </c>
    </row>
    <row r="58" spans="1:14" x14ac:dyDescent="0.25">
      <c r="A58" s="131">
        <v>9257034</v>
      </c>
      <c r="B58" s="38" t="s">
        <v>74</v>
      </c>
      <c r="C58" s="244">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233">
        <v>96</v>
      </c>
      <c r="K58" s="233">
        <f t="shared" si="6"/>
        <v>96</v>
      </c>
      <c r="L58" s="42">
        <f t="shared" si="5"/>
        <v>486199.4378838329</v>
      </c>
      <c r="M58" s="42">
        <f t="shared" si="7"/>
        <v>560000</v>
      </c>
      <c r="N58" s="42">
        <f>(VLOOKUP(A58,'2014-15 Funding Detail'!$A$3:$Z$23,19,FALSE)*7/12)*K58</f>
        <v>185803.22869629227</v>
      </c>
    </row>
    <row r="59" spans="1:14" x14ac:dyDescent="0.25">
      <c r="A59" s="131">
        <v>9257002</v>
      </c>
      <c r="B59" s="38" t="s">
        <v>75</v>
      </c>
      <c r="C59" s="236">
        <v>4</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233">
        <v>122</v>
      </c>
      <c r="K59" s="233">
        <f t="shared" si="6"/>
        <v>122</v>
      </c>
      <c r="L59" s="42">
        <f t="shared" si="5"/>
        <v>532389.43662076688</v>
      </c>
      <c r="M59" s="42">
        <f t="shared" si="7"/>
        <v>711666.66666666674</v>
      </c>
      <c r="N59" s="42">
        <f>(VLOOKUP(A59,'2014-15 Funding Detail'!$A$3:$Z$23,19,FALSE)*7/12)*K59</f>
        <v>111417.09677932116</v>
      </c>
    </row>
    <row r="60" spans="1:14" x14ac:dyDescent="0.25">
      <c r="A60" s="131">
        <v>9257009</v>
      </c>
      <c r="B60" s="38" t="s">
        <v>76</v>
      </c>
      <c r="C60" s="244">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233">
        <v>130</v>
      </c>
      <c r="K60" s="233">
        <f t="shared" si="6"/>
        <v>130</v>
      </c>
      <c r="L60" s="42">
        <f t="shared" si="5"/>
        <v>576976.69202316343</v>
      </c>
      <c r="M60" s="42">
        <f t="shared" si="7"/>
        <v>758333.33333333337</v>
      </c>
      <c r="N60" s="42">
        <f>(VLOOKUP(A60,'2014-15 Funding Detail'!$A$3:$Z$23,19,FALSE)*7/12)*K60</f>
        <v>127791.00872119475</v>
      </c>
    </row>
    <row r="61" spans="1:14" x14ac:dyDescent="0.25">
      <c r="A61" s="131">
        <v>9257029</v>
      </c>
      <c r="B61" s="38" t="s">
        <v>99</v>
      </c>
      <c r="C61" s="180">
        <v>4</v>
      </c>
      <c r="D61" s="232">
        <f>'Revised Band Returns'!F41</f>
        <v>0</v>
      </c>
      <c r="E61" s="232">
        <f>'Revised Band Returns'!H41</f>
        <v>0</v>
      </c>
      <c r="F61" s="232">
        <f>'Revised Band Returns'!J41</f>
        <v>0</v>
      </c>
      <c r="G61" s="232">
        <f>'Revised Band Returns'!L41</f>
        <v>0</v>
      </c>
      <c r="H61" s="232">
        <f>'Revised Band Returns'!N41</f>
        <v>1</v>
      </c>
      <c r="I61" s="233">
        <v>0</v>
      </c>
      <c r="J61" s="233">
        <v>55</v>
      </c>
      <c r="K61" s="233">
        <f t="shared" si="6"/>
        <v>55</v>
      </c>
      <c r="L61" s="42">
        <f t="shared" si="5"/>
        <v>459660.11524971464</v>
      </c>
      <c r="M61" s="42">
        <f t="shared" si="7"/>
        <v>320833.33333333337</v>
      </c>
      <c r="N61" s="42">
        <f>(VLOOKUP(A61,'2014-15 Funding Detail'!$A$3:$Z$23,19,FALSE)*7/12)*K61</f>
        <v>391331.27193404397</v>
      </c>
    </row>
    <row r="62" spans="1:14" x14ac:dyDescent="0.25">
      <c r="A62" s="131">
        <v>9257032</v>
      </c>
      <c r="B62" s="38" t="s">
        <v>100</v>
      </c>
      <c r="C62" s="236">
        <v>4</v>
      </c>
      <c r="D62" s="232">
        <f>'Revised Band Returns'!F42</f>
        <v>0</v>
      </c>
      <c r="E62" s="232">
        <f>'Revised Band Returns'!H42</f>
        <v>0</v>
      </c>
      <c r="F62" s="232">
        <f>'Revised Band Returns'!J42</f>
        <v>0</v>
      </c>
      <c r="G62" s="232">
        <f>'Revised Band Returns'!L42</f>
        <v>0</v>
      </c>
      <c r="H62" s="232">
        <f>'Revised Band Returns'!N42</f>
        <v>1</v>
      </c>
      <c r="I62" s="233">
        <v>0</v>
      </c>
      <c r="J62" s="233">
        <v>60</v>
      </c>
      <c r="K62" s="233">
        <f t="shared" si="6"/>
        <v>60</v>
      </c>
      <c r="L62" s="42">
        <f t="shared" si="5"/>
        <v>501447.39845423424</v>
      </c>
      <c r="M62" s="42">
        <f t="shared" si="7"/>
        <v>350000</v>
      </c>
      <c r="N62" s="42">
        <f>(VLOOKUP(A62,'2014-15 Funding Detail'!$A$3:$Z$23,19,FALSE)*7/12)*K62</f>
        <v>411735.86683012749</v>
      </c>
    </row>
    <row r="63" spans="1:14" x14ac:dyDescent="0.25">
      <c r="A63" s="131">
        <v>9257030</v>
      </c>
      <c r="B63" s="38" t="s">
        <v>92</v>
      </c>
      <c r="C63" s="244">
        <v>3</v>
      </c>
      <c r="D63" s="232">
        <f>'Revised Band Returns'!F43</f>
        <v>0</v>
      </c>
      <c r="E63" s="232">
        <f>'Revised Band Returns'!H43</f>
        <v>0</v>
      </c>
      <c r="F63" s="232">
        <f>'Revised Band Returns'!J43</f>
        <v>0</v>
      </c>
      <c r="G63" s="232">
        <f>'Revised Band Returns'!L43</f>
        <v>0</v>
      </c>
      <c r="H63" s="232">
        <f>'Revised Band Returns'!N43</f>
        <v>1</v>
      </c>
      <c r="I63" s="233">
        <v>0</v>
      </c>
      <c r="J63" s="233">
        <v>55</v>
      </c>
      <c r="K63" s="233">
        <f t="shared" si="6"/>
        <v>55</v>
      </c>
      <c r="L63" s="42">
        <f t="shared" si="5"/>
        <v>459660.11524971464</v>
      </c>
      <c r="M63" s="42">
        <f t="shared" si="7"/>
        <v>320833.33333333337</v>
      </c>
      <c r="N63" s="42">
        <f>(VLOOKUP(A63,'2014-15 Funding Detail'!$A$3:$Z$23,19,FALSE)*7/12)*K63</f>
        <v>387533.5966167741</v>
      </c>
    </row>
    <row r="64" spans="1:14" x14ac:dyDescent="0.25">
      <c r="A64" s="131">
        <v>9257028</v>
      </c>
      <c r="B64" s="38" t="s">
        <v>77</v>
      </c>
      <c r="C64" s="236">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233">
        <v>5</v>
      </c>
      <c r="J64" s="233">
        <v>50</v>
      </c>
      <c r="K64" s="233">
        <f t="shared" si="6"/>
        <v>55</v>
      </c>
      <c r="L64" s="42">
        <f t="shared" si="5"/>
        <v>348273.25524692074</v>
      </c>
      <c r="M64" s="42">
        <f t="shared" si="7"/>
        <v>320833.33333333337</v>
      </c>
      <c r="N64" s="42">
        <f>(VLOOKUP(A64,'2014-15 Funding Detail'!$A$3:$Z$23,19,FALSE)*7/12)*K64</f>
        <v>270313.31662831124</v>
      </c>
    </row>
    <row r="65" spans="1:14" x14ac:dyDescent="0.25">
      <c r="A65" s="131">
        <v>9257021</v>
      </c>
      <c r="B65" s="38" t="s">
        <v>78</v>
      </c>
      <c r="C65" s="236">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233">
        <v>141</v>
      </c>
      <c r="K65" s="233">
        <f t="shared" si="6"/>
        <v>141</v>
      </c>
      <c r="L65" s="42">
        <f t="shared" si="5"/>
        <v>635094.75350148929</v>
      </c>
      <c r="M65" s="42">
        <f t="shared" si="7"/>
        <v>822500</v>
      </c>
      <c r="N65" s="42">
        <f>(VLOOKUP(A65,'2014-15 Funding Detail'!$A$3:$Z$23,19,FALSE)*7/12)*K65</f>
        <v>140305.06655893862</v>
      </c>
    </row>
    <row r="66" spans="1:14" x14ac:dyDescent="0.25">
      <c r="A66" s="131">
        <v>9257015</v>
      </c>
      <c r="B66" s="38" t="s">
        <v>55</v>
      </c>
      <c r="C66" s="244">
        <v>7</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10</v>
      </c>
      <c r="J66" s="233">
        <v>231</v>
      </c>
      <c r="K66" s="233">
        <f t="shared" si="6"/>
        <v>241</v>
      </c>
      <c r="L66" s="42">
        <f t="shared" si="5"/>
        <v>1031901.2695021809</v>
      </c>
      <c r="M66" s="42">
        <f t="shared" si="7"/>
        <v>1405833.3333333335</v>
      </c>
      <c r="N66" s="42">
        <f>(VLOOKUP(A66,'2014-15 Funding Detail'!$A$3:$Z$23,19,FALSE)*7/12)*K66</f>
        <v>57402.287170044809</v>
      </c>
    </row>
    <row r="67" spans="1:14" x14ac:dyDescent="0.25">
      <c r="A67" s="131">
        <v>9257016</v>
      </c>
      <c r="B67" s="38" t="s">
        <v>80</v>
      </c>
      <c r="C67" s="236">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233">
        <v>79</v>
      </c>
      <c r="K67" s="233">
        <f t="shared" si="6"/>
        <v>79</v>
      </c>
      <c r="L67" s="42">
        <f t="shared" si="5"/>
        <v>466274.3196132321</v>
      </c>
      <c r="M67" s="42">
        <f t="shared" si="7"/>
        <v>460833.33333333337</v>
      </c>
      <c r="N67" s="42">
        <f>(VLOOKUP(A67,'2014-15 Funding Detail'!$A$3:$Z$23,19,FALSE)*7/12)*K67</f>
        <v>316082.7685062798</v>
      </c>
    </row>
    <row r="68" spans="1:14" x14ac:dyDescent="0.25">
      <c r="B68" s="50"/>
      <c r="C68" s="50"/>
    </row>
    <row r="69" spans="1:14" ht="13" x14ac:dyDescent="0.3">
      <c r="A69" s="230" t="s">
        <v>292</v>
      </c>
      <c r="B69" s="50"/>
      <c r="C69" s="50"/>
    </row>
    <row r="70" spans="1:14" x14ac:dyDescent="0.25">
      <c r="B70" s="50"/>
      <c r="C70" s="50"/>
    </row>
    <row r="71" spans="1:14" ht="37.5" x14ac:dyDescent="0.25">
      <c r="A71" s="183" t="s">
        <v>201</v>
      </c>
      <c r="B71" s="36" t="s">
        <v>66</v>
      </c>
      <c r="C71" s="37" t="s">
        <v>51</v>
      </c>
      <c r="D71" s="34" t="s">
        <v>256</v>
      </c>
      <c r="E71" s="34" t="s">
        <v>257</v>
      </c>
      <c r="F71" s="34" t="s">
        <v>258</v>
      </c>
      <c r="G71" s="34" t="s">
        <v>259</v>
      </c>
      <c r="H71" s="34" t="s">
        <v>260</v>
      </c>
      <c r="I71" s="48" t="s">
        <v>185</v>
      </c>
      <c r="J71" s="48" t="s">
        <v>289</v>
      </c>
      <c r="K71" s="48" t="s">
        <v>330</v>
      </c>
      <c r="L71" s="48" t="s">
        <v>341</v>
      </c>
      <c r="M71" s="48"/>
      <c r="N71" s="48"/>
    </row>
    <row r="72" spans="1:14" x14ac:dyDescent="0.25">
      <c r="A72" s="185">
        <v>9257010</v>
      </c>
      <c r="B72" s="38" t="s">
        <v>67</v>
      </c>
      <c r="C72" s="236">
        <v>3</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233">
        <v>10</v>
      </c>
      <c r="J72" s="42">
        <f>((((I72*D72)*$G$92)+((I72*E72)*$G$94)+((I72*F72)*$G$96)+((I72*G72)*$G$98)+((I72*H72)*$G$100)+((I72*H72)*$G$102)))*(8/12)</f>
        <v>66607.299277341037</v>
      </c>
      <c r="K72" s="42">
        <f>(I72*(8/12))*10000</f>
        <v>66666.666666666657</v>
      </c>
      <c r="L72" s="42">
        <f>(VLOOKUP(A72,'2014-15 Funding Detail'!$A$3:$Z$23,19,FALSE)*8/12)*I72</f>
        <v>59144.210006073146</v>
      </c>
      <c r="M72" s="168"/>
      <c r="N72" s="168"/>
    </row>
    <row r="73" spans="1:14" x14ac:dyDescent="0.25">
      <c r="A73" s="185">
        <v>9257005</v>
      </c>
      <c r="B73" s="38" t="s">
        <v>68</v>
      </c>
      <c r="C73" s="244">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233">
        <v>29</v>
      </c>
      <c r="J73" s="42">
        <f t="shared" ref="J73:J89" si="8">((((I73*D73)*$G$92)+((I73*E73)*$G$94)+((I73*F73)*$G$96)+((I73*G73)*$G$98)+((I73*H73)*$G$100)+((I73*H73)*$G$102)))*(8/12)</f>
        <v>188261.05838778956</v>
      </c>
      <c r="K73" s="42">
        <f t="shared" ref="K73:K89" si="9">(I73*(8/12))*10000</f>
        <v>193333.33333333331</v>
      </c>
      <c r="L73" s="42">
        <f>(VLOOKUP(A73,'2014-15 Funding Detail'!$A$3:$Z$23,19,FALSE)*8/12)*I73</f>
        <v>131854.5719772196</v>
      </c>
      <c r="M73" s="168"/>
      <c r="N73" s="168"/>
    </row>
    <row r="74" spans="1:14" x14ac:dyDescent="0.25">
      <c r="A74" s="185">
        <v>9257025</v>
      </c>
      <c r="B74" s="38" t="s">
        <v>69</v>
      </c>
      <c r="C74" s="244">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233">
        <v>13</v>
      </c>
      <c r="J74" s="42">
        <f t="shared" si="8"/>
        <v>87778.027829636485</v>
      </c>
      <c r="K74" s="42">
        <f t="shared" si="9"/>
        <v>86666.666666666657</v>
      </c>
      <c r="L74" s="42">
        <f>(VLOOKUP(A74,'2014-15 Funding Detail'!$A$3:$Z$23,19,FALSE)*8/12)*I74</f>
        <v>77806.384860568331</v>
      </c>
      <c r="M74" s="168"/>
      <c r="N74" s="168"/>
    </row>
    <row r="75" spans="1:14" x14ac:dyDescent="0.25">
      <c r="A75" s="185">
        <v>9257011</v>
      </c>
      <c r="B75" s="38" t="s">
        <v>70</v>
      </c>
      <c r="C75" s="236">
        <v>3</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233">
        <v>3</v>
      </c>
      <c r="J75" s="42">
        <f t="shared" si="8"/>
        <v>20537.358613596036</v>
      </c>
      <c r="K75" s="42">
        <f t="shared" si="9"/>
        <v>20000</v>
      </c>
      <c r="L75" s="42">
        <f>(VLOOKUP(A75,'2014-15 Funding Detail'!$A$3:$Z$23,19,FALSE)*8/12)*I75</f>
        <v>19436.077643456272</v>
      </c>
      <c r="M75" s="168"/>
      <c r="N75" s="168"/>
    </row>
    <row r="76" spans="1:14" x14ac:dyDescent="0.25">
      <c r="A76" s="185">
        <v>9257024</v>
      </c>
      <c r="B76" s="38" t="s">
        <v>71</v>
      </c>
      <c r="C76" s="180">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233">
        <v>13</v>
      </c>
      <c r="J76" s="42">
        <f t="shared" si="8"/>
        <v>80508.565593689375</v>
      </c>
      <c r="K76" s="42">
        <f t="shared" si="9"/>
        <v>86666.666666666657</v>
      </c>
      <c r="L76" s="42">
        <f>(VLOOKUP(A76,'2014-15 Funding Detail'!$A$3:$Z$23,19,FALSE)*8/12)*I76</f>
        <v>59830.309581754052</v>
      </c>
      <c r="M76" s="168"/>
      <c r="N76" s="168"/>
    </row>
    <row r="77" spans="1:14" x14ac:dyDescent="0.25">
      <c r="A77" s="185">
        <v>9257031</v>
      </c>
      <c r="B77" s="38" t="s">
        <v>98</v>
      </c>
      <c r="C77" s="236">
        <v>3</v>
      </c>
      <c r="D77" s="49">
        <f>'Revised Band Returns'!F35</f>
        <v>0</v>
      </c>
      <c r="E77" s="49">
        <f>'Revised Band Returns'!H35</f>
        <v>0</v>
      </c>
      <c r="F77" s="49">
        <f>'Revised Band Returns'!J35</f>
        <v>0</v>
      </c>
      <c r="G77" s="49">
        <f>'Revised Band Returns'!L35</f>
        <v>0</v>
      </c>
      <c r="H77" s="49">
        <f>'Revised Band Returns'!N35</f>
        <v>1</v>
      </c>
      <c r="I77" s="233">
        <v>0</v>
      </c>
      <c r="J77" s="42">
        <f t="shared" si="8"/>
        <v>0</v>
      </c>
      <c r="K77" s="42">
        <f t="shared" si="9"/>
        <v>0</v>
      </c>
      <c r="L77" s="42">
        <f>(VLOOKUP(A77,'2014-15 Funding Detail'!$A$3:$Z$23,19,FALSE)*8/12)*I77</f>
        <v>0</v>
      </c>
      <c r="M77" s="168"/>
      <c r="N77" s="168"/>
    </row>
    <row r="78" spans="1:14" x14ac:dyDescent="0.25">
      <c r="A78" s="185">
        <v>9257033</v>
      </c>
      <c r="B78" s="38" t="s">
        <v>72</v>
      </c>
      <c r="C78" s="236">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233">
        <v>0</v>
      </c>
      <c r="J78" s="42">
        <f t="shared" si="8"/>
        <v>0</v>
      </c>
      <c r="K78" s="42">
        <f t="shared" si="9"/>
        <v>0</v>
      </c>
      <c r="L78" s="42">
        <f>(VLOOKUP(A78,'2014-15 Funding Detail'!$A$3:$Z$23,19,FALSE)*8/12)*I78</f>
        <v>0</v>
      </c>
      <c r="M78" s="168"/>
      <c r="N78" s="168"/>
    </row>
    <row r="79" spans="1:14" x14ac:dyDescent="0.25">
      <c r="A79" s="185">
        <v>9257008</v>
      </c>
      <c r="B79" s="38" t="s">
        <v>73</v>
      </c>
      <c r="C79" s="236">
        <v>3</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233">
        <v>0</v>
      </c>
      <c r="J79" s="42">
        <f t="shared" si="8"/>
        <v>0</v>
      </c>
      <c r="K79" s="42">
        <f t="shared" si="9"/>
        <v>0</v>
      </c>
      <c r="L79" s="42">
        <f>(VLOOKUP(A79,'2014-15 Funding Detail'!$A$3:$Z$23,19,FALSE)*8/12)*I79</f>
        <v>0</v>
      </c>
      <c r="M79" s="168"/>
      <c r="N79" s="168"/>
    </row>
    <row r="80" spans="1:14" x14ac:dyDescent="0.25">
      <c r="A80" s="185">
        <v>9257034</v>
      </c>
      <c r="B80" s="38" t="s">
        <v>74</v>
      </c>
      <c r="C80" s="244">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233">
        <v>31</v>
      </c>
      <c r="J80" s="42">
        <f t="shared" si="8"/>
        <v>179430.74493331928</v>
      </c>
      <c r="K80" s="42">
        <f t="shared" si="9"/>
        <v>206666.66666666666</v>
      </c>
      <c r="L80" s="42">
        <f>(VLOOKUP(A80,'2014-15 Funding Detail'!$A$3:$Z$23,19,FALSE)*8/12)*I80</f>
        <v>68570.239161726917</v>
      </c>
      <c r="M80" s="168"/>
      <c r="N80" s="168"/>
    </row>
    <row r="81" spans="1:14" x14ac:dyDescent="0.25">
      <c r="A81" s="185">
        <v>9257002</v>
      </c>
      <c r="B81" s="38" t="s">
        <v>75</v>
      </c>
      <c r="C81" s="236">
        <v>4</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233">
        <v>0</v>
      </c>
      <c r="J81" s="42">
        <f t="shared" si="8"/>
        <v>0</v>
      </c>
      <c r="K81" s="42">
        <f t="shared" si="9"/>
        <v>0</v>
      </c>
      <c r="L81" s="42">
        <f>(VLOOKUP(A81,'2014-15 Funding Detail'!$A$3:$Z$23,19,FALSE)*8/12)*I81</f>
        <v>0</v>
      </c>
      <c r="M81" s="168"/>
      <c r="N81" s="168"/>
    </row>
    <row r="82" spans="1:14" x14ac:dyDescent="0.25">
      <c r="A82" s="185">
        <v>9257009</v>
      </c>
      <c r="B82" s="38" t="s">
        <v>76</v>
      </c>
      <c r="C82" s="244">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233">
        <v>0</v>
      </c>
      <c r="J82" s="42">
        <f t="shared" si="8"/>
        <v>0</v>
      </c>
      <c r="K82" s="42">
        <f t="shared" si="9"/>
        <v>0</v>
      </c>
      <c r="L82" s="42">
        <f>(VLOOKUP(A82,'2014-15 Funding Detail'!$A$3:$Z$23,19,FALSE)*8/12)*I82</f>
        <v>0</v>
      </c>
      <c r="M82" s="168"/>
      <c r="N82" s="168"/>
    </row>
    <row r="83" spans="1:14" x14ac:dyDescent="0.25">
      <c r="A83" s="185">
        <v>9257029</v>
      </c>
      <c r="B83" s="38" t="s">
        <v>99</v>
      </c>
      <c r="C83" s="180">
        <v>4</v>
      </c>
      <c r="D83" s="49">
        <f>'Revised Band Returns'!F41</f>
        <v>0</v>
      </c>
      <c r="E83" s="49">
        <f>'Revised Band Returns'!H41</f>
        <v>0</v>
      </c>
      <c r="F83" s="49">
        <f>'Revised Band Returns'!J41</f>
        <v>0</v>
      </c>
      <c r="G83" s="49">
        <f>'Revised Band Returns'!L41</f>
        <v>0</v>
      </c>
      <c r="H83" s="49">
        <f>'Revised Band Returns'!N41</f>
        <v>1</v>
      </c>
      <c r="I83" s="233">
        <v>0</v>
      </c>
      <c r="J83" s="42">
        <f t="shared" si="8"/>
        <v>0</v>
      </c>
      <c r="K83" s="42">
        <f t="shared" si="9"/>
        <v>0</v>
      </c>
      <c r="L83" s="42">
        <f>(VLOOKUP(A83,'2014-15 Funding Detail'!$A$3:$Z$23,19,FALSE)*8/12)*I83</f>
        <v>0</v>
      </c>
      <c r="M83" s="168"/>
      <c r="N83" s="168"/>
    </row>
    <row r="84" spans="1:14" x14ac:dyDescent="0.25">
      <c r="A84" s="185">
        <v>9257032</v>
      </c>
      <c r="B84" s="38" t="s">
        <v>100</v>
      </c>
      <c r="C84" s="236">
        <v>4</v>
      </c>
      <c r="D84" s="49">
        <f>'Revised Band Returns'!F42</f>
        <v>0</v>
      </c>
      <c r="E84" s="49">
        <f>'Revised Band Returns'!H42</f>
        <v>0</v>
      </c>
      <c r="F84" s="49">
        <f>'Revised Band Returns'!J42</f>
        <v>0</v>
      </c>
      <c r="G84" s="49">
        <f>'Revised Band Returns'!L42</f>
        <v>0</v>
      </c>
      <c r="H84" s="49">
        <f>'Revised Band Returns'!N42</f>
        <v>1</v>
      </c>
      <c r="I84" s="233">
        <v>0</v>
      </c>
      <c r="J84" s="42">
        <f t="shared" si="8"/>
        <v>0</v>
      </c>
      <c r="K84" s="42">
        <f t="shared" si="9"/>
        <v>0</v>
      </c>
      <c r="L84" s="42">
        <f>(VLOOKUP(A84,'2014-15 Funding Detail'!$A$3:$Z$23,19,FALSE)*8/12)*I84</f>
        <v>0</v>
      </c>
      <c r="M84" s="168"/>
      <c r="N84" s="168"/>
    </row>
    <row r="85" spans="1:14" x14ac:dyDescent="0.25">
      <c r="A85" s="185">
        <v>9257030</v>
      </c>
      <c r="B85" s="38" t="s">
        <v>92</v>
      </c>
      <c r="C85" s="244">
        <v>3</v>
      </c>
      <c r="D85" s="49">
        <f>'Revised Band Returns'!F43</f>
        <v>0</v>
      </c>
      <c r="E85" s="49">
        <f>'Revised Band Returns'!H43</f>
        <v>0</v>
      </c>
      <c r="F85" s="49">
        <f>'Revised Band Returns'!J43</f>
        <v>0</v>
      </c>
      <c r="G85" s="49">
        <f>'Revised Band Returns'!L43</f>
        <v>0</v>
      </c>
      <c r="H85" s="49">
        <f>'Revised Band Returns'!N43</f>
        <v>1</v>
      </c>
      <c r="I85" s="233">
        <v>0</v>
      </c>
      <c r="J85" s="42">
        <f t="shared" si="8"/>
        <v>0</v>
      </c>
      <c r="K85" s="42">
        <f t="shared" si="9"/>
        <v>0</v>
      </c>
      <c r="L85" s="42">
        <f>(VLOOKUP(A85,'2014-15 Funding Detail'!$A$3:$Z$23,19,FALSE)*8/12)*I85</f>
        <v>0</v>
      </c>
      <c r="M85" s="168"/>
      <c r="N85" s="168"/>
    </row>
    <row r="86" spans="1:14" x14ac:dyDescent="0.25">
      <c r="A86" s="185">
        <v>9257028</v>
      </c>
      <c r="B86" s="38" t="s">
        <v>77</v>
      </c>
      <c r="C86" s="236">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233">
        <v>16</v>
      </c>
      <c r="J86" s="42">
        <f t="shared" si="8"/>
        <v>115789.54979637884</v>
      </c>
      <c r="K86" s="42">
        <f t="shared" si="9"/>
        <v>106666.66666666666</v>
      </c>
      <c r="L86" s="42">
        <f>(VLOOKUP(A86,'2014-15 Funding Detail'!$A$3:$Z$23,19,FALSE)*8/12)*I86</f>
        <v>89870.40137252945</v>
      </c>
      <c r="M86" s="168"/>
      <c r="N86" s="168"/>
    </row>
    <row r="87" spans="1:14" x14ac:dyDescent="0.25">
      <c r="A87" s="185">
        <v>9257021</v>
      </c>
      <c r="B87" s="38" t="s">
        <v>78</v>
      </c>
      <c r="C87" s="236">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233">
        <v>0</v>
      </c>
      <c r="J87" s="42">
        <f t="shared" si="8"/>
        <v>0</v>
      </c>
      <c r="K87" s="42">
        <f t="shared" si="9"/>
        <v>0</v>
      </c>
      <c r="L87" s="42">
        <f>(VLOOKUP(A87,'2014-15 Funding Detail'!$A$3:$Z$23,19,FALSE)*8/12)*I87</f>
        <v>0</v>
      </c>
      <c r="M87" s="168"/>
      <c r="N87" s="168"/>
    </row>
    <row r="88" spans="1:14" x14ac:dyDescent="0.25">
      <c r="A88" s="185">
        <v>9257015</v>
      </c>
      <c r="B88" s="38" t="s">
        <v>55</v>
      </c>
      <c r="C88" s="244">
        <v>7</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233">
        <v>19</v>
      </c>
      <c r="J88" s="42">
        <f t="shared" si="8"/>
        <v>92975.099563919066</v>
      </c>
      <c r="K88" s="42">
        <f t="shared" si="9"/>
        <v>126666.66666666666</v>
      </c>
      <c r="L88" s="42">
        <f>(VLOOKUP(A88,'2014-15 Funding Detail'!$A$3:$Z$23,19,FALSE)*8/12)*I88</f>
        <v>5171.9903081486727</v>
      </c>
      <c r="M88" s="168"/>
      <c r="N88" s="168"/>
    </row>
    <row r="89" spans="1:14" x14ac:dyDescent="0.25">
      <c r="A89" s="185">
        <v>9257016</v>
      </c>
      <c r="B89" s="38" t="s">
        <v>80</v>
      </c>
      <c r="C89" s="236">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233">
        <v>54</v>
      </c>
      <c r="J89" s="42">
        <f t="shared" si="8"/>
        <v>364250.46306133131</v>
      </c>
      <c r="K89" s="42">
        <f t="shared" si="9"/>
        <v>360000</v>
      </c>
      <c r="L89" s="42">
        <f>(VLOOKUP(A89,'2014-15 Funding Detail'!$A$3:$Z$23,19,FALSE)*8/12)*I89</f>
        <v>246921.80107543018</v>
      </c>
      <c r="M89" s="168"/>
      <c r="N89" s="168"/>
    </row>
    <row r="90" spans="1:14" x14ac:dyDescent="0.25">
      <c r="B90" s="50"/>
      <c r="C90" s="50"/>
    </row>
    <row r="92" spans="1:14" x14ac:dyDescent="0.25">
      <c r="C92" s="51"/>
      <c r="D92" s="52"/>
      <c r="E92" s="34" t="s">
        <v>2</v>
      </c>
      <c r="G92" s="42">
        <f>'Funding Model'!D7</f>
        <v>11692.020638096787</v>
      </c>
      <c r="H92" s="53"/>
      <c r="I92" s="53"/>
      <c r="J92" s="53"/>
      <c r="K92" s="53"/>
      <c r="L92" s="53"/>
      <c r="M92" s="53"/>
      <c r="N92" s="53"/>
    </row>
    <row r="93" spans="1:14" x14ac:dyDescent="0.25">
      <c r="C93" s="54"/>
      <c r="D93" s="52"/>
      <c r="G93" s="42"/>
      <c r="H93" s="53"/>
      <c r="I93" s="53"/>
      <c r="J93" s="53"/>
      <c r="K93" s="53"/>
      <c r="L93" s="53"/>
      <c r="M93" s="53"/>
      <c r="N93" s="53"/>
    </row>
    <row r="94" spans="1:14" x14ac:dyDescent="0.25">
      <c r="C94" s="51"/>
      <c r="D94" s="52"/>
      <c r="E94" s="34" t="s">
        <v>3</v>
      </c>
      <c r="G94" s="42">
        <f>'Funding Model'!D9</f>
        <v>7350.1419469065795</v>
      </c>
      <c r="H94" s="53"/>
      <c r="I94" s="53"/>
      <c r="J94" s="53"/>
      <c r="K94" s="53"/>
      <c r="L94" s="53"/>
      <c r="M94" s="53"/>
      <c r="N94" s="53"/>
    </row>
    <row r="95" spans="1:14" x14ac:dyDescent="0.25">
      <c r="C95" s="54"/>
      <c r="D95" s="52"/>
      <c r="G95" s="42"/>
      <c r="H95" s="53"/>
      <c r="I95" s="53"/>
      <c r="J95" s="53"/>
      <c r="K95" s="53"/>
      <c r="L95" s="53"/>
      <c r="M95" s="53"/>
      <c r="N95" s="53"/>
    </row>
    <row r="96" spans="1:14" x14ac:dyDescent="0.25">
      <c r="C96" s="51"/>
      <c r="D96" s="52"/>
      <c r="E96" s="34" t="s">
        <v>5</v>
      </c>
      <c r="G96" s="42">
        <f>'Funding Model'!D11</f>
        <v>6243.7244928897762</v>
      </c>
      <c r="H96" s="53"/>
      <c r="I96" s="53"/>
      <c r="J96" s="53"/>
      <c r="K96" s="53"/>
      <c r="L96" s="53"/>
      <c r="M96" s="53"/>
      <c r="N96" s="53"/>
    </row>
    <row r="97" spans="1:23" x14ac:dyDescent="0.25">
      <c r="C97" s="54"/>
      <c r="D97" s="52"/>
      <c r="G97" s="42"/>
      <c r="H97" s="53"/>
      <c r="I97" s="53"/>
      <c r="J97" s="53"/>
      <c r="K97" s="53"/>
      <c r="L97" s="53"/>
      <c r="M97" s="53"/>
      <c r="N97" s="53"/>
    </row>
    <row r="98" spans="1:23" x14ac:dyDescent="0.25">
      <c r="C98" s="51"/>
      <c r="D98" s="52"/>
      <c r="E98" s="34" t="s">
        <v>7</v>
      </c>
      <c r="G98" s="42">
        <f>'Funding Model'!D13</f>
        <v>11692.020638096787</v>
      </c>
      <c r="H98" s="53"/>
      <c r="I98" s="53"/>
      <c r="J98" s="53"/>
      <c r="K98" s="53"/>
      <c r="L98" s="53"/>
      <c r="M98" s="53"/>
      <c r="N98" s="53"/>
    </row>
    <row r="99" spans="1:23" x14ac:dyDescent="0.25">
      <c r="C99" s="54"/>
      <c r="D99" s="52"/>
      <c r="G99" s="42"/>
      <c r="H99" s="53"/>
      <c r="I99" s="53"/>
      <c r="J99" s="53"/>
      <c r="K99" s="53"/>
      <c r="L99" s="53"/>
      <c r="M99" s="53"/>
      <c r="N99" s="53"/>
    </row>
    <row r="100" spans="1:23" x14ac:dyDescent="0.25">
      <c r="C100" s="51"/>
      <c r="D100" s="52"/>
      <c r="E100" s="34" t="s">
        <v>8</v>
      </c>
      <c r="G100" s="42">
        <f>'Funding Model'!D15</f>
        <v>11692.020638096787</v>
      </c>
      <c r="H100" s="53"/>
      <c r="I100" s="53"/>
      <c r="J100" s="53"/>
      <c r="K100" s="53"/>
      <c r="L100" s="53"/>
      <c r="M100" s="53"/>
      <c r="N100" s="53"/>
    </row>
    <row r="101" spans="1:23" ht="14" x14ac:dyDescent="0.3">
      <c r="B101" s="55"/>
      <c r="C101" s="56"/>
      <c r="D101" s="57"/>
      <c r="E101" s="58"/>
      <c r="H101" s="66"/>
      <c r="I101" s="53"/>
      <c r="J101" s="53"/>
      <c r="K101" s="66"/>
      <c r="L101" s="66"/>
      <c r="M101" s="66"/>
      <c r="N101" s="66"/>
    </row>
    <row r="102" spans="1:23" ht="14" x14ac:dyDescent="0.3">
      <c r="B102" s="59"/>
      <c r="C102" s="60"/>
      <c r="E102" s="34" t="s">
        <v>108</v>
      </c>
      <c r="G102" s="42">
        <f>'Funding Model'!D17</f>
        <v>2635.0478891670464</v>
      </c>
      <c r="H102" s="53"/>
      <c r="I102" s="53"/>
      <c r="J102" s="53"/>
      <c r="K102" s="53"/>
      <c r="L102" s="53"/>
      <c r="M102" s="53"/>
      <c r="N102" s="53"/>
    </row>
    <row r="104" spans="1:23" ht="13" thickBot="1" x14ac:dyDescent="0.3"/>
    <row r="105" spans="1:23" ht="13" thickBot="1" x14ac:dyDescent="0.3">
      <c r="D105" s="1963" t="s">
        <v>186</v>
      </c>
      <c r="E105" s="1964"/>
      <c r="F105" s="1965"/>
      <c r="G105" s="1963" t="s">
        <v>187</v>
      </c>
      <c r="H105" s="1964"/>
      <c r="I105" s="1965"/>
      <c r="M105" s="1966" t="s">
        <v>332</v>
      </c>
      <c r="N105" s="1967"/>
      <c r="O105" s="1968"/>
    </row>
    <row r="106" spans="1:23" ht="39" x14ac:dyDescent="0.3">
      <c r="A106" s="183" t="s">
        <v>201</v>
      </c>
      <c r="B106" s="36" t="s">
        <v>66</v>
      </c>
      <c r="C106" s="237" t="s">
        <v>51</v>
      </c>
      <c r="D106" s="167" t="s">
        <v>290</v>
      </c>
      <c r="E106" s="239" t="s">
        <v>291</v>
      </c>
      <c r="F106" s="240" t="s">
        <v>62</v>
      </c>
      <c r="G106" s="239" t="s">
        <v>293</v>
      </c>
      <c r="H106" s="239" t="s">
        <v>294</v>
      </c>
      <c r="I106" s="240" t="s">
        <v>62</v>
      </c>
      <c r="J106" s="241" t="s">
        <v>295</v>
      </c>
      <c r="K106" s="65" t="s">
        <v>261</v>
      </c>
      <c r="L106" s="65" t="s">
        <v>296</v>
      </c>
      <c r="M106" s="253" t="s">
        <v>328</v>
      </c>
      <c r="N106" s="253" t="s">
        <v>330</v>
      </c>
      <c r="O106" s="254" t="s">
        <v>331</v>
      </c>
      <c r="P106" s="65" t="s">
        <v>334</v>
      </c>
      <c r="Q106" s="65" t="s">
        <v>310</v>
      </c>
      <c r="R106" s="65" t="s">
        <v>335</v>
      </c>
      <c r="S106" s="65" t="s">
        <v>343</v>
      </c>
      <c r="T106" s="65" t="s">
        <v>342</v>
      </c>
      <c r="U106" s="65" t="s">
        <v>344</v>
      </c>
      <c r="V106" s="48"/>
    </row>
    <row r="107" spans="1:23" ht="13" x14ac:dyDescent="0.3">
      <c r="A107" s="185">
        <v>9257010</v>
      </c>
      <c r="B107" s="38" t="s">
        <v>67</v>
      </c>
      <c r="C107" s="238">
        <v>3</v>
      </c>
      <c r="D107" s="64">
        <f>L6</f>
        <v>145703.46716918354</v>
      </c>
      <c r="E107" s="64">
        <f>L50</f>
        <v>198156.71535008965</v>
      </c>
      <c r="F107" s="156">
        <f>SUM(D107:E107)</f>
        <v>343860.18251927319</v>
      </c>
      <c r="G107" s="64">
        <f>J28</f>
        <v>26642.919710936421</v>
      </c>
      <c r="H107" s="64">
        <f>J72</f>
        <v>66607.299277341037</v>
      </c>
      <c r="I107" s="156">
        <f>SUM(G107:H107)</f>
        <v>93250.218988277455</v>
      </c>
      <c r="J107" s="156">
        <f>F107+I107</f>
        <v>437110.40150755062</v>
      </c>
      <c r="K107" s="64">
        <f>(D72*$G$92)+(E72*$G$94)+(F72*$G$96)+(G72*$G$98)+(H72*$G$100)+(H72*$G$102)</f>
        <v>9991.0948916011585</v>
      </c>
      <c r="L107" s="182">
        <f>(K6*(5/12))+(K50*(7/12))+(I28*(4/12))+(I72*(8/12))</f>
        <v>43.75</v>
      </c>
      <c r="M107" s="64">
        <f>M6+M50</f>
        <v>344166.66666666669</v>
      </c>
      <c r="N107" s="64">
        <f>K28+K72</f>
        <v>96437.333333333314</v>
      </c>
      <c r="O107" s="156">
        <f>M107+N107</f>
        <v>440604</v>
      </c>
      <c r="P107" s="64">
        <f>VLOOKUP(A107,'2014-15 Funding Detail'!$A$3:$Z$23,23,FALSE)</f>
        <v>825633.87816485495</v>
      </c>
      <c r="Q107" s="64">
        <f>P107-O107</f>
        <v>385029.87816485495</v>
      </c>
      <c r="R107" s="64">
        <f>N6</f>
        <v>129377.959388285</v>
      </c>
      <c r="S107" s="64">
        <f>N50</f>
        <v>175954.02476806761</v>
      </c>
      <c r="T107" s="64">
        <f>L28</f>
        <v>20553.684002429258</v>
      </c>
      <c r="U107" s="64">
        <f>L72</f>
        <v>59144.210006073146</v>
      </c>
      <c r="V107" s="125"/>
      <c r="W107" s="125"/>
    </row>
    <row r="108" spans="1:23" ht="13" x14ac:dyDescent="0.3">
      <c r="A108" s="185">
        <v>9257005</v>
      </c>
      <c r="B108" s="38" t="s">
        <v>68</v>
      </c>
      <c r="C108" s="238">
        <v>3</v>
      </c>
      <c r="D108" s="64">
        <f t="shared" ref="D108:D124" si="10">L7</f>
        <v>154179.31505896556</v>
      </c>
      <c r="E108" s="64">
        <f t="shared" ref="E108:E124" si="11">L51</f>
        <v>272653.94663059182</v>
      </c>
      <c r="F108" s="156">
        <f t="shared" ref="F108:F124" si="12">SUM(D108:E108)</f>
        <v>426833.26168955734</v>
      </c>
      <c r="G108" s="64">
        <f t="shared" ref="G108:G124" si="13">J29</f>
        <v>81147.007925771351</v>
      </c>
      <c r="H108" s="64">
        <f t="shared" ref="H108:H124" si="14">J73</f>
        <v>188261.05838778956</v>
      </c>
      <c r="I108" s="156">
        <f t="shared" ref="I108:I124" si="15">SUM(G108:H108)</f>
        <v>269408.06631356094</v>
      </c>
      <c r="J108" s="156">
        <f t="shared" ref="J108:J124" si="16">F108+I108</f>
        <v>696241.32800311828</v>
      </c>
      <c r="K108" s="64">
        <f t="shared" ref="K108:K124" si="17">(D73*$G$92)+(E73*$G$94)+(F73*$G$96)+(G73*$G$98)+(H73*$G$100)+(H73*$G$102)</f>
        <v>9737.6409510925623</v>
      </c>
      <c r="L108" s="182">
        <f t="shared" ref="L108:L124" si="18">(K7*(5/12))+(K51*(7/12))+(I29*(4/12))+(I73*(8/12))</f>
        <v>71.5</v>
      </c>
      <c r="M108" s="64">
        <f t="shared" ref="M108:M124" si="19">M7+M51</f>
        <v>438333.33333333337</v>
      </c>
      <c r="N108" s="64">
        <f t="shared" ref="N108:N124" si="20">K29+K73</f>
        <v>286366.66666666663</v>
      </c>
      <c r="O108" s="156">
        <f t="shared" ref="O108:O124" si="21">M108+N108</f>
        <v>724700</v>
      </c>
      <c r="P108" s="64">
        <f>VLOOKUP(A108,'2014-15 Funding Detail'!$A$3:$Z$23,23,FALSE)</f>
        <v>1202634.5808467863</v>
      </c>
      <c r="Q108" s="64">
        <f t="shared" ref="Q108:Q124" si="22">P108-O108</f>
        <v>477934.58084678627</v>
      </c>
      <c r="R108" s="64">
        <f t="shared" ref="R108:R124" si="23">N7</f>
        <v>107984.34773996435</v>
      </c>
      <c r="S108" s="64">
        <f t="shared" ref="S108:S124" si="24">N51</f>
        <v>190961.7938980422</v>
      </c>
      <c r="T108" s="64">
        <f t="shared" ref="T108:T124" si="25">L29</f>
        <v>47133.86723156018</v>
      </c>
      <c r="U108" s="64">
        <f t="shared" ref="U108:U124" si="26">L73</f>
        <v>131854.5719772196</v>
      </c>
      <c r="V108" s="125"/>
      <c r="W108" s="125"/>
    </row>
    <row r="109" spans="1:23" ht="13" x14ac:dyDescent="0.3">
      <c r="A109" s="185">
        <v>9257025</v>
      </c>
      <c r="B109" s="38" t="s">
        <v>69</v>
      </c>
      <c r="C109" s="238">
        <v>3</v>
      </c>
      <c r="D109" s="64">
        <f t="shared" si="10"/>
        <v>206784.77709866289</v>
      </c>
      <c r="E109" s="64">
        <f t="shared" si="11"/>
        <v>289498.68793812807</v>
      </c>
      <c r="F109" s="156">
        <f t="shared" si="12"/>
        <v>496283.46503679093</v>
      </c>
      <c r="G109" s="64">
        <f t="shared" si="13"/>
        <v>47265.091908265807</v>
      </c>
      <c r="H109" s="64">
        <f t="shared" si="14"/>
        <v>87778.027829636485</v>
      </c>
      <c r="I109" s="156">
        <f t="shared" si="15"/>
        <v>135043.11973790231</v>
      </c>
      <c r="J109" s="156">
        <f t="shared" si="16"/>
        <v>631326.58477469324</v>
      </c>
      <c r="K109" s="64">
        <f t="shared" si="17"/>
        <v>10128.233980342673</v>
      </c>
      <c r="L109" s="182">
        <f t="shared" si="18"/>
        <v>62.333333333333329</v>
      </c>
      <c r="M109" s="64">
        <f t="shared" si="19"/>
        <v>490000.00000000006</v>
      </c>
      <c r="N109" s="64">
        <f t="shared" si="20"/>
        <v>138765.33333333331</v>
      </c>
      <c r="O109" s="156">
        <f t="shared" si="21"/>
        <v>628765.33333333337</v>
      </c>
      <c r="P109" s="64">
        <f>VLOOKUP(A109,'2014-15 Funding Detail'!$A$3:$Z$23,23,FALSE)</f>
        <v>1182940.7936766515</v>
      </c>
      <c r="Q109" s="64">
        <f t="shared" si="22"/>
        <v>554175.46034331818</v>
      </c>
      <c r="R109" s="64">
        <f t="shared" si="23"/>
        <v>183293.88741191576</v>
      </c>
      <c r="S109" s="64">
        <f t="shared" si="24"/>
        <v>256611.44237668207</v>
      </c>
      <c r="T109" s="64">
        <f t="shared" si="25"/>
        <v>36463.745694152174</v>
      </c>
      <c r="U109" s="64">
        <f t="shared" si="26"/>
        <v>77806.384860568331</v>
      </c>
      <c r="V109" s="125"/>
      <c r="W109" s="125"/>
    </row>
    <row r="110" spans="1:23" ht="13" x14ac:dyDescent="0.3">
      <c r="A110" s="185">
        <v>9257011</v>
      </c>
      <c r="B110" s="38" t="s">
        <v>70</v>
      </c>
      <c r="C110" s="238">
        <v>3</v>
      </c>
      <c r="D110" s="64">
        <f t="shared" si="10"/>
        <v>166866.0387354678</v>
      </c>
      <c r="E110" s="64">
        <f t="shared" si="11"/>
        <v>251582.64301655148</v>
      </c>
      <c r="F110" s="156">
        <f t="shared" si="12"/>
        <v>418448.68175201927</v>
      </c>
      <c r="G110" s="64">
        <f t="shared" si="13"/>
        <v>6845.7862045320117</v>
      </c>
      <c r="H110" s="64">
        <f t="shared" si="14"/>
        <v>20537.358613596036</v>
      </c>
      <c r="I110" s="156">
        <f t="shared" si="15"/>
        <v>27383.144818128047</v>
      </c>
      <c r="J110" s="156">
        <f t="shared" si="16"/>
        <v>445831.8265701473</v>
      </c>
      <c r="K110" s="64">
        <f t="shared" si="17"/>
        <v>10268.679306798018</v>
      </c>
      <c r="L110" s="182">
        <f t="shared" si="18"/>
        <v>43.416666666666664</v>
      </c>
      <c r="M110" s="64">
        <f t="shared" si="19"/>
        <v>407500</v>
      </c>
      <c r="N110" s="64">
        <f t="shared" si="20"/>
        <v>27442.666666666664</v>
      </c>
      <c r="O110" s="156">
        <f t="shared" si="21"/>
        <v>434942.66666666669</v>
      </c>
      <c r="P110" s="64">
        <f>VLOOKUP(A110,'2014-15 Funding Detail'!$A$3:$Z$23,23,FALSE)</f>
        <v>856091.51884336316</v>
      </c>
      <c r="Q110" s="64">
        <f t="shared" si="22"/>
        <v>421148.85217669647</v>
      </c>
      <c r="R110" s="64">
        <f t="shared" si="23"/>
        <v>157918.13085308223</v>
      </c>
      <c r="S110" s="64">
        <f t="shared" si="24"/>
        <v>238091.95113233931</v>
      </c>
      <c r="T110" s="64">
        <f t="shared" si="25"/>
        <v>5702.6925478187577</v>
      </c>
      <c r="U110" s="64">
        <f t="shared" si="26"/>
        <v>19436.077643456272</v>
      </c>
      <c r="V110" s="125"/>
      <c r="W110" s="125"/>
    </row>
    <row r="111" spans="1:23" ht="13" x14ac:dyDescent="0.3">
      <c r="A111" s="185">
        <v>9257024</v>
      </c>
      <c r="B111" s="38" t="s">
        <v>71</v>
      </c>
      <c r="C111" s="238">
        <v>3</v>
      </c>
      <c r="D111" s="64">
        <f t="shared" si="10"/>
        <v>139341.7481429239</v>
      </c>
      <c r="E111" s="64">
        <f t="shared" si="11"/>
        <v>238429.21348900307</v>
      </c>
      <c r="F111" s="156">
        <f t="shared" si="12"/>
        <v>377770.96163192694</v>
      </c>
      <c r="G111" s="64">
        <f t="shared" si="13"/>
        <v>34061.316212714722</v>
      </c>
      <c r="H111" s="64">
        <f t="shared" si="14"/>
        <v>80508.565593689375</v>
      </c>
      <c r="I111" s="156">
        <f t="shared" si="15"/>
        <v>114569.8818064041</v>
      </c>
      <c r="J111" s="156">
        <f t="shared" si="16"/>
        <v>492340.84343833104</v>
      </c>
      <c r="K111" s="64">
        <f t="shared" si="17"/>
        <v>9289.4498761949271</v>
      </c>
      <c r="L111" s="182">
        <f t="shared" si="18"/>
        <v>53</v>
      </c>
      <c r="M111" s="64">
        <f t="shared" si="19"/>
        <v>406666.66666666669</v>
      </c>
      <c r="N111" s="64">
        <f t="shared" si="20"/>
        <v>127601.33333333331</v>
      </c>
      <c r="O111" s="156">
        <f t="shared" si="21"/>
        <v>534268</v>
      </c>
      <c r="P111" s="64">
        <f>VLOOKUP(A111,'2014-15 Funding Detail'!$A$3:$Z$23,23,FALSE)</f>
        <v>895885.35474995745</v>
      </c>
      <c r="Q111" s="64">
        <f t="shared" si="22"/>
        <v>361617.35474995745</v>
      </c>
      <c r="R111" s="64">
        <f t="shared" si="23"/>
        <v>103552.4588914974</v>
      </c>
      <c r="S111" s="64">
        <f t="shared" si="24"/>
        <v>177189.76299211773</v>
      </c>
      <c r="T111" s="64">
        <f t="shared" si="25"/>
        <v>21044.823284588248</v>
      </c>
      <c r="U111" s="64">
        <f t="shared" si="26"/>
        <v>59830.309581754052</v>
      </c>
      <c r="V111" s="125"/>
      <c r="W111" s="125"/>
    </row>
    <row r="112" spans="1:23" ht="13" x14ac:dyDescent="0.3">
      <c r="A112" s="185">
        <v>9257031</v>
      </c>
      <c r="B112" s="38" t="s">
        <v>98</v>
      </c>
      <c r="C112" s="238">
        <v>3</v>
      </c>
      <c r="D112" s="64">
        <f t="shared" si="10"/>
        <v>364146.32506795577</v>
      </c>
      <c r="E112" s="64">
        <f t="shared" si="11"/>
        <v>518162.31173604203</v>
      </c>
      <c r="F112" s="156">
        <f t="shared" si="12"/>
        <v>882308.6368039978</v>
      </c>
      <c r="G112" s="64">
        <f t="shared" si="13"/>
        <v>0</v>
      </c>
      <c r="H112" s="64">
        <f t="shared" si="14"/>
        <v>0</v>
      </c>
      <c r="I112" s="156">
        <f t="shared" si="15"/>
        <v>0</v>
      </c>
      <c r="J112" s="156">
        <f t="shared" si="16"/>
        <v>882308.6368039978</v>
      </c>
      <c r="K112" s="64">
        <f t="shared" si="17"/>
        <v>14327.068527263833</v>
      </c>
      <c r="L112" s="182">
        <f t="shared" si="18"/>
        <v>61.583333333333343</v>
      </c>
      <c r="M112" s="64">
        <f t="shared" si="19"/>
        <v>615833.33333333337</v>
      </c>
      <c r="N112" s="64">
        <f t="shared" si="20"/>
        <v>0</v>
      </c>
      <c r="O112" s="156">
        <f t="shared" si="21"/>
        <v>615833.33333333337</v>
      </c>
      <c r="P112" s="64">
        <f>VLOOKUP(A112,'2014-15 Funding Detail'!$A$3:$Z$23,23,FALSE)</f>
        <v>1254971.0490029454</v>
      </c>
      <c r="Q112" s="64">
        <f t="shared" si="22"/>
        <v>639137.71566961205</v>
      </c>
      <c r="R112" s="64">
        <f t="shared" si="23"/>
        <v>263784.84882169362</v>
      </c>
      <c r="S112" s="64">
        <f t="shared" si="24"/>
        <v>375352.86684791814</v>
      </c>
      <c r="T112" s="64">
        <f t="shared" si="25"/>
        <v>0</v>
      </c>
      <c r="U112" s="64">
        <f t="shared" si="26"/>
        <v>0</v>
      </c>
      <c r="V112" s="125"/>
      <c r="W112" s="125"/>
    </row>
    <row r="113" spans="1:23" ht="13" x14ac:dyDescent="0.3">
      <c r="A113" s="185">
        <v>9257033</v>
      </c>
      <c r="B113" s="38" t="s">
        <v>72</v>
      </c>
      <c r="C113" s="238">
        <v>3</v>
      </c>
      <c r="D113" s="64">
        <f t="shared" si="10"/>
        <v>246332.97443288573</v>
      </c>
      <c r="E113" s="64">
        <f t="shared" si="11"/>
        <v>344866.16420604003</v>
      </c>
      <c r="F113" s="156">
        <f t="shared" si="12"/>
        <v>591199.13863892574</v>
      </c>
      <c r="G113" s="64">
        <f t="shared" si="13"/>
        <v>0</v>
      </c>
      <c r="H113" s="64">
        <f t="shared" si="14"/>
        <v>0</v>
      </c>
      <c r="I113" s="156">
        <f t="shared" si="15"/>
        <v>0</v>
      </c>
      <c r="J113" s="156">
        <f t="shared" si="16"/>
        <v>591199.13863892574</v>
      </c>
      <c r="K113" s="64">
        <f t="shared" si="17"/>
        <v>9853.3189773154299</v>
      </c>
      <c r="L113" s="182">
        <f t="shared" si="18"/>
        <v>60</v>
      </c>
      <c r="M113" s="64">
        <f t="shared" si="19"/>
        <v>600000</v>
      </c>
      <c r="N113" s="64">
        <f t="shared" si="20"/>
        <v>0</v>
      </c>
      <c r="O113" s="156">
        <f t="shared" si="21"/>
        <v>600000</v>
      </c>
      <c r="P113" s="64">
        <f>VLOOKUP(A113,'2014-15 Funding Detail'!$A$3:$Z$23,23,FALSE)</f>
        <v>982452.23692723562</v>
      </c>
      <c r="Q113" s="64">
        <f t="shared" si="22"/>
        <v>382452.23692723562</v>
      </c>
      <c r="R113" s="64">
        <f t="shared" si="23"/>
        <v>159355.09871968153</v>
      </c>
      <c r="S113" s="64">
        <f t="shared" si="24"/>
        <v>223097.13820755412</v>
      </c>
      <c r="T113" s="64">
        <f t="shared" si="25"/>
        <v>0</v>
      </c>
      <c r="U113" s="64">
        <f t="shared" si="26"/>
        <v>0</v>
      </c>
      <c r="V113" s="125"/>
      <c r="W113" s="125"/>
    </row>
    <row r="114" spans="1:23" ht="13" x14ac:dyDescent="0.3">
      <c r="A114" s="185">
        <v>9257008</v>
      </c>
      <c r="B114" s="38" t="s">
        <v>73</v>
      </c>
      <c r="C114" s="238">
        <v>3</v>
      </c>
      <c r="D114" s="64">
        <f t="shared" si="10"/>
        <v>306088.73366611655</v>
      </c>
      <c r="E114" s="64">
        <f t="shared" si="11"/>
        <v>459133.10049917467</v>
      </c>
      <c r="F114" s="156">
        <f t="shared" si="12"/>
        <v>765221.83416529116</v>
      </c>
      <c r="G114" s="64">
        <f t="shared" si="13"/>
        <v>0</v>
      </c>
      <c r="H114" s="64">
        <f t="shared" si="14"/>
        <v>0</v>
      </c>
      <c r="I114" s="156">
        <f t="shared" si="15"/>
        <v>0</v>
      </c>
      <c r="J114" s="156">
        <f t="shared" si="16"/>
        <v>765221.83416529116</v>
      </c>
      <c r="K114" s="64">
        <f t="shared" si="17"/>
        <v>8745.3923904604708</v>
      </c>
      <c r="L114" s="182">
        <f t="shared" si="18"/>
        <v>87.5</v>
      </c>
      <c r="M114" s="64">
        <f t="shared" si="19"/>
        <v>875000</v>
      </c>
      <c r="N114" s="64">
        <f t="shared" si="20"/>
        <v>0</v>
      </c>
      <c r="O114" s="156">
        <f t="shared" si="21"/>
        <v>875000</v>
      </c>
      <c r="P114" s="64">
        <f>VLOOKUP(A114,'2014-15 Funding Detail'!$A$3:$Z$23,23,FALSE)</f>
        <v>1210662.2590655922</v>
      </c>
      <c r="Q114" s="64">
        <f t="shared" si="22"/>
        <v>335662.2590655922</v>
      </c>
      <c r="R114" s="64">
        <f t="shared" si="23"/>
        <v>134264.90362623686</v>
      </c>
      <c r="S114" s="64">
        <f t="shared" si="24"/>
        <v>201397.35543935528</v>
      </c>
      <c r="T114" s="64">
        <f t="shared" si="25"/>
        <v>0</v>
      </c>
      <c r="U114" s="64">
        <f t="shared" si="26"/>
        <v>0</v>
      </c>
      <c r="V114" s="125"/>
      <c r="W114" s="125"/>
    </row>
    <row r="115" spans="1:23" ht="13" x14ac:dyDescent="0.3">
      <c r="A115" s="185">
        <v>9257034</v>
      </c>
      <c r="B115" s="38" t="s">
        <v>74</v>
      </c>
      <c r="C115" s="238">
        <v>4</v>
      </c>
      <c r="D115" s="64">
        <f t="shared" si="10"/>
        <v>282169.31662901014</v>
      </c>
      <c r="E115" s="64">
        <f t="shared" si="11"/>
        <v>486199.4378838329</v>
      </c>
      <c r="F115" s="156">
        <f t="shared" si="12"/>
        <v>768368.75451284298</v>
      </c>
      <c r="G115" s="64">
        <f t="shared" si="13"/>
        <v>89715.372466659639</v>
      </c>
      <c r="H115" s="64">
        <f t="shared" si="14"/>
        <v>179430.74493331928</v>
      </c>
      <c r="I115" s="156">
        <f t="shared" si="15"/>
        <v>269146.11739997892</v>
      </c>
      <c r="J115" s="156">
        <f t="shared" si="16"/>
        <v>1037514.8719128219</v>
      </c>
      <c r="K115" s="64">
        <f t="shared" si="17"/>
        <v>8682.1328193541576</v>
      </c>
      <c r="L115" s="182">
        <f t="shared" si="18"/>
        <v>119.5</v>
      </c>
      <c r="M115" s="64">
        <f t="shared" si="19"/>
        <v>885000</v>
      </c>
      <c r="N115" s="64">
        <f t="shared" si="20"/>
        <v>322028</v>
      </c>
      <c r="O115" s="156">
        <f t="shared" si="21"/>
        <v>1207028</v>
      </c>
      <c r="P115" s="64">
        <f>VLOOKUP(A115,'2014-15 Funding Detail'!$A$3:$Z$23,23,FALSE)</f>
        <v>1591490.8183786951</v>
      </c>
      <c r="Q115" s="64">
        <f t="shared" si="22"/>
        <v>384462.81837869505</v>
      </c>
      <c r="R115" s="64">
        <f t="shared" si="23"/>
        <v>107832.23093981248</v>
      </c>
      <c r="S115" s="64">
        <f t="shared" si="24"/>
        <v>185803.22869629227</v>
      </c>
      <c r="T115" s="64">
        <f t="shared" si="25"/>
        <v>22257.119580863458</v>
      </c>
      <c r="U115" s="64">
        <f t="shared" si="26"/>
        <v>68570.239161726917</v>
      </c>
      <c r="V115" s="125"/>
      <c r="W115" s="125"/>
    </row>
    <row r="116" spans="1:23" ht="13" x14ac:dyDescent="0.3">
      <c r="A116" s="185">
        <v>9257002</v>
      </c>
      <c r="B116" s="38" t="s">
        <v>75</v>
      </c>
      <c r="C116" s="238">
        <v>4</v>
      </c>
      <c r="D116" s="64">
        <f t="shared" si="10"/>
        <v>405214.4423928553</v>
      </c>
      <c r="E116" s="64">
        <f t="shared" si="11"/>
        <v>532389.43662076688</v>
      </c>
      <c r="F116" s="156">
        <f t="shared" si="12"/>
        <v>937603.87901362218</v>
      </c>
      <c r="G116" s="64">
        <f t="shared" si="13"/>
        <v>0</v>
      </c>
      <c r="H116" s="64">
        <f t="shared" si="14"/>
        <v>0</v>
      </c>
      <c r="I116" s="156">
        <f t="shared" si="15"/>
        <v>0</v>
      </c>
      <c r="J116" s="156">
        <f t="shared" si="16"/>
        <v>937603.87901362218</v>
      </c>
      <c r="K116" s="64">
        <f t="shared" si="17"/>
        <v>7480.8820134065591</v>
      </c>
      <c r="L116" s="182">
        <f t="shared" si="18"/>
        <v>125.33333333333334</v>
      </c>
      <c r="M116" s="64">
        <f t="shared" si="19"/>
        <v>1253333.3333333335</v>
      </c>
      <c r="N116" s="64">
        <f t="shared" si="20"/>
        <v>0</v>
      </c>
      <c r="O116" s="156">
        <f t="shared" si="21"/>
        <v>1253333.3333333335</v>
      </c>
      <c r="P116" s="64">
        <f>VLOOKUP(A116,'2014-15 Funding Detail'!$A$3:$Z$23,23,FALSE)</f>
        <v>1449552.6700500769</v>
      </c>
      <c r="Q116" s="64">
        <f t="shared" si="22"/>
        <v>196219.33671674342</v>
      </c>
      <c r="R116" s="64">
        <f t="shared" si="23"/>
        <v>84802.239937422433</v>
      </c>
      <c r="S116" s="64">
        <f t="shared" si="24"/>
        <v>111417.09677932116</v>
      </c>
      <c r="T116" s="64">
        <f t="shared" si="25"/>
        <v>0</v>
      </c>
      <c r="U116" s="64">
        <f t="shared" si="26"/>
        <v>0</v>
      </c>
      <c r="V116" s="125"/>
      <c r="W116" s="125"/>
    </row>
    <row r="117" spans="1:23" ht="13" x14ac:dyDescent="0.3">
      <c r="A117" s="185">
        <v>9257009</v>
      </c>
      <c r="B117" s="38" t="s">
        <v>76</v>
      </c>
      <c r="C117" s="238">
        <v>4</v>
      </c>
      <c r="D117" s="64">
        <f t="shared" si="10"/>
        <v>415296.41019249673</v>
      </c>
      <c r="E117" s="64">
        <f t="shared" si="11"/>
        <v>576976.69202316343</v>
      </c>
      <c r="F117" s="156">
        <f t="shared" si="12"/>
        <v>992273.10221566015</v>
      </c>
      <c r="G117" s="64">
        <f t="shared" si="13"/>
        <v>0</v>
      </c>
      <c r="H117" s="64">
        <f t="shared" si="14"/>
        <v>0</v>
      </c>
      <c r="I117" s="156">
        <f t="shared" si="15"/>
        <v>0</v>
      </c>
      <c r="J117" s="156">
        <f t="shared" si="16"/>
        <v>992273.10221566015</v>
      </c>
      <c r="K117" s="64">
        <f t="shared" si="17"/>
        <v>7608.483850854901</v>
      </c>
      <c r="L117" s="182">
        <f t="shared" si="18"/>
        <v>130.41666666666669</v>
      </c>
      <c r="M117" s="64">
        <f t="shared" si="19"/>
        <v>1304166.6666666667</v>
      </c>
      <c r="N117" s="64">
        <f t="shared" si="20"/>
        <v>0</v>
      </c>
      <c r="O117" s="156">
        <f t="shared" si="21"/>
        <v>1304166.6666666667</v>
      </c>
      <c r="P117" s="64">
        <f>VLOOKUP(A117,'2014-15 Funding Detail'!$A$3:$Z$23,23,FALSE)</f>
        <v>1523939.1157311392</v>
      </c>
      <c r="Q117" s="64">
        <f t="shared" si="22"/>
        <v>219772.44906447246</v>
      </c>
      <c r="R117" s="64">
        <f t="shared" si="23"/>
        <v>91981.440343277543</v>
      </c>
      <c r="S117" s="64">
        <f t="shared" si="24"/>
        <v>127791.00872119475</v>
      </c>
      <c r="T117" s="64">
        <f t="shared" si="25"/>
        <v>0</v>
      </c>
      <c r="U117" s="64">
        <f t="shared" si="26"/>
        <v>0</v>
      </c>
      <c r="V117" s="125"/>
      <c r="W117" s="125"/>
    </row>
    <row r="118" spans="1:23" ht="13" x14ac:dyDescent="0.3">
      <c r="A118" s="185">
        <v>9257029</v>
      </c>
      <c r="B118" s="38" t="s">
        <v>99</v>
      </c>
      <c r="C118" s="238">
        <v>4</v>
      </c>
      <c r="D118" s="64">
        <f t="shared" si="10"/>
        <v>370115.93695431569</v>
      </c>
      <c r="E118" s="64">
        <f t="shared" si="11"/>
        <v>459660.11524971464</v>
      </c>
      <c r="F118" s="156">
        <f t="shared" si="12"/>
        <v>829776.05220403033</v>
      </c>
      <c r="G118" s="64">
        <f t="shared" si="13"/>
        <v>0</v>
      </c>
      <c r="H118" s="64">
        <f t="shared" si="14"/>
        <v>0</v>
      </c>
      <c r="I118" s="156">
        <f t="shared" si="15"/>
        <v>0</v>
      </c>
      <c r="J118" s="156">
        <f t="shared" si="16"/>
        <v>829776.05220403033</v>
      </c>
      <c r="K118" s="64">
        <f t="shared" si="17"/>
        <v>14327.068527263833</v>
      </c>
      <c r="L118" s="182">
        <f t="shared" si="18"/>
        <v>57.916666666666671</v>
      </c>
      <c r="M118" s="64">
        <f t="shared" si="19"/>
        <v>579166.66666666674</v>
      </c>
      <c r="N118" s="64">
        <f t="shared" si="20"/>
        <v>0</v>
      </c>
      <c r="O118" s="156">
        <f t="shared" si="21"/>
        <v>579166.66666666674</v>
      </c>
      <c r="P118" s="64">
        <f>VLOOKUP(A118,'2014-15 Funding Detail'!$A$3:$Z$23,23,FALSE)</f>
        <v>1285595.8458722786</v>
      </c>
      <c r="Q118" s="64">
        <f t="shared" si="22"/>
        <v>706429.17920561181</v>
      </c>
      <c r="R118" s="64">
        <f t="shared" si="23"/>
        <v>315097.90727156791</v>
      </c>
      <c r="S118" s="64">
        <f t="shared" si="24"/>
        <v>391331.27193404397</v>
      </c>
      <c r="T118" s="64">
        <f t="shared" si="25"/>
        <v>0</v>
      </c>
      <c r="U118" s="64">
        <f t="shared" si="26"/>
        <v>0</v>
      </c>
      <c r="V118" s="125"/>
      <c r="W118" s="125"/>
    </row>
    <row r="119" spans="1:23" ht="13" x14ac:dyDescent="0.3">
      <c r="A119" s="185">
        <v>9257032</v>
      </c>
      <c r="B119" s="38" t="s">
        <v>100</v>
      </c>
      <c r="C119" s="238">
        <v>4</v>
      </c>
      <c r="D119" s="64">
        <f t="shared" si="10"/>
        <v>352207.10129523586</v>
      </c>
      <c r="E119" s="64">
        <f t="shared" si="11"/>
        <v>501447.39845423424</v>
      </c>
      <c r="F119" s="156">
        <f t="shared" si="12"/>
        <v>853654.49974947004</v>
      </c>
      <c r="G119" s="64">
        <f t="shared" si="13"/>
        <v>0</v>
      </c>
      <c r="H119" s="64">
        <f t="shared" si="14"/>
        <v>0</v>
      </c>
      <c r="I119" s="156">
        <f t="shared" si="15"/>
        <v>0</v>
      </c>
      <c r="J119" s="156">
        <f t="shared" si="16"/>
        <v>853654.49974947004</v>
      </c>
      <c r="K119" s="64">
        <f t="shared" si="17"/>
        <v>14327.068527263833</v>
      </c>
      <c r="L119" s="182">
        <f t="shared" si="18"/>
        <v>59.583333333333336</v>
      </c>
      <c r="M119" s="64">
        <f t="shared" si="19"/>
        <v>595833.33333333337</v>
      </c>
      <c r="N119" s="64">
        <f t="shared" si="20"/>
        <v>0</v>
      </c>
      <c r="O119" s="156">
        <f t="shared" si="21"/>
        <v>595833.33333333337</v>
      </c>
      <c r="P119" s="64">
        <f>VLOOKUP(A119,'2014-15 Funding Detail'!$A$3:$Z$23,23,FALSE)</f>
        <v>1296764.6304370028</v>
      </c>
      <c r="Q119" s="64">
        <f t="shared" si="22"/>
        <v>700931.29710366938</v>
      </c>
      <c r="R119" s="64">
        <f t="shared" si="23"/>
        <v>289195.43027354195</v>
      </c>
      <c r="S119" s="64">
        <f t="shared" si="24"/>
        <v>411735.86683012749</v>
      </c>
      <c r="T119" s="64">
        <f t="shared" si="25"/>
        <v>0</v>
      </c>
      <c r="U119" s="64">
        <f t="shared" si="26"/>
        <v>0</v>
      </c>
      <c r="V119" s="125"/>
      <c r="W119" s="125"/>
    </row>
    <row r="120" spans="1:23" ht="13" x14ac:dyDescent="0.3">
      <c r="A120" s="185">
        <v>9257030</v>
      </c>
      <c r="B120" s="38" t="s">
        <v>92</v>
      </c>
      <c r="C120" s="238">
        <v>4</v>
      </c>
      <c r="D120" s="64">
        <f t="shared" si="10"/>
        <v>328328.65374979615</v>
      </c>
      <c r="E120" s="64">
        <f t="shared" si="11"/>
        <v>459660.11524971464</v>
      </c>
      <c r="F120" s="156">
        <f t="shared" si="12"/>
        <v>787988.76899951079</v>
      </c>
      <c r="G120" s="64">
        <f t="shared" si="13"/>
        <v>0</v>
      </c>
      <c r="H120" s="64">
        <f t="shared" si="14"/>
        <v>0</v>
      </c>
      <c r="I120" s="156">
        <f t="shared" si="15"/>
        <v>0</v>
      </c>
      <c r="J120" s="156">
        <f t="shared" si="16"/>
        <v>787988.76899951079</v>
      </c>
      <c r="K120" s="64">
        <f t="shared" si="17"/>
        <v>14327.068527263833</v>
      </c>
      <c r="L120" s="182">
        <f t="shared" si="18"/>
        <v>55</v>
      </c>
      <c r="M120" s="64">
        <f t="shared" si="19"/>
        <v>550000</v>
      </c>
      <c r="N120" s="64">
        <f t="shared" si="20"/>
        <v>0</v>
      </c>
      <c r="O120" s="156">
        <f t="shared" si="21"/>
        <v>550000</v>
      </c>
      <c r="P120" s="64">
        <f>VLOOKUP(A120,'2014-15 Funding Detail'!$A$3:$Z$23,23,FALSE)</f>
        <v>1214343.3084858984</v>
      </c>
      <c r="Q120" s="64">
        <f t="shared" si="22"/>
        <v>664343.30848589842</v>
      </c>
      <c r="R120" s="64">
        <f t="shared" si="23"/>
        <v>276809.71186912438</v>
      </c>
      <c r="S120" s="64">
        <f t="shared" si="24"/>
        <v>387533.5966167741</v>
      </c>
      <c r="T120" s="64">
        <f t="shared" si="25"/>
        <v>0</v>
      </c>
      <c r="U120" s="64">
        <f t="shared" si="26"/>
        <v>0</v>
      </c>
      <c r="V120" s="125"/>
      <c r="W120" s="125"/>
    </row>
    <row r="121" spans="1:23" ht="13" x14ac:dyDescent="0.3">
      <c r="A121" s="185">
        <v>9257028</v>
      </c>
      <c r="B121" s="38" t="s">
        <v>77</v>
      </c>
      <c r="C121" s="238">
        <v>4</v>
      </c>
      <c r="D121" s="64">
        <f t="shared" si="10"/>
        <v>253289.64017957877</v>
      </c>
      <c r="E121" s="64">
        <f t="shared" si="11"/>
        <v>348273.25524692074</v>
      </c>
      <c r="F121" s="156">
        <f t="shared" si="12"/>
        <v>601562.89542649954</v>
      </c>
      <c r="G121" s="64">
        <f t="shared" si="13"/>
        <v>61513.198329326246</v>
      </c>
      <c r="H121" s="64">
        <f t="shared" si="14"/>
        <v>115789.54979637884</v>
      </c>
      <c r="I121" s="156">
        <f t="shared" si="15"/>
        <v>177302.74812570508</v>
      </c>
      <c r="J121" s="156">
        <f t="shared" si="16"/>
        <v>778865.64355220459</v>
      </c>
      <c r="K121" s="64">
        <f t="shared" si="17"/>
        <v>10855.270293410516</v>
      </c>
      <c r="L121" s="182">
        <f t="shared" si="18"/>
        <v>71.75</v>
      </c>
      <c r="M121" s="64">
        <f t="shared" si="19"/>
        <v>554166.66666666674</v>
      </c>
      <c r="N121" s="64">
        <f t="shared" si="20"/>
        <v>169929.33333333331</v>
      </c>
      <c r="O121" s="156">
        <f t="shared" si="21"/>
        <v>724096</v>
      </c>
      <c r="P121" s="64">
        <f>VLOOKUP(A121,'2014-15 Funding Detail'!$A$3:$Z$23,23,FALSE)</f>
        <v>1322018.8717324052</v>
      </c>
      <c r="Q121" s="64">
        <f t="shared" si="22"/>
        <v>597922.87173240515</v>
      </c>
      <c r="R121" s="64">
        <f t="shared" si="23"/>
        <v>196591.50300240816</v>
      </c>
      <c r="S121" s="64">
        <f t="shared" si="24"/>
        <v>270313.31662831124</v>
      </c>
      <c r="T121" s="64">
        <f t="shared" si="25"/>
        <v>41147.650729156274</v>
      </c>
      <c r="U121" s="64">
        <f t="shared" si="26"/>
        <v>89870.40137252945</v>
      </c>
      <c r="V121" s="125"/>
      <c r="W121" s="125"/>
    </row>
    <row r="122" spans="1:23" ht="13" x14ac:dyDescent="0.3">
      <c r="A122" s="185">
        <v>9257021</v>
      </c>
      <c r="B122" s="38" t="s">
        <v>78</v>
      </c>
      <c r="C122" s="238">
        <v>5</v>
      </c>
      <c r="D122" s="64">
        <f t="shared" si="10"/>
        <v>456856.40829387784</v>
      </c>
      <c r="E122" s="64">
        <f t="shared" si="11"/>
        <v>635094.75350148929</v>
      </c>
      <c r="F122" s="156">
        <f t="shared" si="12"/>
        <v>1091951.161795367</v>
      </c>
      <c r="G122" s="64">
        <f t="shared" si="13"/>
        <v>0</v>
      </c>
      <c r="H122" s="64">
        <f t="shared" si="14"/>
        <v>0</v>
      </c>
      <c r="I122" s="156">
        <f t="shared" si="15"/>
        <v>0</v>
      </c>
      <c r="J122" s="156">
        <f t="shared" si="16"/>
        <v>1091951.161795367</v>
      </c>
      <c r="K122" s="64">
        <f t="shared" si="17"/>
        <v>7721.5167598965254</v>
      </c>
      <c r="L122" s="182">
        <f t="shared" si="18"/>
        <v>141.41666666666669</v>
      </c>
      <c r="M122" s="64">
        <f t="shared" si="19"/>
        <v>1414166.6666666667</v>
      </c>
      <c r="N122" s="64">
        <f t="shared" si="20"/>
        <v>0</v>
      </c>
      <c r="O122" s="156">
        <f t="shared" si="21"/>
        <v>1414166.6666666667</v>
      </c>
      <c r="P122" s="64">
        <f>VLOOKUP(A122,'2014-15 Funding Detail'!$A$3:$Z$23,23,FALSE)</f>
        <v>1655400.4031920154</v>
      </c>
      <c r="Q122" s="64">
        <f t="shared" si="22"/>
        <v>241233.73652534862</v>
      </c>
      <c r="R122" s="64">
        <f t="shared" si="23"/>
        <v>100928.66996640975</v>
      </c>
      <c r="S122" s="64">
        <f t="shared" si="24"/>
        <v>140305.06655893862</v>
      </c>
      <c r="T122" s="64">
        <f t="shared" si="25"/>
        <v>0</v>
      </c>
      <c r="U122" s="64">
        <f t="shared" si="26"/>
        <v>0</v>
      </c>
      <c r="V122" s="125"/>
      <c r="W122" s="125"/>
    </row>
    <row r="123" spans="1:23" ht="13" x14ac:dyDescent="0.3">
      <c r="A123" s="234">
        <v>9257015</v>
      </c>
      <c r="B123" s="235" t="s">
        <v>55</v>
      </c>
      <c r="C123" s="242">
        <v>5</v>
      </c>
      <c r="D123" s="218">
        <f t="shared" si="10"/>
        <v>697313.24672939302</v>
      </c>
      <c r="E123" s="218">
        <f t="shared" si="11"/>
        <v>1031901.2695021809</v>
      </c>
      <c r="F123" s="243">
        <f t="shared" si="12"/>
        <v>1729214.5162315739</v>
      </c>
      <c r="G123" s="218">
        <f t="shared" si="13"/>
        <v>41594.123489121688</v>
      </c>
      <c r="H123" s="218">
        <f t="shared" si="14"/>
        <v>92975.099563919066</v>
      </c>
      <c r="I123" s="243">
        <f t="shared" si="15"/>
        <v>134569.22305304074</v>
      </c>
      <c r="J123" s="243">
        <f t="shared" si="16"/>
        <v>1863783.7392846146</v>
      </c>
      <c r="K123" s="218">
        <f t="shared" si="17"/>
        <v>7340.139439256769</v>
      </c>
      <c r="L123" s="182">
        <f t="shared" si="18"/>
        <v>253.91666666666666</v>
      </c>
      <c r="M123" s="64">
        <f t="shared" si="19"/>
        <v>2355833.3333333335</v>
      </c>
      <c r="N123" s="64">
        <f t="shared" si="20"/>
        <v>189929.33333333331</v>
      </c>
      <c r="O123" s="156">
        <f t="shared" si="21"/>
        <v>2545762.666666667</v>
      </c>
      <c r="P123" s="64">
        <f>VLOOKUP(A123,'2014-15 Funding Detail'!$A$3:$Z$23,23,FALSE)</f>
        <v>2642844.6565938313</v>
      </c>
      <c r="Q123" s="64">
        <f t="shared" si="22"/>
        <v>97081.989927164279</v>
      </c>
      <c r="R123" s="64">
        <f t="shared" si="23"/>
        <v>38789.927311115047</v>
      </c>
      <c r="S123" s="64">
        <f t="shared" si="24"/>
        <v>57402.287170044809</v>
      </c>
      <c r="T123" s="64">
        <f t="shared" si="25"/>
        <v>-4282.2148621440147</v>
      </c>
      <c r="U123" s="64">
        <f t="shared" si="26"/>
        <v>5171.9903081486727</v>
      </c>
      <c r="V123" s="125"/>
      <c r="W123" s="125"/>
    </row>
    <row r="124" spans="1:23" ht="13" x14ac:dyDescent="0.3">
      <c r="A124" s="185">
        <v>9257016</v>
      </c>
      <c r="B124" s="38" t="s">
        <v>80</v>
      </c>
      <c r="C124" s="238">
        <v>6</v>
      </c>
      <c r="D124" s="64">
        <f t="shared" si="10"/>
        <v>333053.08543802291</v>
      </c>
      <c r="E124" s="64">
        <f t="shared" si="11"/>
        <v>466274.3196132321</v>
      </c>
      <c r="F124" s="156">
        <f t="shared" si="12"/>
        <v>799327.40505125502</v>
      </c>
      <c r="G124" s="64">
        <f t="shared" si="13"/>
        <v>168634.47363950528</v>
      </c>
      <c r="H124" s="64">
        <f t="shared" si="14"/>
        <v>364250.46306133131</v>
      </c>
      <c r="I124" s="156">
        <f t="shared" si="15"/>
        <v>532884.93670083652</v>
      </c>
      <c r="J124" s="156">
        <f t="shared" si="16"/>
        <v>1332212.3417520914</v>
      </c>
      <c r="K124" s="64">
        <f t="shared" si="17"/>
        <v>10118.068418370316</v>
      </c>
      <c r="L124" s="182">
        <f t="shared" si="18"/>
        <v>131.66666666666666</v>
      </c>
      <c r="M124" s="64">
        <f t="shared" si="19"/>
        <v>790000</v>
      </c>
      <c r="N124" s="64">
        <f t="shared" si="20"/>
        <v>546066.66666666663</v>
      </c>
      <c r="O124" s="156">
        <f t="shared" si="21"/>
        <v>1336066.6666666665</v>
      </c>
      <c r="P124" s="64">
        <f>VLOOKUP(A124,'2014-15 Funding Detail'!$A$3:$Z$23,23,FALSE)</f>
        <v>2219760.2909703231</v>
      </c>
      <c r="Q124" s="64">
        <f t="shared" si="22"/>
        <v>883693.62430365663</v>
      </c>
      <c r="R124" s="64">
        <f t="shared" si="23"/>
        <v>225773.40607591419</v>
      </c>
      <c r="S124" s="64">
        <f t="shared" si="24"/>
        <v>316082.7685062798</v>
      </c>
      <c r="T124" s="64">
        <f t="shared" si="25"/>
        <v>94915.648646032481</v>
      </c>
      <c r="U124" s="64">
        <f t="shared" si="26"/>
        <v>246921.80107543018</v>
      </c>
      <c r="V124" s="125"/>
      <c r="W124" s="125"/>
    </row>
    <row r="126" spans="1:23" ht="13" thickBot="1" x14ac:dyDescent="0.3">
      <c r="J126" s="70">
        <f>SUM(J107:J124)</f>
        <v>15447204.654381448</v>
      </c>
      <c r="L126" s="250">
        <f>SUM(L107:L124)</f>
        <v>1629.5833333333337</v>
      </c>
    </row>
    <row r="130" spans="11:11" x14ac:dyDescent="0.25">
      <c r="K130" s="125">
        <f>AVERAGE(K107:K124)</f>
        <v>10284.921004300575</v>
      </c>
    </row>
  </sheetData>
  <sheetProtection password="C462" sheet="1" objects="1" scenarios="1"/>
  <mergeCells count="3">
    <mergeCell ref="D105:F105"/>
    <mergeCell ref="G105:I105"/>
    <mergeCell ref="M105:O105"/>
  </mergeCells>
  <phoneticPr fontId="61" type="noConversion"/>
  <pageMargins left="0.39370078740157483" right="0.39370078740157483" top="0.98425196850393704" bottom="0.98425196850393704" header="0.51181102362204722" footer="0.51181102362204722"/>
  <pageSetup paperSize="9" scale="40" orientation="portrait" r:id="rId1"/>
  <headerFooter alignWithMargins="0">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92D050"/>
    <pageSetUpPr fitToPage="1"/>
  </sheetPr>
  <dimension ref="A1:AA76"/>
  <sheetViews>
    <sheetView topLeftCell="A10" zoomScale="85" zoomScaleNormal="85" workbookViewId="0">
      <pane xSplit="2" topLeftCell="C1" activePane="topRight" state="frozen"/>
      <selection pane="topRight" activeCell="AA19" sqref="AA19"/>
    </sheetView>
  </sheetViews>
  <sheetFormatPr defaultColWidth="10.26953125" defaultRowHeight="13" x14ac:dyDescent="0.3"/>
  <cols>
    <col min="1" max="1" width="9.1796875" style="34" customWidth="1"/>
    <col min="2" max="2" width="26.7265625" style="34" customWidth="1"/>
    <col min="3" max="3" width="6.26953125" style="34" bestFit="1" customWidth="1"/>
    <col min="4" max="8" width="10.26953125" style="34" customWidth="1"/>
    <col min="9" max="10" width="10.26953125" style="41" customWidth="1"/>
    <col min="11" max="15" width="10.26953125" style="34" customWidth="1"/>
    <col min="16" max="23" width="10.26953125" style="40" customWidth="1"/>
    <col min="24" max="25" width="10.26953125" style="175" customWidth="1"/>
    <col min="26" max="26" width="10.26953125" style="34" customWidth="1"/>
    <col min="27" max="16384" width="10.26953125" style="34"/>
  </cols>
  <sheetData>
    <row r="1" spans="1:27" x14ac:dyDescent="0.3">
      <c r="A1" s="63" t="s">
        <v>97</v>
      </c>
      <c r="C1" s="33"/>
    </row>
    <row r="2" spans="1:27" x14ac:dyDescent="0.3">
      <c r="A2" s="77" t="s">
        <v>177</v>
      </c>
      <c r="C2" s="47"/>
      <c r="M2" s="153" t="s">
        <v>178</v>
      </c>
      <c r="N2" s="153"/>
      <c r="O2" s="153"/>
      <c r="P2" s="170"/>
      <c r="Q2" s="170"/>
      <c r="R2" s="170"/>
      <c r="S2" s="170"/>
      <c r="T2" s="170"/>
      <c r="U2" s="170"/>
      <c r="V2" s="170"/>
      <c r="W2" s="170"/>
      <c r="X2" s="176"/>
      <c r="Y2" s="176"/>
    </row>
    <row r="3" spans="1:27" x14ac:dyDescent="0.3">
      <c r="B3" s="35"/>
      <c r="C3" s="35"/>
      <c r="M3" s="142"/>
      <c r="N3" s="142"/>
      <c r="O3" s="142"/>
    </row>
    <row r="4" spans="1:27" ht="39" x14ac:dyDescent="0.3">
      <c r="A4" s="183" t="s">
        <v>201</v>
      </c>
      <c r="B4" s="36" t="s">
        <v>66</v>
      </c>
      <c r="C4" s="37" t="s">
        <v>51</v>
      </c>
      <c r="D4" s="34" t="s">
        <v>256</v>
      </c>
      <c r="E4" s="34" t="s">
        <v>257</v>
      </c>
      <c r="F4" s="34" t="s">
        <v>258</v>
      </c>
      <c r="G4" s="34" t="s">
        <v>259</v>
      </c>
      <c r="H4" s="34" t="s">
        <v>260</v>
      </c>
      <c r="I4" s="48" t="s">
        <v>252</v>
      </c>
      <c r="J4" s="48" t="s">
        <v>253</v>
      </c>
      <c r="K4" s="48" t="s">
        <v>251</v>
      </c>
      <c r="L4" s="48" t="s">
        <v>185</v>
      </c>
      <c r="M4" s="48" t="s">
        <v>189</v>
      </c>
      <c r="N4" s="48" t="s">
        <v>186</v>
      </c>
      <c r="O4" s="48" t="s">
        <v>187</v>
      </c>
      <c r="P4" s="173" t="s">
        <v>188</v>
      </c>
      <c r="Q4" s="48" t="s">
        <v>252</v>
      </c>
      <c r="R4" s="48" t="s">
        <v>253</v>
      </c>
      <c r="S4" s="48" t="s">
        <v>251</v>
      </c>
      <c r="T4" s="142" t="s">
        <v>185</v>
      </c>
      <c r="U4" s="142" t="s">
        <v>190</v>
      </c>
      <c r="V4" s="142" t="s">
        <v>186</v>
      </c>
      <c r="W4" s="142" t="s">
        <v>187</v>
      </c>
      <c r="X4" s="173" t="s">
        <v>191</v>
      </c>
      <c r="Y4" s="173" t="s">
        <v>192</v>
      </c>
      <c r="Z4" s="48" t="s">
        <v>193</v>
      </c>
      <c r="AA4" s="48" t="s">
        <v>148</v>
      </c>
    </row>
    <row r="5" spans="1:27" x14ac:dyDescent="0.3">
      <c r="A5" s="185">
        <v>9257010</v>
      </c>
      <c r="B5" s="38" t="s">
        <v>67</v>
      </c>
      <c r="C5" s="39">
        <v>3</v>
      </c>
      <c r="D5" s="49">
        <f>'Revised Band Returns'!F5</f>
        <v>0.30952380952380953</v>
      </c>
      <c r="E5" s="49">
        <f>'Revised Band Returns'!H5</f>
        <v>0.5</v>
      </c>
      <c r="F5" s="49">
        <f>'Revised Band Returns'!J5</f>
        <v>0</v>
      </c>
      <c r="G5" s="49">
        <f>'Revised Band Returns'!L5</f>
        <v>4.7619047619047616E-2</v>
      </c>
      <c r="H5" s="49">
        <f>'Revised Band Returns'!N5</f>
        <v>0.14285714285714285</v>
      </c>
      <c r="I5" s="168">
        <v>0</v>
      </c>
      <c r="J5" s="168">
        <v>29</v>
      </c>
      <c r="K5" s="168">
        <f>SUM(I5:J5)</f>
        <v>29</v>
      </c>
      <c r="L5" s="168">
        <v>14</v>
      </c>
      <c r="M5" s="169">
        <f>SUM(K5:L5)</f>
        <v>43</v>
      </c>
      <c r="N5" s="80">
        <f>((((K5*D5)*$G$57)+((K5*E5)*$G$59)+((K5*F5)*$G$61)+((K5*G5)*$G$63)+((K5*H5)*$G$65)+((K5*H5)*$G$67)))*(5/12)</f>
        <v>119594.99352164795</v>
      </c>
      <c r="O5" s="80">
        <f>((((L5*D5)*$G$57)+((L5*E5)*$G$59)+((L5*F5)*$G$61)+((L5*G5)*$G$63)+((L5*H5)*$G$65)+((L5*H5)*$G$67)))*(5/12)</f>
        <v>57735.514113899037</v>
      </c>
      <c r="P5" s="174">
        <f>SUM(N5:O5)</f>
        <v>177330.50763554699</v>
      </c>
      <c r="Q5" s="168">
        <v>0</v>
      </c>
      <c r="R5" s="172">
        <v>35</v>
      </c>
      <c r="S5" s="172">
        <f>SUM(Q5:R5)</f>
        <v>35</v>
      </c>
      <c r="T5" s="172">
        <v>8</v>
      </c>
      <c r="U5" s="172">
        <f>SUM(S5:T5)</f>
        <v>43</v>
      </c>
      <c r="V5" s="80">
        <f>((((S5*D5)*$G$57)+((S5*E5)*$G$59)+((S5*F5)*$G$61)+((S5*G5)*$G$63)+((S5*H5)*$G$65)+((S5*H5)*$G$67)))*(7/12)</f>
        <v>202074.2993986466</v>
      </c>
      <c r="W5" s="80">
        <f>((((T5*D5)*$G$57)+((T5*E5)*$G$59)+((T5*F5)*$G$61)+((T5*G5)*$G$63)+((T5*H5)*$G$65)+((T5*H5)*$G$67)))*(7/12)</f>
        <v>46188.411291119228</v>
      </c>
      <c r="X5" s="177">
        <f>SUM(V5:W5)</f>
        <v>248262.71068976584</v>
      </c>
      <c r="Y5" s="177">
        <f>P5+X5</f>
        <v>425593.21832531283</v>
      </c>
      <c r="Z5" s="165">
        <f>((5/12)*M5)+((7/12)*U5)</f>
        <v>43</v>
      </c>
      <c r="AA5" s="143">
        <f>Y5/Z5</f>
        <v>9897.5167052398338</v>
      </c>
    </row>
    <row r="6" spans="1:27" x14ac:dyDescent="0.3">
      <c r="A6" s="185">
        <v>9257005</v>
      </c>
      <c r="B6" s="38" t="s">
        <v>68</v>
      </c>
      <c r="C6" s="39">
        <v>3</v>
      </c>
      <c r="D6" s="49">
        <f>'Revised Band Returns'!F6</f>
        <v>0.1206896551724138</v>
      </c>
      <c r="E6" s="49">
        <f>'Revised Band Returns'!H6</f>
        <v>0.39655172413793105</v>
      </c>
      <c r="F6" s="49">
        <f>'Revised Band Returns'!J6</f>
        <v>0.27586206896551724</v>
      </c>
      <c r="G6" s="49">
        <f>'Revised Band Returns'!L6</f>
        <v>8.6206896551724144E-2</v>
      </c>
      <c r="H6" s="49">
        <f>'Revised Band Returns'!N6</f>
        <v>0.1206896551724138</v>
      </c>
      <c r="I6" s="168">
        <v>0</v>
      </c>
      <c r="J6" s="168">
        <v>38</v>
      </c>
      <c r="K6" s="168">
        <f t="shared" ref="K6:K23" si="0">SUM(I6:J6)</f>
        <v>38</v>
      </c>
      <c r="L6" s="168">
        <v>25</v>
      </c>
      <c r="M6" s="169">
        <f t="shared" ref="M6:M23" si="1">SUM(K6:L6)</f>
        <v>63</v>
      </c>
      <c r="N6" s="80">
        <f t="shared" ref="N6:N23" si="2">((((K6*D6)*$G$57)+((K6*E6)*$G$59)+((K6*F6)*$G$61)+((K6*G6)*$G$63)+((K6*H6)*$G$65)+((K6*H6)*$G$67)))*(5/12)</f>
        <v>139100.36057828771</v>
      </c>
      <c r="O6" s="80">
        <f t="shared" ref="O6:O25" si="3">((((L6*D6)*$G$57)+((L6*E6)*$G$59)+((L6*F6)*$G$61)+((L6*G6)*$G$63)+((L6*H6)*$G$65)+((L6*H6)*$G$67)))*(5/12)</f>
        <v>91513.395117294538</v>
      </c>
      <c r="P6" s="174">
        <f t="shared" ref="P6:P25" si="4">SUM(N6:O6)</f>
        <v>230613.75569558225</v>
      </c>
      <c r="Q6" s="168">
        <v>0</v>
      </c>
      <c r="R6" s="172">
        <v>38</v>
      </c>
      <c r="S6" s="172">
        <f t="shared" ref="S6:S23" si="5">SUM(Q6:R6)</f>
        <v>38</v>
      </c>
      <c r="T6" s="172">
        <v>25</v>
      </c>
      <c r="U6" s="172">
        <f t="shared" ref="U6:U25" si="6">SUM(S6:T6)</f>
        <v>63</v>
      </c>
      <c r="V6" s="80">
        <f t="shared" ref="V6:V25" si="7">((((S6*D6)*$G$57)+((S6*E6)*$G$59)+((S6*F6)*$G$61)+((S6*G6)*$G$63)+((S6*H6)*$G$65)+((S6*H6)*$G$67)))*(7/12)</f>
        <v>194740.5048096028</v>
      </c>
      <c r="W6" s="80">
        <f t="shared" ref="W6:W25" si="8">((((T6*D6)*$G$57)+((T6*E6)*$G$59)+((T6*F6)*$G$61)+((T6*G6)*$G$63)+((T6*H6)*$G$65)+((T6*H6)*$G$67)))*(7/12)</f>
        <v>128118.75316421235</v>
      </c>
      <c r="X6" s="177">
        <f t="shared" ref="X6:X25" si="9">SUM(V6:W6)</f>
        <v>322859.25797381514</v>
      </c>
      <c r="Y6" s="177">
        <f t="shared" ref="Y6:Y25" si="10">P6+X6</f>
        <v>553473.01366939745</v>
      </c>
      <c r="Z6" s="165">
        <f t="shared" ref="Z6:Z25" si="11">((5/12)*M6)+((7/12)*U6)</f>
        <v>63</v>
      </c>
      <c r="AA6" s="143">
        <f t="shared" ref="AA6:AA25" si="12">Y6/Z6</f>
        <v>8785.2859312602777</v>
      </c>
    </row>
    <row r="7" spans="1:27" x14ac:dyDescent="0.3">
      <c r="A7" s="185">
        <v>9257025</v>
      </c>
      <c r="B7" s="38" t="s">
        <v>69</v>
      </c>
      <c r="C7" s="39">
        <v>3</v>
      </c>
      <c r="D7" s="49">
        <f>'Revised Band Returns'!F7</f>
        <v>0.32608695652173914</v>
      </c>
      <c r="E7" s="49">
        <f>'Revised Band Returns'!H7</f>
        <v>0.34782608695652173</v>
      </c>
      <c r="F7" s="49">
        <f>'Revised Band Returns'!J7</f>
        <v>0</v>
      </c>
      <c r="G7" s="49">
        <f>'Revised Band Returns'!L7</f>
        <v>4.3478260869565216E-2</v>
      </c>
      <c r="H7" s="49">
        <f>'Revised Band Returns'!N7</f>
        <v>0.28260869565217389</v>
      </c>
      <c r="I7" s="168">
        <v>10</v>
      </c>
      <c r="J7" s="168">
        <v>41</v>
      </c>
      <c r="K7" s="168">
        <f t="shared" si="0"/>
        <v>51</v>
      </c>
      <c r="L7" s="168">
        <v>12</v>
      </c>
      <c r="M7" s="169">
        <f t="shared" si="1"/>
        <v>63</v>
      </c>
      <c r="N7" s="80">
        <f t="shared" si="2"/>
        <v>232187.89995907253</v>
      </c>
      <c r="O7" s="80">
        <f t="shared" si="3"/>
        <v>54632.447049193535</v>
      </c>
      <c r="P7" s="174">
        <f t="shared" si="4"/>
        <v>286820.34700826608</v>
      </c>
      <c r="Q7" s="168">
        <v>10</v>
      </c>
      <c r="R7" s="172">
        <v>39</v>
      </c>
      <c r="S7" s="172">
        <f t="shared" si="5"/>
        <v>49</v>
      </c>
      <c r="T7" s="172">
        <v>14</v>
      </c>
      <c r="U7" s="172">
        <f t="shared" si="6"/>
        <v>63</v>
      </c>
      <c r="V7" s="80">
        <f t="shared" si="7"/>
        <v>312315.48896455637</v>
      </c>
      <c r="W7" s="80">
        <f t="shared" si="8"/>
        <v>89232.996847016097</v>
      </c>
      <c r="X7" s="177">
        <f t="shared" si="9"/>
        <v>401548.48581157246</v>
      </c>
      <c r="Y7" s="177">
        <f t="shared" si="10"/>
        <v>688368.83281983854</v>
      </c>
      <c r="Z7" s="165">
        <f t="shared" si="11"/>
        <v>63</v>
      </c>
      <c r="AA7" s="143">
        <f t="shared" si="12"/>
        <v>10926.489409838707</v>
      </c>
    </row>
    <row r="8" spans="1:27" x14ac:dyDescent="0.3">
      <c r="A8" s="185">
        <v>9257011</v>
      </c>
      <c r="B8" s="38" t="s">
        <v>70</v>
      </c>
      <c r="C8" s="39">
        <v>3</v>
      </c>
      <c r="D8" s="49">
        <f>'Revised Band Returns'!F8</f>
        <v>0.35</v>
      </c>
      <c r="E8" s="49">
        <f>'Revised Band Returns'!H8</f>
        <v>0.375</v>
      </c>
      <c r="F8" s="49">
        <f>'Revised Band Returns'!J8</f>
        <v>2.5000000000000001E-2</v>
      </c>
      <c r="G8" s="49">
        <f>'Revised Band Returns'!L8</f>
        <v>2.5000000000000001E-2</v>
      </c>
      <c r="H8" s="49">
        <f>'Revised Band Returns'!N8</f>
        <v>0.22500000000000001</v>
      </c>
      <c r="I8" s="168">
        <v>0</v>
      </c>
      <c r="J8" s="168">
        <v>38</v>
      </c>
      <c r="K8" s="168">
        <f t="shared" si="0"/>
        <v>38</v>
      </c>
      <c r="L8" s="168">
        <v>3</v>
      </c>
      <c r="M8" s="169">
        <f t="shared" si="1"/>
        <v>41</v>
      </c>
      <c r="N8" s="80">
        <f t="shared" si="2"/>
        <v>166574.49625527041</v>
      </c>
      <c r="O8" s="80">
        <f t="shared" si="3"/>
        <v>13150.618125416086</v>
      </c>
      <c r="P8" s="174">
        <f t="shared" si="4"/>
        <v>179725.11438068649</v>
      </c>
      <c r="Q8" s="168">
        <v>0</v>
      </c>
      <c r="R8" s="172">
        <v>39</v>
      </c>
      <c r="S8" s="172">
        <f t="shared" si="5"/>
        <v>39</v>
      </c>
      <c r="T8" s="172">
        <v>2</v>
      </c>
      <c r="U8" s="172">
        <f t="shared" si="6"/>
        <v>41</v>
      </c>
      <c r="V8" s="80">
        <f t="shared" si="7"/>
        <v>239341.24988257277</v>
      </c>
      <c r="W8" s="80">
        <f t="shared" si="8"/>
        <v>12273.910250388348</v>
      </c>
      <c r="X8" s="177">
        <f t="shared" si="9"/>
        <v>251615.16013296111</v>
      </c>
      <c r="Y8" s="177">
        <f t="shared" si="10"/>
        <v>431340.2745136476</v>
      </c>
      <c r="Z8" s="165">
        <f t="shared" si="11"/>
        <v>41</v>
      </c>
      <c r="AA8" s="143">
        <f t="shared" si="12"/>
        <v>10520.494500332868</v>
      </c>
    </row>
    <row r="9" spans="1:27" x14ac:dyDescent="0.3">
      <c r="A9" s="185">
        <v>9257024</v>
      </c>
      <c r="B9" s="38" t="s">
        <v>71</v>
      </c>
      <c r="C9" s="39">
        <v>3</v>
      </c>
      <c r="D9" s="49">
        <f>'Revised Band Returns'!F9</f>
        <v>0.15217391304347827</v>
      </c>
      <c r="E9" s="49">
        <f>'Revised Band Returns'!H9</f>
        <v>0.65217391304347827</v>
      </c>
      <c r="F9" s="49">
        <f>'Revised Band Returns'!J9</f>
        <v>2.1739130434782608E-2</v>
      </c>
      <c r="G9" s="49">
        <f>'Revised Band Returns'!L9</f>
        <v>0.15217391304347827</v>
      </c>
      <c r="H9" s="49">
        <f>'Revised Band Returns'!N9</f>
        <v>2.1739130434782608E-2</v>
      </c>
      <c r="I9" s="168">
        <v>0</v>
      </c>
      <c r="J9" s="168">
        <v>38</v>
      </c>
      <c r="K9" s="168">
        <f t="shared" si="0"/>
        <v>38</v>
      </c>
      <c r="L9" s="168">
        <v>9</v>
      </c>
      <c r="M9" s="169">
        <f t="shared" si="1"/>
        <v>47</v>
      </c>
      <c r="N9" s="80">
        <f t="shared" si="2"/>
        <v>139320.71497922856</v>
      </c>
      <c r="O9" s="80">
        <f t="shared" si="3"/>
        <v>32997.011442448857</v>
      </c>
      <c r="P9" s="174">
        <f t="shared" si="4"/>
        <v>172317.72642167742</v>
      </c>
      <c r="Q9" s="168">
        <v>0</v>
      </c>
      <c r="R9" s="172">
        <v>36</v>
      </c>
      <c r="S9" s="172">
        <f t="shared" si="5"/>
        <v>36</v>
      </c>
      <c r="T9" s="172">
        <v>11</v>
      </c>
      <c r="U9" s="172">
        <f t="shared" si="6"/>
        <v>47</v>
      </c>
      <c r="V9" s="80">
        <f t="shared" si="7"/>
        <v>184783.2640777136</v>
      </c>
      <c r="W9" s="80">
        <f t="shared" si="8"/>
        <v>56461.552912634725</v>
      </c>
      <c r="X9" s="177">
        <f t="shared" si="9"/>
        <v>241244.81699034834</v>
      </c>
      <c r="Y9" s="177">
        <f t="shared" si="10"/>
        <v>413562.54341202579</v>
      </c>
      <c r="Z9" s="165">
        <f t="shared" si="11"/>
        <v>47</v>
      </c>
      <c r="AA9" s="143">
        <f t="shared" si="12"/>
        <v>8799.2030513196969</v>
      </c>
    </row>
    <row r="10" spans="1:27" x14ac:dyDescent="0.3">
      <c r="A10" s="185">
        <v>9257031</v>
      </c>
      <c r="B10" s="38" t="s">
        <v>98</v>
      </c>
      <c r="C10" s="39">
        <v>3</v>
      </c>
      <c r="D10" s="49">
        <f>'Revised Band Returns'!F10</f>
        <v>0</v>
      </c>
      <c r="E10" s="49">
        <f>'Revised Band Returns'!H10</f>
        <v>0</v>
      </c>
      <c r="F10" s="49">
        <f>'Revised Band Returns'!J10</f>
        <v>0</v>
      </c>
      <c r="G10" s="49">
        <f>'Revised Band Returns'!L10</f>
        <v>0</v>
      </c>
      <c r="H10" s="49">
        <f>'Revised Band Returns'!N10</f>
        <v>1</v>
      </c>
      <c r="I10" s="168">
        <v>0</v>
      </c>
      <c r="J10" s="168">
        <v>61</v>
      </c>
      <c r="K10" s="168">
        <f t="shared" si="0"/>
        <v>61</v>
      </c>
      <c r="L10" s="168">
        <v>0</v>
      </c>
      <c r="M10" s="169">
        <f t="shared" si="1"/>
        <v>61</v>
      </c>
      <c r="N10" s="80">
        <f t="shared" si="2"/>
        <v>364146.32506795577</v>
      </c>
      <c r="O10" s="80">
        <f t="shared" si="3"/>
        <v>0</v>
      </c>
      <c r="P10" s="174">
        <f t="shared" si="4"/>
        <v>364146.32506795577</v>
      </c>
      <c r="Q10" s="168">
        <v>0</v>
      </c>
      <c r="R10" s="172">
        <v>61</v>
      </c>
      <c r="S10" s="172">
        <f t="shared" si="5"/>
        <v>61</v>
      </c>
      <c r="T10" s="172">
        <v>0</v>
      </c>
      <c r="U10" s="172">
        <f t="shared" si="6"/>
        <v>61</v>
      </c>
      <c r="V10" s="80">
        <f t="shared" si="7"/>
        <v>509804.85509513813</v>
      </c>
      <c r="W10" s="80">
        <f t="shared" si="8"/>
        <v>0</v>
      </c>
      <c r="X10" s="177">
        <f t="shared" si="9"/>
        <v>509804.85509513813</v>
      </c>
      <c r="Y10" s="177">
        <f t="shared" si="10"/>
        <v>873951.18016309384</v>
      </c>
      <c r="Z10" s="165">
        <f t="shared" si="11"/>
        <v>61</v>
      </c>
      <c r="AA10" s="143">
        <f t="shared" si="12"/>
        <v>14327.068527263833</v>
      </c>
    </row>
    <row r="11" spans="1:27" x14ac:dyDescent="0.3">
      <c r="A11" s="185">
        <v>9257033</v>
      </c>
      <c r="B11" s="38" t="s">
        <v>72</v>
      </c>
      <c r="C11" s="39">
        <v>3</v>
      </c>
      <c r="D11" s="49">
        <f>'Revised Band Returns'!F11</f>
        <v>8.6956521739130432E-2</v>
      </c>
      <c r="E11" s="49">
        <f>'Revised Band Returns'!H11</f>
        <v>0.21739130434782608</v>
      </c>
      <c r="F11" s="49">
        <f>'Revised Band Returns'!J11</f>
        <v>0.5</v>
      </c>
      <c r="G11" s="49">
        <f>'Revised Band Returns'!L11</f>
        <v>4.3478260869565216E-2</v>
      </c>
      <c r="H11" s="49">
        <f>'Revised Band Returns'!N11</f>
        <v>0.15217391304347827</v>
      </c>
      <c r="I11" s="168">
        <v>10</v>
      </c>
      <c r="J11" s="168">
        <v>50</v>
      </c>
      <c r="K11" s="168">
        <f t="shared" si="0"/>
        <v>60</v>
      </c>
      <c r="L11" s="168">
        <v>0</v>
      </c>
      <c r="M11" s="169">
        <f t="shared" si="1"/>
        <v>60</v>
      </c>
      <c r="N11" s="80">
        <f t="shared" si="2"/>
        <v>210624.28604617293</v>
      </c>
      <c r="O11" s="80">
        <f t="shared" si="3"/>
        <v>0</v>
      </c>
      <c r="P11" s="174">
        <f t="shared" si="4"/>
        <v>210624.28604617293</v>
      </c>
      <c r="Q11" s="168">
        <v>10</v>
      </c>
      <c r="R11" s="172">
        <v>50</v>
      </c>
      <c r="S11" s="172">
        <f t="shared" si="5"/>
        <v>60</v>
      </c>
      <c r="T11" s="172">
        <v>0</v>
      </c>
      <c r="U11" s="172">
        <f t="shared" si="6"/>
        <v>60</v>
      </c>
      <c r="V11" s="80">
        <f t="shared" si="7"/>
        <v>294874.00046464213</v>
      </c>
      <c r="W11" s="80">
        <f t="shared" si="8"/>
        <v>0</v>
      </c>
      <c r="X11" s="177">
        <f t="shared" si="9"/>
        <v>294874.00046464213</v>
      </c>
      <c r="Y11" s="177">
        <f t="shared" si="10"/>
        <v>505498.28651081503</v>
      </c>
      <c r="Z11" s="165">
        <f t="shared" si="11"/>
        <v>60</v>
      </c>
      <c r="AA11" s="143">
        <f t="shared" si="12"/>
        <v>8424.9714418469175</v>
      </c>
    </row>
    <row r="12" spans="1:27" x14ac:dyDescent="0.3">
      <c r="A12" s="185">
        <v>9257008</v>
      </c>
      <c r="B12" s="38" t="s">
        <v>73</v>
      </c>
      <c r="C12" s="39">
        <v>3</v>
      </c>
      <c r="D12" s="49">
        <f>'Revised Band Returns'!F12</f>
        <v>0</v>
      </c>
      <c r="E12" s="49">
        <f>'Revised Band Returns'!H12</f>
        <v>0.10526315789473684</v>
      </c>
      <c r="F12" s="49">
        <f>'Revised Band Returns'!J12</f>
        <v>0.55263157894736847</v>
      </c>
      <c r="G12" s="49">
        <f>'Revised Band Returns'!L12</f>
        <v>1.3157894736842105E-2</v>
      </c>
      <c r="H12" s="49">
        <f>'Revised Band Returns'!N12</f>
        <v>0.32894736842105265</v>
      </c>
      <c r="I12" s="168">
        <v>10</v>
      </c>
      <c r="J12" s="168">
        <v>74</v>
      </c>
      <c r="K12" s="168">
        <f t="shared" si="0"/>
        <v>84</v>
      </c>
      <c r="L12" s="168">
        <v>0</v>
      </c>
      <c r="M12" s="169">
        <f t="shared" si="1"/>
        <v>84</v>
      </c>
      <c r="N12" s="80">
        <f t="shared" si="2"/>
        <v>318180.53201804025</v>
      </c>
      <c r="O12" s="80">
        <f t="shared" si="3"/>
        <v>0</v>
      </c>
      <c r="P12" s="174">
        <f t="shared" si="4"/>
        <v>318180.53201804025</v>
      </c>
      <c r="Q12" s="168">
        <v>10</v>
      </c>
      <c r="R12" s="172">
        <v>74</v>
      </c>
      <c r="S12" s="172">
        <f t="shared" si="5"/>
        <v>84</v>
      </c>
      <c r="T12" s="172">
        <v>0</v>
      </c>
      <c r="U12" s="172">
        <f t="shared" si="6"/>
        <v>84</v>
      </c>
      <c r="V12" s="80">
        <f t="shared" si="7"/>
        <v>445452.74482525635</v>
      </c>
      <c r="W12" s="80">
        <f t="shared" si="8"/>
        <v>0</v>
      </c>
      <c r="X12" s="177">
        <f t="shared" si="9"/>
        <v>445452.74482525635</v>
      </c>
      <c r="Y12" s="177">
        <f t="shared" si="10"/>
        <v>763633.2768432966</v>
      </c>
      <c r="Z12" s="165">
        <f t="shared" si="11"/>
        <v>84</v>
      </c>
      <c r="AA12" s="143">
        <f t="shared" si="12"/>
        <v>9090.8723433725791</v>
      </c>
    </row>
    <row r="13" spans="1:27" x14ac:dyDescent="0.3">
      <c r="A13" s="185">
        <v>9257034</v>
      </c>
      <c r="B13" s="38" t="s">
        <v>74</v>
      </c>
      <c r="C13" s="39">
        <v>4</v>
      </c>
      <c r="D13" s="49">
        <f>'Revised Band Returns'!F13</f>
        <v>5.3571428571428568E-2</v>
      </c>
      <c r="E13" s="49">
        <f>'Revised Band Returns'!H13</f>
        <v>7.1428571428571425E-2</v>
      </c>
      <c r="F13" s="49">
        <f>'Revised Band Returns'!J13</f>
        <v>0.6696428571428571</v>
      </c>
      <c r="G13" s="49">
        <f>'Revised Band Returns'!L13</f>
        <v>2.6785714285714284E-2</v>
      </c>
      <c r="H13" s="49">
        <f>'Revised Band Returns'!N13</f>
        <v>0.17857142857142858</v>
      </c>
      <c r="I13" s="168">
        <v>0</v>
      </c>
      <c r="J13" s="168">
        <v>82</v>
      </c>
      <c r="K13" s="168">
        <f t="shared" si="0"/>
        <v>82</v>
      </c>
      <c r="L13" s="168">
        <v>27</v>
      </c>
      <c r="M13" s="169">
        <f t="shared" si="1"/>
        <v>109</v>
      </c>
      <c r="N13" s="80">
        <f t="shared" si="2"/>
        <v>280303.95224728779</v>
      </c>
      <c r="O13" s="80">
        <f t="shared" si="3"/>
        <v>92295.203788741113</v>
      </c>
      <c r="P13" s="174">
        <f t="shared" si="4"/>
        <v>372599.15603602887</v>
      </c>
      <c r="Q13" s="168">
        <v>0</v>
      </c>
      <c r="R13" s="172">
        <v>78</v>
      </c>
      <c r="S13" s="172">
        <f t="shared" si="5"/>
        <v>78</v>
      </c>
      <c r="T13" s="172">
        <v>31</v>
      </c>
      <c r="U13" s="172">
        <f t="shared" si="6"/>
        <v>109</v>
      </c>
      <c r="V13" s="80">
        <f t="shared" si="7"/>
        <v>373282.8242122418</v>
      </c>
      <c r="W13" s="80">
        <f t="shared" si="8"/>
        <v>148355.99423819865</v>
      </c>
      <c r="X13" s="177">
        <f t="shared" si="9"/>
        <v>521638.81845044042</v>
      </c>
      <c r="Y13" s="177">
        <f t="shared" si="10"/>
        <v>894237.97448646929</v>
      </c>
      <c r="Z13" s="165">
        <f t="shared" si="11"/>
        <v>109</v>
      </c>
      <c r="AA13" s="143">
        <f t="shared" si="12"/>
        <v>8204.0181145547649</v>
      </c>
    </row>
    <row r="14" spans="1:27" x14ac:dyDescent="0.3">
      <c r="A14" s="185">
        <v>9257002</v>
      </c>
      <c r="B14" s="38" t="s">
        <v>75</v>
      </c>
      <c r="C14" s="39">
        <v>4</v>
      </c>
      <c r="D14" s="49">
        <f>'Revised Band Returns'!F14</f>
        <v>1.6260162601626018E-2</v>
      </c>
      <c r="E14" s="49">
        <f>'Revised Band Returns'!H14</f>
        <v>0.25203252032520324</v>
      </c>
      <c r="F14" s="49">
        <f>'Revised Band Returns'!J14</f>
        <v>0.64227642276422769</v>
      </c>
      <c r="G14" s="49">
        <f>'Revised Band Returns'!L14</f>
        <v>0</v>
      </c>
      <c r="H14" s="49">
        <f>'Revised Band Returns'!N14</f>
        <v>8.943089430894309E-2</v>
      </c>
      <c r="I14" s="168">
        <v>0</v>
      </c>
      <c r="J14" s="168">
        <v>130</v>
      </c>
      <c r="K14" s="168">
        <f t="shared" si="0"/>
        <v>130</v>
      </c>
      <c r="L14" s="168">
        <v>0</v>
      </c>
      <c r="M14" s="169">
        <f t="shared" si="1"/>
        <v>130</v>
      </c>
      <c r="N14" s="80">
        <f t="shared" si="2"/>
        <v>397262.04589398362</v>
      </c>
      <c r="O14" s="80">
        <f t="shared" si="3"/>
        <v>0</v>
      </c>
      <c r="P14" s="174">
        <f t="shared" si="4"/>
        <v>397262.04589398362</v>
      </c>
      <c r="Q14" s="168">
        <v>0</v>
      </c>
      <c r="R14" s="172">
        <v>130</v>
      </c>
      <c r="S14" s="172">
        <f t="shared" si="5"/>
        <v>130</v>
      </c>
      <c r="T14" s="172">
        <v>0</v>
      </c>
      <c r="U14" s="172">
        <f t="shared" si="6"/>
        <v>130</v>
      </c>
      <c r="V14" s="80">
        <f t="shared" si="7"/>
        <v>556166.86425157706</v>
      </c>
      <c r="W14" s="80">
        <f t="shared" si="8"/>
        <v>0</v>
      </c>
      <c r="X14" s="177">
        <f t="shared" si="9"/>
        <v>556166.86425157706</v>
      </c>
      <c r="Y14" s="177">
        <f t="shared" si="10"/>
        <v>953428.91014556075</v>
      </c>
      <c r="Z14" s="165">
        <f t="shared" si="11"/>
        <v>130</v>
      </c>
      <c r="AA14" s="143">
        <f t="shared" si="12"/>
        <v>7334.0685395812361</v>
      </c>
    </row>
    <row r="15" spans="1:27" x14ac:dyDescent="0.3">
      <c r="A15" s="185">
        <v>9257009</v>
      </c>
      <c r="B15" s="38" t="s">
        <v>76</v>
      </c>
      <c r="C15" s="39">
        <v>4</v>
      </c>
      <c r="D15" s="49">
        <f>'Revised Band Returns'!F15</f>
        <v>0</v>
      </c>
      <c r="E15" s="49">
        <f>'Revised Band Returns'!H15</f>
        <v>0.192</v>
      </c>
      <c r="F15" s="49">
        <f>'Revised Band Returns'!J15</f>
        <v>0.66400000000000003</v>
      </c>
      <c r="G15" s="49">
        <f>'Revised Band Returns'!L15</f>
        <v>0</v>
      </c>
      <c r="H15" s="49">
        <f>'Revised Band Returns'!N15</f>
        <v>0.14399999999999999</v>
      </c>
      <c r="I15" s="168">
        <v>0</v>
      </c>
      <c r="J15" s="168">
        <v>131</v>
      </c>
      <c r="K15" s="168">
        <f t="shared" si="0"/>
        <v>131</v>
      </c>
      <c r="L15" s="168">
        <v>0</v>
      </c>
      <c r="M15" s="169">
        <f t="shared" si="1"/>
        <v>131</v>
      </c>
      <c r="N15" s="80">
        <f t="shared" si="2"/>
        <v>415933.63426517654</v>
      </c>
      <c r="O15" s="80">
        <f t="shared" si="3"/>
        <v>0</v>
      </c>
      <c r="P15" s="174">
        <f t="shared" si="4"/>
        <v>415933.63426517654</v>
      </c>
      <c r="Q15" s="168">
        <v>0</v>
      </c>
      <c r="R15" s="172">
        <v>131</v>
      </c>
      <c r="S15" s="172">
        <f t="shared" si="5"/>
        <v>131</v>
      </c>
      <c r="T15" s="172">
        <v>0</v>
      </c>
      <c r="U15" s="172">
        <f t="shared" si="6"/>
        <v>131</v>
      </c>
      <c r="V15" s="80">
        <f t="shared" si="7"/>
        <v>582307.08797124715</v>
      </c>
      <c r="W15" s="80">
        <f t="shared" si="8"/>
        <v>0</v>
      </c>
      <c r="X15" s="177">
        <f t="shared" si="9"/>
        <v>582307.08797124715</v>
      </c>
      <c r="Y15" s="177">
        <f t="shared" si="10"/>
        <v>998240.72223642375</v>
      </c>
      <c r="Z15" s="165">
        <f t="shared" si="11"/>
        <v>131</v>
      </c>
      <c r="AA15" s="143">
        <f t="shared" si="12"/>
        <v>7620.1581850108687</v>
      </c>
    </row>
    <row r="16" spans="1:27" x14ac:dyDescent="0.3">
      <c r="A16" s="185">
        <v>9257029</v>
      </c>
      <c r="B16" s="38" t="s">
        <v>99</v>
      </c>
      <c r="C16" s="39">
        <v>4</v>
      </c>
      <c r="D16" s="49">
        <f>'Revised Band Returns'!F16</f>
        <v>0</v>
      </c>
      <c r="E16" s="49">
        <f>'Revised Band Returns'!H16</f>
        <v>0</v>
      </c>
      <c r="F16" s="49">
        <f>'Revised Band Returns'!J16</f>
        <v>0</v>
      </c>
      <c r="G16" s="49">
        <f>'Revised Band Returns'!L16</f>
        <v>0</v>
      </c>
      <c r="H16" s="49">
        <f>'Revised Band Returns'!N16</f>
        <v>1</v>
      </c>
      <c r="I16" s="168">
        <v>0</v>
      </c>
      <c r="J16" s="168">
        <v>62</v>
      </c>
      <c r="K16" s="168">
        <f t="shared" si="0"/>
        <v>62</v>
      </c>
      <c r="L16" s="168">
        <v>0</v>
      </c>
      <c r="M16" s="169">
        <f t="shared" si="1"/>
        <v>62</v>
      </c>
      <c r="N16" s="80">
        <f t="shared" si="2"/>
        <v>370115.93695431569</v>
      </c>
      <c r="O16" s="80">
        <f t="shared" si="3"/>
        <v>0</v>
      </c>
      <c r="P16" s="174">
        <f t="shared" si="4"/>
        <v>370115.93695431569</v>
      </c>
      <c r="Q16" s="168">
        <v>0</v>
      </c>
      <c r="R16" s="172">
        <v>62</v>
      </c>
      <c r="S16" s="172">
        <f t="shared" si="5"/>
        <v>62</v>
      </c>
      <c r="T16" s="172">
        <v>0</v>
      </c>
      <c r="U16" s="172">
        <f t="shared" si="6"/>
        <v>62</v>
      </c>
      <c r="V16" s="80">
        <f t="shared" si="7"/>
        <v>518162.31173604203</v>
      </c>
      <c r="W16" s="80">
        <f t="shared" si="8"/>
        <v>0</v>
      </c>
      <c r="X16" s="177">
        <f t="shared" si="9"/>
        <v>518162.31173604203</v>
      </c>
      <c r="Y16" s="177">
        <f t="shared" si="10"/>
        <v>888278.24869035766</v>
      </c>
      <c r="Z16" s="165">
        <f t="shared" si="11"/>
        <v>62.000000000000007</v>
      </c>
      <c r="AA16" s="143">
        <f t="shared" si="12"/>
        <v>14327.068527263831</v>
      </c>
    </row>
    <row r="17" spans="1:27" x14ac:dyDescent="0.3">
      <c r="A17" s="185">
        <v>9257032</v>
      </c>
      <c r="B17" s="38" t="s">
        <v>100</v>
      </c>
      <c r="C17" s="39">
        <v>4</v>
      </c>
      <c r="D17" s="49">
        <f>'Revised Band Returns'!F17</f>
        <v>0</v>
      </c>
      <c r="E17" s="49">
        <f>'Revised Band Returns'!H17</f>
        <v>0</v>
      </c>
      <c r="F17" s="49">
        <f>'Revised Band Returns'!J17</f>
        <v>0</v>
      </c>
      <c r="G17" s="49">
        <f>'Revised Band Returns'!L17</f>
        <v>0</v>
      </c>
      <c r="H17" s="49">
        <f>'Revised Band Returns'!N17</f>
        <v>1</v>
      </c>
      <c r="I17" s="168">
        <v>0</v>
      </c>
      <c r="J17" s="168">
        <v>59</v>
      </c>
      <c r="K17" s="168">
        <f t="shared" si="0"/>
        <v>59</v>
      </c>
      <c r="L17" s="168">
        <v>0</v>
      </c>
      <c r="M17" s="169">
        <f t="shared" si="1"/>
        <v>59</v>
      </c>
      <c r="N17" s="80">
        <f t="shared" si="2"/>
        <v>352207.10129523586</v>
      </c>
      <c r="O17" s="80">
        <f t="shared" si="3"/>
        <v>0</v>
      </c>
      <c r="P17" s="174">
        <f t="shared" si="4"/>
        <v>352207.10129523586</v>
      </c>
      <c r="Q17" s="168">
        <v>0</v>
      </c>
      <c r="R17" s="172">
        <v>59</v>
      </c>
      <c r="S17" s="172">
        <f t="shared" si="5"/>
        <v>59</v>
      </c>
      <c r="T17" s="172">
        <v>0</v>
      </c>
      <c r="U17" s="172">
        <f t="shared" si="6"/>
        <v>59</v>
      </c>
      <c r="V17" s="80">
        <f t="shared" si="7"/>
        <v>493089.94181333022</v>
      </c>
      <c r="W17" s="80">
        <f t="shared" si="8"/>
        <v>0</v>
      </c>
      <c r="X17" s="177">
        <f t="shared" si="9"/>
        <v>493089.94181333022</v>
      </c>
      <c r="Y17" s="177">
        <f t="shared" si="10"/>
        <v>845297.04310856608</v>
      </c>
      <c r="Z17" s="165">
        <f t="shared" si="11"/>
        <v>59.000000000000007</v>
      </c>
      <c r="AA17" s="143">
        <f t="shared" si="12"/>
        <v>14327.068527263829</v>
      </c>
    </row>
    <row r="18" spans="1:27" x14ac:dyDescent="0.3">
      <c r="A18" s="185">
        <v>9257030</v>
      </c>
      <c r="B18" s="38" t="s">
        <v>92</v>
      </c>
      <c r="C18" s="39">
        <v>4</v>
      </c>
      <c r="D18" s="49">
        <f>'Revised Band Returns'!F18</f>
        <v>0</v>
      </c>
      <c r="E18" s="49">
        <f>'Revised Band Returns'!H18</f>
        <v>0</v>
      </c>
      <c r="F18" s="49">
        <f>'Revised Band Returns'!J18</f>
        <v>0</v>
      </c>
      <c r="G18" s="49">
        <f>'Revised Band Returns'!L18</f>
        <v>0</v>
      </c>
      <c r="H18" s="49">
        <f>'Revised Band Returns'!N18</f>
        <v>1</v>
      </c>
      <c r="I18" s="168">
        <v>0</v>
      </c>
      <c r="J18" s="168">
        <v>55</v>
      </c>
      <c r="K18" s="168">
        <f t="shared" si="0"/>
        <v>55</v>
      </c>
      <c r="L18" s="168">
        <v>0</v>
      </c>
      <c r="M18" s="169">
        <f t="shared" si="1"/>
        <v>55</v>
      </c>
      <c r="N18" s="80">
        <f t="shared" si="2"/>
        <v>328328.65374979615</v>
      </c>
      <c r="O18" s="80">
        <f t="shared" si="3"/>
        <v>0</v>
      </c>
      <c r="P18" s="174">
        <f t="shared" si="4"/>
        <v>328328.65374979615</v>
      </c>
      <c r="Q18" s="168">
        <v>0</v>
      </c>
      <c r="R18" s="172">
        <v>55</v>
      </c>
      <c r="S18" s="172">
        <f t="shared" si="5"/>
        <v>55</v>
      </c>
      <c r="T18" s="172">
        <v>0</v>
      </c>
      <c r="U18" s="172">
        <f t="shared" si="6"/>
        <v>55</v>
      </c>
      <c r="V18" s="80">
        <f t="shared" si="7"/>
        <v>459660.11524971464</v>
      </c>
      <c r="W18" s="80">
        <f t="shared" si="8"/>
        <v>0</v>
      </c>
      <c r="X18" s="177">
        <f t="shared" si="9"/>
        <v>459660.11524971464</v>
      </c>
      <c r="Y18" s="177">
        <f t="shared" si="10"/>
        <v>787988.76899951079</v>
      </c>
      <c r="Z18" s="165">
        <f t="shared" si="11"/>
        <v>55</v>
      </c>
      <c r="AA18" s="143">
        <f t="shared" si="12"/>
        <v>14327.068527263833</v>
      </c>
    </row>
    <row r="19" spans="1:27" x14ac:dyDescent="0.3">
      <c r="A19" s="185">
        <v>9257028</v>
      </c>
      <c r="B19" s="38" t="s">
        <v>77</v>
      </c>
      <c r="C19" s="39">
        <v>4</v>
      </c>
      <c r="D19" s="49">
        <f>'Revised Band Returns'!F19</f>
        <v>0.25714285714285712</v>
      </c>
      <c r="E19" s="49">
        <f>'Revised Band Returns'!H19</f>
        <v>0.31428571428571428</v>
      </c>
      <c r="F19" s="49">
        <f>'Revised Band Returns'!J19</f>
        <v>5.7142857142857141E-2</v>
      </c>
      <c r="G19" s="49">
        <f>'Revised Band Returns'!L19</f>
        <v>0.15714285714285714</v>
      </c>
      <c r="H19" s="49">
        <f>'Revised Band Returns'!N19</f>
        <v>0.21428571428571427</v>
      </c>
      <c r="I19" s="168">
        <v>0</v>
      </c>
      <c r="J19" s="168">
        <v>59</v>
      </c>
      <c r="K19" s="168">
        <f t="shared" si="0"/>
        <v>59</v>
      </c>
      <c r="L19" s="168">
        <v>14</v>
      </c>
      <c r="M19" s="169">
        <f t="shared" si="1"/>
        <v>73</v>
      </c>
      <c r="N19" s="80">
        <f t="shared" si="2"/>
        <v>260110.15586796915</v>
      </c>
      <c r="O19" s="80">
        <f t="shared" si="3"/>
        <v>61721.053934772346</v>
      </c>
      <c r="P19" s="174">
        <f t="shared" si="4"/>
        <v>321831.20980274148</v>
      </c>
      <c r="Q19" s="168">
        <v>0</v>
      </c>
      <c r="R19" s="172">
        <v>56</v>
      </c>
      <c r="S19" s="172">
        <f t="shared" si="5"/>
        <v>56</v>
      </c>
      <c r="T19" s="172">
        <v>17</v>
      </c>
      <c r="U19" s="172">
        <f t="shared" si="6"/>
        <v>73</v>
      </c>
      <c r="V19" s="80">
        <f t="shared" si="7"/>
        <v>345637.90203472512</v>
      </c>
      <c r="W19" s="80">
        <f t="shared" si="8"/>
        <v>104925.79168911299</v>
      </c>
      <c r="X19" s="177">
        <f t="shared" si="9"/>
        <v>450563.69372383808</v>
      </c>
      <c r="Y19" s="177">
        <f t="shared" si="10"/>
        <v>772394.9035265795</v>
      </c>
      <c r="Z19" s="165">
        <f t="shared" si="11"/>
        <v>73</v>
      </c>
      <c r="AA19" s="143">
        <f t="shared" si="12"/>
        <v>10580.752103103829</v>
      </c>
    </row>
    <row r="20" spans="1:27" x14ac:dyDescent="0.3">
      <c r="A20" s="185">
        <v>9257021</v>
      </c>
      <c r="B20" s="38" t="s">
        <v>78</v>
      </c>
      <c r="C20" s="39">
        <v>5</v>
      </c>
      <c r="D20" s="49">
        <f>'Revised Band Returns'!F20</f>
        <v>1.4598540145985401E-2</v>
      </c>
      <c r="E20" s="49">
        <f>'Revised Band Returns'!H20</f>
        <v>0.10948905109489052</v>
      </c>
      <c r="F20" s="49">
        <f>'Revised Band Returns'!J20</f>
        <v>0.74452554744525545</v>
      </c>
      <c r="G20" s="49">
        <f>'Revised Band Returns'!L20</f>
        <v>2.1897810218978103E-2</v>
      </c>
      <c r="H20" s="49">
        <f>'Revised Band Returns'!N20</f>
        <v>0.10948905109489052</v>
      </c>
      <c r="I20" s="168">
        <v>0</v>
      </c>
      <c r="J20" s="168">
        <v>142</v>
      </c>
      <c r="K20" s="168">
        <f t="shared" si="0"/>
        <v>142</v>
      </c>
      <c r="L20" s="168">
        <v>0</v>
      </c>
      <c r="M20" s="169">
        <f t="shared" si="1"/>
        <v>142</v>
      </c>
      <c r="N20" s="80">
        <f t="shared" si="2"/>
        <v>440717.45291376894</v>
      </c>
      <c r="O20" s="80">
        <f t="shared" si="3"/>
        <v>0</v>
      </c>
      <c r="P20" s="174">
        <f t="shared" si="4"/>
        <v>440717.45291376894</v>
      </c>
      <c r="Q20" s="168">
        <v>0</v>
      </c>
      <c r="R20" s="172">
        <v>142</v>
      </c>
      <c r="S20" s="172">
        <f t="shared" si="5"/>
        <v>142</v>
      </c>
      <c r="T20" s="172">
        <v>0</v>
      </c>
      <c r="U20" s="172">
        <f t="shared" si="6"/>
        <v>142</v>
      </c>
      <c r="V20" s="80">
        <f t="shared" si="7"/>
        <v>617004.43407927651</v>
      </c>
      <c r="W20" s="80">
        <f t="shared" si="8"/>
        <v>0</v>
      </c>
      <c r="X20" s="177">
        <f t="shared" si="9"/>
        <v>617004.43407927651</v>
      </c>
      <c r="Y20" s="177">
        <f t="shared" si="10"/>
        <v>1057721.8869930455</v>
      </c>
      <c r="Z20" s="165">
        <f t="shared" si="11"/>
        <v>142</v>
      </c>
      <c r="AA20" s="143">
        <f t="shared" si="12"/>
        <v>7448.7456830496158</v>
      </c>
    </row>
    <row r="21" spans="1:27" x14ac:dyDescent="0.3">
      <c r="A21" s="185">
        <v>9257015</v>
      </c>
      <c r="B21" s="38" t="s">
        <v>55</v>
      </c>
      <c r="C21" s="39">
        <v>5</v>
      </c>
      <c r="D21" s="49">
        <f>'Revised Band Returns'!F21</f>
        <v>4.9723756906077346E-2</v>
      </c>
      <c r="E21" s="49">
        <f>'Revised Band Returns'!H21</f>
        <v>0.13812154696132597</v>
      </c>
      <c r="F21" s="49">
        <f>'Revised Band Returns'!J21</f>
        <v>0.71823204419889508</v>
      </c>
      <c r="G21" s="49">
        <f>'Revised Band Returns'!L21</f>
        <v>1.1049723756906077E-2</v>
      </c>
      <c r="H21" s="49">
        <f>'Revised Band Returns'!N21</f>
        <v>8.2872928176795577E-2</v>
      </c>
      <c r="I21" s="168">
        <v>10</v>
      </c>
      <c r="J21" s="168">
        <v>201</v>
      </c>
      <c r="K21" s="168">
        <f t="shared" si="0"/>
        <v>211</v>
      </c>
      <c r="L21" s="168">
        <v>0</v>
      </c>
      <c r="M21" s="169">
        <f t="shared" si="1"/>
        <v>211</v>
      </c>
      <c r="N21" s="80">
        <f t="shared" si="2"/>
        <v>650367.66436397668</v>
      </c>
      <c r="O21" s="80">
        <f t="shared" si="3"/>
        <v>0</v>
      </c>
      <c r="P21" s="174">
        <f t="shared" si="4"/>
        <v>650367.66436397668</v>
      </c>
      <c r="Q21" s="168">
        <v>10</v>
      </c>
      <c r="R21" s="172">
        <v>218</v>
      </c>
      <c r="S21" s="172">
        <f t="shared" si="5"/>
        <v>228</v>
      </c>
      <c r="T21" s="172">
        <v>17</v>
      </c>
      <c r="U21" s="172">
        <f t="shared" si="6"/>
        <v>245</v>
      </c>
      <c r="V21" s="80">
        <f t="shared" si="7"/>
        <v>983873.73680085957</v>
      </c>
      <c r="W21" s="80">
        <f t="shared" si="8"/>
        <v>73359.006691292161</v>
      </c>
      <c r="X21" s="177">
        <f t="shared" si="9"/>
        <v>1057232.7434921516</v>
      </c>
      <c r="Y21" s="177">
        <f t="shared" si="10"/>
        <v>1707600.4078561282</v>
      </c>
      <c r="Z21" s="165">
        <f t="shared" si="11"/>
        <v>230.83333333333337</v>
      </c>
      <c r="AA21" s="143">
        <f t="shared" si="12"/>
        <v>7397.5468932395434</v>
      </c>
    </row>
    <row r="22" spans="1:27" x14ac:dyDescent="0.3">
      <c r="A22" s="185">
        <v>9257017</v>
      </c>
      <c r="B22" s="38" t="s">
        <v>79</v>
      </c>
      <c r="C22" s="39">
        <v>5</v>
      </c>
      <c r="D22" s="49">
        <f>'Revised Band Returns'!F22</f>
        <v>0.30864197530864196</v>
      </c>
      <c r="E22" s="49">
        <f>'Revised Band Returns'!H22</f>
        <v>0.5679012345679012</v>
      </c>
      <c r="F22" s="49">
        <f>'Revised Band Returns'!J22</f>
        <v>0</v>
      </c>
      <c r="G22" s="49">
        <f>'Revised Band Returns'!L22</f>
        <v>0</v>
      </c>
      <c r="H22" s="49">
        <f>'Revised Band Returns'!N22</f>
        <v>0.12345679012345678</v>
      </c>
      <c r="I22" s="168">
        <v>0</v>
      </c>
      <c r="J22" s="168">
        <v>25</v>
      </c>
      <c r="K22" s="168">
        <f t="shared" si="0"/>
        <v>25</v>
      </c>
      <c r="L22" s="168">
        <v>12</v>
      </c>
      <c r="M22" s="169">
        <f t="shared" si="1"/>
        <v>37</v>
      </c>
      <c r="N22" s="80">
        <f t="shared" si="2"/>
        <v>99495.592950457911</v>
      </c>
      <c r="O22" s="80">
        <f t="shared" si="3"/>
        <v>47757.884616219795</v>
      </c>
      <c r="P22" s="174">
        <f t="shared" si="4"/>
        <v>147253.4775666777</v>
      </c>
      <c r="Q22" s="168">
        <v>0</v>
      </c>
      <c r="R22" s="172">
        <v>0</v>
      </c>
      <c r="S22" s="172">
        <f t="shared" si="5"/>
        <v>0</v>
      </c>
      <c r="T22" s="172">
        <v>0</v>
      </c>
      <c r="U22" s="172">
        <f t="shared" si="6"/>
        <v>0</v>
      </c>
      <c r="V22" s="80">
        <f t="shared" si="7"/>
        <v>0</v>
      </c>
      <c r="W22" s="80">
        <f t="shared" si="8"/>
        <v>0</v>
      </c>
      <c r="X22" s="177">
        <f t="shared" si="9"/>
        <v>0</v>
      </c>
      <c r="Y22" s="177">
        <f t="shared" si="10"/>
        <v>147253.4775666777</v>
      </c>
      <c r="Z22" s="165">
        <f t="shared" si="11"/>
        <v>15.416666666666668</v>
      </c>
      <c r="AA22" s="143">
        <f t="shared" si="12"/>
        <v>9551.5769232439579</v>
      </c>
    </row>
    <row r="23" spans="1:27" x14ac:dyDescent="0.3">
      <c r="A23" s="185">
        <v>9257016</v>
      </c>
      <c r="B23" s="38" t="s">
        <v>80</v>
      </c>
      <c r="C23" s="39">
        <v>6</v>
      </c>
      <c r="D23" s="49">
        <f>'Revised Band Returns'!F23</f>
        <v>0.42307692307692307</v>
      </c>
      <c r="E23" s="49">
        <f>'Revised Band Returns'!H23</f>
        <v>0</v>
      </c>
      <c r="F23" s="49">
        <f>'Revised Band Returns'!J23</f>
        <v>0.125</v>
      </c>
      <c r="G23" s="49">
        <f>'Revised Band Returns'!L23</f>
        <v>0.36538461538461536</v>
      </c>
      <c r="H23" s="49">
        <f>'Revised Band Returns'!N23</f>
        <v>8.6538461538461536E-2</v>
      </c>
      <c r="I23" s="168">
        <v>0</v>
      </c>
      <c r="J23" s="168">
        <v>83</v>
      </c>
      <c r="K23" s="168">
        <f t="shared" si="0"/>
        <v>83</v>
      </c>
      <c r="L23" s="168">
        <v>46</v>
      </c>
      <c r="M23" s="169">
        <f t="shared" si="1"/>
        <v>129</v>
      </c>
      <c r="N23" s="80">
        <f t="shared" si="2"/>
        <v>388682.65777476312</v>
      </c>
      <c r="O23" s="80">
        <f t="shared" si="3"/>
        <v>215414.48503179642</v>
      </c>
      <c r="P23" s="174">
        <f t="shared" si="4"/>
        <v>604097.14280655957</v>
      </c>
      <c r="Q23" s="168">
        <v>0</v>
      </c>
      <c r="R23" s="172">
        <v>79</v>
      </c>
      <c r="S23" s="172">
        <f t="shared" si="5"/>
        <v>79</v>
      </c>
      <c r="T23" s="172">
        <v>50</v>
      </c>
      <c r="U23" s="172">
        <f t="shared" si="6"/>
        <v>129</v>
      </c>
      <c r="V23" s="80">
        <f t="shared" si="7"/>
        <v>517931.34879384103</v>
      </c>
      <c r="W23" s="80">
        <f t="shared" si="8"/>
        <v>327804.65113534243</v>
      </c>
      <c r="X23" s="177">
        <f t="shared" si="9"/>
        <v>845735.9999291834</v>
      </c>
      <c r="Y23" s="177">
        <f t="shared" si="10"/>
        <v>1449833.142735743</v>
      </c>
      <c r="Z23" s="165">
        <f t="shared" si="11"/>
        <v>129</v>
      </c>
      <c r="AA23" s="143">
        <f t="shared" si="12"/>
        <v>11239.016610354596</v>
      </c>
    </row>
    <row r="24" spans="1:27" hidden="1" x14ac:dyDescent="0.3">
      <c r="A24" s="131">
        <v>9257012</v>
      </c>
      <c r="B24" s="131" t="s">
        <v>136</v>
      </c>
      <c r="C24" s="130"/>
      <c r="D24" s="49">
        <v>0</v>
      </c>
      <c r="E24" s="49">
        <v>0</v>
      </c>
      <c r="F24" s="49">
        <v>0</v>
      </c>
      <c r="G24" s="49">
        <v>1</v>
      </c>
      <c r="H24" s="92">
        <v>0</v>
      </c>
      <c r="I24" s="168">
        <v>0</v>
      </c>
      <c r="J24" s="92"/>
      <c r="K24" s="169">
        <v>20</v>
      </c>
      <c r="L24" s="169">
        <v>0</v>
      </c>
      <c r="M24" s="169">
        <f>SUM(K24:L24)</f>
        <v>20</v>
      </c>
      <c r="N24" s="80">
        <f>((((K24*D24)*$G$57)+((K24*E24)*$G$59)+((K24*F24)*$G$61)+((K24*G24)*$G$63)+((K24*H24)*$G$65)+((K24*H24)*$G$67)))*(5/12)</f>
        <v>97433.505317473231</v>
      </c>
      <c r="O24" s="80">
        <f t="shared" si="3"/>
        <v>0</v>
      </c>
      <c r="P24" s="174">
        <f t="shared" si="4"/>
        <v>97433.505317473231</v>
      </c>
      <c r="Q24" s="174"/>
      <c r="R24" s="174"/>
      <c r="S24" s="92">
        <v>20</v>
      </c>
      <c r="T24" s="92">
        <v>0</v>
      </c>
      <c r="U24" s="92">
        <f t="shared" si="6"/>
        <v>20</v>
      </c>
      <c r="V24" s="80">
        <f t="shared" si="7"/>
        <v>136406.90744446253</v>
      </c>
      <c r="W24" s="80">
        <f t="shared" si="8"/>
        <v>0</v>
      </c>
      <c r="X24" s="177">
        <f t="shared" si="9"/>
        <v>136406.90744446253</v>
      </c>
      <c r="Y24" s="177">
        <f t="shared" si="10"/>
        <v>233840.41276193576</v>
      </c>
      <c r="Z24" s="165">
        <f t="shared" si="11"/>
        <v>20</v>
      </c>
      <c r="AA24" s="143">
        <f t="shared" si="12"/>
        <v>11692.020638096788</v>
      </c>
    </row>
    <row r="25" spans="1:27" hidden="1" x14ac:dyDescent="0.3">
      <c r="A25" s="131">
        <v>9257003</v>
      </c>
      <c r="B25" s="131" t="s">
        <v>137</v>
      </c>
      <c r="C25" s="130"/>
      <c r="D25" s="49">
        <v>0</v>
      </c>
      <c r="E25" s="49">
        <v>0</v>
      </c>
      <c r="F25" s="49">
        <v>0</v>
      </c>
      <c r="G25" s="49">
        <v>1</v>
      </c>
      <c r="H25" s="92">
        <v>0</v>
      </c>
      <c r="I25" s="168">
        <v>0</v>
      </c>
      <c r="J25" s="92"/>
      <c r="K25" s="169">
        <v>9</v>
      </c>
      <c r="L25" s="169">
        <v>0</v>
      </c>
      <c r="M25" s="169">
        <f>SUM(K25:L25)</f>
        <v>9</v>
      </c>
      <c r="N25" s="80">
        <f>((((K25*D25)*$G$57)+((K25*E25)*$G$59)+((K25*F25)*$G$61)+((K25*G25)*$G$63)+((K25*H25)*$G$65)+((K25*H25)*$G$67)))*(5/12)</f>
        <v>43845.07739286295</v>
      </c>
      <c r="O25" s="80">
        <f t="shared" si="3"/>
        <v>0</v>
      </c>
      <c r="P25" s="174">
        <f t="shared" si="4"/>
        <v>43845.07739286295</v>
      </c>
      <c r="Q25" s="174"/>
      <c r="R25" s="174"/>
      <c r="S25" s="92">
        <v>9</v>
      </c>
      <c r="T25" s="92">
        <v>0</v>
      </c>
      <c r="U25" s="92">
        <f t="shared" si="6"/>
        <v>9</v>
      </c>
      <c r="V25" s="80">
        <f t="shared" si="7"/>
        <v>61383.108350008137</v>
      </c>
      <c r="W25" s="80">
        <f t="shared" si="8"/>
        <v>0</v>
      </c>
      <c r="X25" s="177">
        <f t="shared" si="9"/>
        <v>61383.108350008137</v>
      </c>
      <c r="Y25" s="177">
        <f t="shared" si="10"/>
        <v>105228.18574287108</v>
      </c>
      <c r="Z25" s="165">
        <f t="shared" si="11"/>
        <v>9</v>
      </c>
      <c r="AA25" s="143">
        <f t="shared" si="12"/>
        <v>11692.020638096787</v>
      </c>
    </row>
    <row r="26" spans="1:27" x14ac:dyDescent="0.3">
      <c r="B26" s="50"/>
      <c r="C26" s="50"/>
      <c r="W26" s="80"/>
    </row>
    <row r="27" spans="1:27" x14ac:dyDescent="0.3">
      <c r="B27" s="50"/>
      <c r="C27" s="50"/>
      <c r="W27" s="80"/>
    </row>
    <row r="28" spans="1:27" x14ac:dyDescent="0.3">
      <c r="B28" s="50"/>
      <c r="C28" s="50"/>
      <c r="W28" s="80"/>
    </row>
    <row r="29" spans="1:27" x14ac:dyDescent="0.3">
      <c r="B29" s="50"/>
      <c r="C29" s="50"/>
      <c r="W29" s="80"/>
    </row>
    <row r="30" spans="1:27" x14ac:dyDescent="0.3">
      <c r="B30" s="50"/>
      <c r="C30" s="50"/>
      <c r="W30" s="80"/>
    </row>
    <row r="31" spans="1:27" x14ac:dyDescent="0.3">
      <c r="B31" s="50"/>
      <c r="C31" s="50"/>
      <c r="W31" s="80"/>
    </row>
    <row r="32" spans="1:27" x14ac:dyDescent="0.3">
      <c r="B32" s="50"/>
      <c r="C32" s="50"/>
      <c r="W32" s="80"/>
    </row>
    <row r="33" spans="2:23" x14ac:dyDescent="0.3">
      <c r="B33" s="50"/>
      <c r="C33" s="50"/>
      <c r="W33" s="80"/>
    </row>
    <row r="34" spans="2:23" x14ac:dyDescent="0.3">
      <c r="B34" s="50"/>
      <c r="C34" s="50"/>
      <c r="W34" s="80"/>
    </row>
    <row r="35" spans="2:23" x14ac:dyDescent="0.3">
      <c r="B35" s="50"/>
      <c r="C35" s="50"/>
      <c r="W35" s="80"/>
    </row>
    <row r="36" spans="2:23" x14ac:dyDescent="0.3">
      <c r="B36" s="50"/>
      <c r="C36" s="50"/>
      <c r="W36" s="80"/>
    </row>
    <row r="37" spans="2:23" x14ac:dyDescent="0.3">
      <c r="B37" s="50"/>
      <c r="C37" s="50"/>
      <c r="W37" s="80"/>
    </row>
    <row r="38" spans="2:23" x14ac:dyDescent="0.3">
      <c r="B38" s="50"/>
      <c r="C38" s="50"/>
      <c r="W38" s="80"/>
    </row>
    <row r="39" spans="2:23" x14ac:dyDescent="0.3">
      <c r="B39" s="50"/>
      <c r="C39" s="50"/>
      <c r="W39" s="80"/>
    </row>
    <row r="40" spans="2:23" x14ac:dyDescent="0.3">
      <c r="B40" s="50"/>
      <c r="C40" s="50"/>
      <c r="W40" s="80"/>
    </row>
    <row r="41" spans="2:23" x14ac:dyDescent="0.3">
      <c r="B41" s="50"/>
      <c r="C41" s="50"/>
      <c r="W41" s="80"/>
    </row>
    <row r="42" spans="2:23" x14ac:dyDescent="0.3">
      <c r="B42" s="50"/>
      <c r="C42" s="50"/>
      <c r="W42" s="80"/>
    </row>
    <row r="43" spans="2:23" x14ac:dyDescent="0.3">
      <c r="B43" s="50"/>
      <c r="C43" s="50"/>
      <c r="W43" s="80"/>
    </row>
    <row r="44" spans="2:23" x14ac:dyDescent="0.3">
      <c r="B44" s="50"/>
      <c r="C44" s="50"/>
      <c r="W44" s="80"/>
    </row>
    <row r="45" spans="2:23" x14ac:dyDescent="0.3">
      <c r="B45" s="50"/>
      <c r="C45" s="50"/>
      <c r="W45" s="80"/>
    </row>
    <row r="46" spans="2:23" x14ac:dyDescent="0.3">
      <c r="B46" s="50"/>
      <c r="C46" s="50"/>
      <c r="W46" s="80"/>
    </row>
    <row r="47" spans="2:23" x14ac:dyDescent="0.3">
      <c r="B47" s="50"/>
      <c r="C47" s="50"/>
      <c r="W47" s="80"/>
    </row>
    <row r="48" spans="2:23" x14ac:dyDescent="0.3">
      <c r="B48" s="50"/>
      <c r="C48" s="50"/>
      <c r="W48" s="80"/>
    </row>
    <row r="49" spans="2:26" x14ac:dyDescent="0.3">
      <c r="B49" s="50"/>
      <c r="C49" s="50"/>
      <c r="W49" s="80"/>
    </row>
    <row r="50" spans="2:26" x14ac:dyDescent="0.3">
      <c r="B50" s="50"/>
      <c r="C50" s="50"/>
      <c r="W50" s="80"/>
    </row>
    <row r="51" spans="2:26" x14ac:dyDescent="0.3">
      <c r="B51" s="50"/>
      <c r="C51" s="50"/>
      <c r="W51" s="80"/>
    </row>
    <row r="52" spans="2:26" x14ac:dyDescent="0.3">
      <c r="B52" s="50"/>
      <c r="C52" s="50"/>
      <c r="W52" s="80"/>
    </row>
    <row r="53" spans="2:26" x14ac:dyDescent="0.3">
      <c r="B53" s="50"/>
      <c r="C53" s="50"/>
      <c r="Z53" s="62"/>
    </row>
    <row r="54" spans="2:26" x14ac:dyDescent="0.3">
      <c r="M54" s="52"/>
      <c r="N54" s="52"/>
      <c r="O54" s="52"/>
      <c r="P54" s="50"/>
      <c r="Q54" s="50"/>
      <c r="R54" s="50"/>
      <c r="S54" s="50"/>
      <c r="T54" s="50"/>
      <c r="U54" s="50"/>
      <c r="V54" s="50"/>
      <c r="W54" s="50"/>
      <c r="X54" s="178"/>
      <c r="Y54" s="178"/>
    </row>
    <row r="55" spans="2:26" ht="12.5" x14ac:dyDescent="0.25">
      <c r="B55" s="40"/>
      <c r="C55" s="40"/>
      <c r="L55" s="52"/>
      <c r="M55" s="213"/>
      <c r="N55" s="213"/>
      <c r="O55" s="213"/>
      <c r="P55" s="214"/>
      <c r="Q55" s="214"/>
      <c r="R55" s="214"/>
      <c r="S55" s="76"/>
      <c r="T55" s="171"/>
      <c r="U55" s="171"/>
      <c r="V55" s="171"/>
      <c r="W55" s="171"/>
      <c r="X55" s="179"/>
      <c r="Y55" s="179"/>
    </row>
    <row r="56" spans="2:26" ht="12.5" x14ac:dyDescent="0.25">
      <c r="L56" s="52"/>
      <c r="M56" s="214"/>
      <c r="N56" s="214"/>
      <c r="O56" s="214"/>
      <c r="P56" s="214"/>
      <c r="Q56" s="214"/>
      <c r="R56" s="214"/>
      <c r="S56" s="76"/>
      <c r="T56" s="171"/>
      <c r="U56" s="171"/>
      <c r="V56" s="171"/>
      <c r="W56" s="171"/>
      <c r="X56" s="179"/>
      <c r="Y56" s="179"/>
    </row>
    <row r="57" spans="2:26" ht="12.5" x14ac:dyDescent="0.25">
      <c r="C57" s="51"/>
      <c r="D57" s="52"/>
      <c r="E57" s="34" t="s">
        <v>2</v>
      </c>
      <c r="G57" s="42">
        <f>'Funding Model'!D7</f>
        <v>11692.020638096787</v>
      </c>
      <c r="H57" s="53">
        <f>'Funding Model'!E7</f>
        <v>0</v>
      </c>
      <c r="I57" s="53"/>
      <c r="J57" s="53"/>
      <c r="K57" s="53"/>
      <c r="L57" s="215"/>
      <c r="M57" s="214"/>
      <c r="N57" s="214"/>
      <c r="O57" s="214"/>
      <c r="P57" s="214"/>
      <c r="Q57" s="214"/>
      <c r="R57" s="214"/>
      <c r="S57" s="76"/>
      <c r="T57" s="171"/>
      <c r="U57" s="171"/>
      <c r="V57" s="171"/>
      <c r="W57" s="171"/>
      <c r="X57" s="179"/>
      <c r="Y57" s="179"/>
    </row>
    <row r="58" spans="2:26" ht="12.5" x14ac:dyDescent="0.25">
      <c r="C58" s="54"/>
      <c r="D58" s="52"/>
      <c r="G58" s="42"/>
      <c r="H58" s="53"/>
      <c r="I58" s="53"/>
      <c r="J58" s="53"/>
      <c r="K58" s="53"/>
      <c r="L58" s="215"/>
      <c r="M58" s="214"/>
      <c r="N58" s="214"/>
      <c r="O58" s="214"/>
      <c r="P58" s="214"/>
      <c r="Q58" s="214"/>
      <c r="R58" s="214"/>
      <c r="S58" s="76"/>
      <c r="T58" s="171"/>
      <c r="U58" s="171"/>
      <c r="V58" s="171"/>
      <c r="W58" s="171"/>
      <c r="X58" s="179"/>
      <c r="Y58" s="179"/>
    </row>
    <row r="59" spans="2:26" ht="12.5" x14ac:dyDescent="0.25">
      <c r="C59" s="51"/>
      <c r="D59" s="52"/>
      <c r="E59" s="34" t="s">
        <v>3</v>
      </c>
      <c r="G59" s="42">
        <f>'Funding Model'!D9</f>
        <v>7350.1419469065795</v>
      </c>
      <c r="H59" s="53">
        <f>'Funding Model'!E9</f>
        <v>0</v>
      </c>
      <c r="I59" s="53"/>
      <c r="J59" s="53"/>
      <c r="K59" s="53"/>
      <c r="L59" s="215"/>
      <c r="M59" s="213"/>
      <c r="N59" s="213"/>
      <c r="O59" s="213"/>
      <c r="P59" s="214"/>
      <c r="Q59" s="214"/>
      <c r="R59" s="214"/>
      <c r="S59" s="76"/>
      <c r="T59" s="171"/>
      <c r="U59" s="171"/>
      <c r="V59" s="171"/>
      <c r="W59" s="171"/>
      <c r="X59" s="179"/>
      <c r="Y59" s="179"/>
    </row>
    <row r="60" spans="2:26" ht="12.5" x14ac:dyDescent="0.25">
      <c r="C60" s="54"/>
      <c r="D60" s="52"/>
      <c r="G60" s="42"/>
      <c r="H60" s="53"/>
      <c r="I60" s="53"/>
      <c r="J60" s="53"/>
      <c r="K60" s="53"/>
      <c r="L60" s="215"/>
      <c r="M60" s="213"/>
      <c r="N60" s="213"/>
      <c r="O60" s="213"/>
      <c r="P60" s="214"/>
      <c r="Q60" s="214"/>
      <c r="R60" s="214"/>
      <c r="S60" s="76"/>
      <c r="T60" s="171"/>
      <c r="U60" s="171"/>
      <c r="V60" s="171"/>
      <c r="W60" s="171"/>
      <c r="X60" s="179"/>
      <c r="Y60" s="179"/>
    </row>
    <row r="61" spans="2:26" ht="12.5" x14ac:dyDescent="0.25">
      <c r="C61" s="51"/>
      <c r="D61" s="52"/>
      <c r="E61" s="34" t="s">
        <v>5</v>
      </c>
      <c r="G61" s="42">
        <f>'Funding Model'!D11</f>
        <v>6243.7244928897762</v>
      </c>
      <c r="H61" s="53">
        <f>'Funding Model'!E11</f>
        <v>0</v>
      </c>
      <c r="I61" s="53"/>
      <c r="J61" s="53"/>
      <c r="K61" s="53"/>
      <c r="L61" s="215"/>
      <c r="M61" s="213"/>
      <c r="N61" s="213"/>
      <c r="O61" s="213"/>
      <c r="P61" s="214"/>
      <c r="Q61" s="214"/>
      <c r="R61" s="214"/>
      <c r="S61" s="76"/>
      <c r="T61" s="171"/>
      <c r="U61" s="171"/>
      <c r="V61" s="171"/>
      <c r="W61" s="171"/>
      <c r="X61" s="179"/>
      <c r="Y61" s="179"/>
    </row>
    <row r="62" spans="2:26" ht="12.5" x14ac:dyDescent="0.25">
      <c r="C62" s="54"/>
      <c r="D62" s="52"/>
      <c r="G62" s="42"/>
      <c r="H62" s="53"/>
      <c r="I62" s="53"/>
      <c r="J62" s="53"/>
      <c r="K62" s="53"/>
      <c r="L62" s="215"/>
      <c r="M62" s="214"/>
      <c r="N62" s="20"/>
      <c r="O62" s="216"/>
      <c r="P62" s="214"/>
      <c r="Q62" s="214"/>
      <c r="R62" s="214"/>
      <c r="S62" s="76"/>
      <c r="T62" s="171"/>
      <c r="U62" s="171"/>
      <c r="V62" s="171"/>
      <c r="W62" s="171"/>
      <c r="X62" s="179"/>
      <c r="Y62" s="179"/>
    </row>
    <row r="63" spans="2:26" ht="12.5" x14ac:dyDescent="0.25">
      <c r="C63" s="51"/>
      <c r="D63" s="52"/>
      <c r="E63" s="34" t="s">
        <v>7</v>
      </c>
      <c r="G63" s="42">
        <f>'Funding Model'!D13</f>
        <v>11692.020638096787</v>
      </c>
      <c r="H63" s="53">
        <f>'Funding Model'!E13</f>
        <v>0</v>
      </c>
      <c r="I63" s="53"/>
      <c r="J63" s="53"/>
      <c r="K63" s="53"/>
      <c r="L63" s="215"/>
      <c r="M63" s="213"/>
      <c r="N63" s="213"/>
      <c r="O63" s="213"/>
      <c r="P63" s="214"/>
      <c r="Q63" s="214"/>
      <c r="R63" s="214"/>
      <c r="S63" s="76"/>
      <c r="T63" s="171"/>
      <c r="U63" s="171"/>
      <c r="V63" s="171"/>
      <c r="W63" s="171"/>
      <c r="X63" s="179"/>
      <c r="Y63" s="179"/>
    </row>
    <row r="64" spans="2:26" ht="12.5" x14ac:dyDescent="0.25">
      <c r="C64" s="54"/>
      <c r="D64" s="52"/>
      <c r="G64" s="42"/>
      <c r="H64" s="53"/>
      <c r="I64" s="53"/>
      <c r="J64" s="53"/>
      <c r="K64" s="53"/>
      <c r="L64" s="215"/>
      <c r="M64" s="214"/>
      <c r="N64" s="20"/>
      <c r="O64" s="216"/>
      <c r="P64" s="214"/>
      <c r="Q64" s="214"/>
      <c r="R64" s="214"/>
      <c r="S64" s="76"/>
      <c r="T64" s="171"/>
      <c r="U64" s="171"/>
      <c r="V64" s="171"/>
      <c r="W64" s="171"/>
      <c r="X64" s="179"/>
      <c r="Y64" s="179"/>
    </row>
    <row r="65" spans="2:25" ht="12.5" x14ac:dyDescent="0.25">
      <c r="C65" s="51"/>
      <c r="D65" s="52"/>
      <c r="E65" s="34" t="s">
        <v>8</v>
      </c>
      <c r="G65" s="42">
        <f>'Funding Model'!D15</f>
        <v>11692.020638096787</v>
      </c>
      <c r="H65" s="53">
        <f>'Funding Model'!E15</f>
        <v>0</v>
      </c>
      <c r="I65" s="53"/>
      <c r="J65" s="53"/>
      <c r="K65" s="53"/>
      <c r="L65" s="215"/>
      <c r="M65" s="213"/>
      <c r="N65" s="213"/>
      <c r="O65" s="213"/>
      <c r="P65" s="214"/>
      <c r="Q65" s="214"/>
      <c r="R65" s="214"/>
      <c r="S65" s="76"/>
      <c r="T65" s="171"/>
      <c r="U65" s="171"/>
      <c r="V65" s="171"/>
      <c r="W65" s="171"/>
      <c r="X65" s="179"/>
      <c r="Y65" s="179"/>
    </row>
    <row r="66" spans="2:25" ht="14" x14ac:dyDescent="0.3">
      <c r="B66" s="55"/>
      <c r="C66" s="56"/>
      <c r="D66" s="57"/>
      <c r="E66" s="58"/>
      <c r="H66" s="66"/>
      <c r="I66" s="53"/>
      <c r="J66" s="53"/>
      <c r="K66" s="66"/>
      <c r="L66" s="217"/>
      <c r="M66" s="213"/>
      <c r="N66" s="213"/>
      <c r="O66" s="213"/>
      <c r="P66" s="214"/>
      <c r="Q66" s="214"/>
      <c r="R66" s="214"/>
      <c r="S66" s="76"/>
      <c r="T66" s="171"/>
      <c r="U66" s="171"/>
      <c r="V66" s="171"/>
      <c r="W66" s="171"/>
      <c r="X66" s="179"/>
      <c r="Y66" s="179"/>
    </row>
    <row r="67" spans="2:25" ht="14" x14ac:dyDescent="0.3">
      <c r="B67" s="59"/>
      <c r="C67" s="60"/>
      <c r="E67" s="34" t="s">
        <v>108</v>
      </c>
      <c r="G67" s="42">
        <f>'Funding Model'!D17</f>
        <v>2635.0478891670464</v>
      </c>
      <c r="H67" s="53">
        <f>'Funding Model'!E17</f>
        <v>0</v>
      </c>
      <c r="I67" s="53"/>
      <c r="J67" s="53"/>
      <c r="K67" s="53"/>
      <c r="L67" s="215"/>
      <c r="M67" s="213"/>
      <c r="N67" s="213"/>
      <c r="O67" s="213"/>
      <c r="P67" s="214"/>
      <c r="Q67" s="214"/>
      <c r="R67" s="214"/>
      <c r="S67" s="76"/>
      <c r="T67" s="171"/>
      <c r="U67" s="171"/>
      <c r="V67" s="171"/>
      <c r="W67" s="171"/>
      <c r="X67" s="179"/>
      <c r="Y67" s="179"/>
    </row>
    <row r="68" spans="2:25" ht="12.5" x14ac:dyDescent="0.25">
      <c r="L68" s="52"/>
      <c r="M68" s="214"/>
      <c r="N68" s="214"/>
      <c r="O68" s="214"/>
      <c r="P68" s="214"/>
      <c r="Q68" s="214"/>
      <c r="R68" s="214"/>
      <c r="S68" s="76"/>
      <c r="T68" s="171"/>
      <c r="U68" s="171"/>
      <c r="V68" s="171"/>
      <c r="W68" s="171"/>
      <c r="X68" s="179"/>
      <c r="Y68" s="179"/>
    </row>
    <row r="69" spans="2:25" ht="12.5" x14ac:dyDescent="0.25">
      <c r="L69" s="52"/>
      <c r="M69" s="213"/>
      <c r="N69" s="213"/>
      <c r="O69" s="213"/>
      <c r="P69" s="214"/>
      <c r="Q69" s="214"/>
      <c r="R69" s="214"/>
      <c r="S69" s="76"/>
      <c r="T69" s="171"/>
      <c r="U69" s="171"/>
      <c r="V69" s="171"/>
      <c r="W69" s="171"/>
      <c r="X69" s="179"/>
      <c r="Y69" s="179"/>
    </row>
    <row r="70" spans="2:25" ht="12.5" x14ac:dyDescent="0.25">
      <c r="L70" s="52"/>
      <c r="M70" s="213"/>
      <c r="N70" s="213"/>
      <c r="O70" s="213"/>
      <c r="P70" s="214"/>
      <c r="Q70" s="214"/>
      <c r="R70" s="214"/>
      <c r="S70" s="76"/>
      <c r="T70" s="171"/>
      <c r="U70" s="171"/>
      <c r="V70" s="171"/>
      <c r="W70" s="171"/>
      <c r="X70" s="179"/>
      <c r="Y70" s="179"/>
    </row>
    <row r="71" spans="2:25" ht="12.5" x14ac:dyDescent="0.25">
      <c r="L71" s="52"/>
      <c r="M71" s="213"/>
      <c r="N71" s="213"/>
      <c r="O71" s="213"/>
      <c r="P71" s="214"/>
      <c r="Q71" s="214"/>
      <c r="R71" s="214"/>
      <c r="S71" s="76"/>
      <c r="T71" s="171"/>
      <c r="U71" s="171"/>
      <c r="V71" s="171"/>
      <c r="W71" s="171"/>
      <c r="X71" s="179"/>
      <c r="Y71" s="179"/>
    </row>
    <row r="72" spans="2:25" ht="12.5" x14ac:dyDescent="0.25">
      <c r="L72" s="52"/>
      <c r="M72" s="213"/>
      <c r="N72" s="213"/>
      <c r="O72" s="213"/>
      <c r="P72" s="214"/>
      <c r="Q72" s="214"/>
      <c r="R72" s="214"/>
      <c r="S72" s="76"/>
      <c r="T72" s="171"/>
      <c r="U72" s="171"/>
      <c r="V72" s="171"/>
      <c r="W72" s="171"/>
      <c r="X72" s="179"/>
      <c r="Y72" s="179"/>
    </row>
    <row r="73" spans="2:25" ht="12.5" x14ac:dyDescent="0.25">
      <c r="L73" s="52"/>
      <c r="M73" s="213"/>
      <c r="N73" s="213"/>
      <c r="O73" s="213"/>
      <c r="P73" s="214"/>
      <c r="Q73" s="214"/>
      <c r="R73" s="214"/>
      <c r="S73" s="76"/>
      <c r="T73" s="171"/>
      <c r="U73" s="171"/>
      <c r="V73" s="171"/>
      <c r="W73" s="171"/>
      <c r="X73" s="179"/>
      <c r="Y73" s="179"/>
    </row>
    <row r="74" spans="2:25" ht="12.5" x14ac:dyDescent="0.25">
      <c r="L74" s="52"/>
      <c r="M74" s="213"/>
      <c r="N74" s="213"/>
      <c r="O74" s="213"/>
      <c r="P74" s="214"/>
      <c r="Q74" s="214"/>
      <c r="R74" s="214"/>
      <c r="S74" s="76"/>
      <c r="T74" s="171"/>
      <c r="U74" s="171"/>
      <c r="V74" s="171"/>
      <c r="W74" s="171"/>
      <c r="X74" s="179"/>
      <c r="Y74" s="179"/>
    </row>
    <row r="75" spans="2:25" ht="12.5" x14ac:dyDescent="0.25">
      <c r="L75" s="52"/>
      <c r="M75" s="213"/>
      <c r="N75" s="213"/>
      <c r="O75" s="213"/>
      <c r="P75" s="214"/>
      <c r="Q75" s="214"/>
      <c r="R75" s="214"/>
      <c r="S75" s="76"/>
      <c r="T75" s="171"/>
      <c r="U75" s="171"/>
      <c r="V75" s="171"/>
      <c r="W75" s="171"/>
      <c r="X75" s="179"/>
      <c r="Y75" s="179"/>
    </row>
    <row r="76" spans="2:25" x14ac:dyDescent="0.3">
      <c r="L76" s="52"/>
      <c r="M76" s="52"/>
      <c r="N76" s="52"/>
      <c r="O76" s="52"/>
      <c r="P76" s="50"/>
      <c r="Q76" s="50"/>
      <c r="R76" s="50"/>
      <c r="S76" s="50"/>
      <c r="T76" s="50"/>
      <c r="U76" s="50"/>
      <c r="V76" s="50"/>
      <c r="W76" s="50"/>
      <c r="X76" s="178"/>
      <c r="Y76" s="178"/>
    </row>
  </sheetData>
  <sheetProtection password="C462" sheet="1" objects="1" scenarios="1"/>
  <phoneticPr fontId="21" type="noConversion"/>
  <pageMargins left="0.39370078740157483" right="0.39370078740157483" top="0.98425196850393704" bottom="0.98425196850393704" header="0.51181102362204722" footer="0.51181102362204722"/>
  <pageSetup paperSize="9" scale="49" orientation="landscape" r:id="rId1"/>
  <headerFooter alignWithMargins="0">
    <oddFooter>&amp;F</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00B0F0"/>
    <pageSetUpPr fitToPage="1"/>
  </sheetPr>
  <dimension ref="A2:AE66"/>
  <sheetViews>
    <sheetView topLeftCell="O13" zoomScale="85" workbookViewId="0">
      <selection activeCell="Z66" sqref="Z66"/>
    </sheetView>
  </sheetViews>
  <sheetFormatPr defaultColWidth="9.1796875" defaultRowHeight="12" customHeight="1" x14ac:dyDescent="0.35"/>
  <cols>
    <col min="1" max="1" width="10.54296875" style="188" bestFit="1" customWidth="1"/>
    <col min="2" max="5" width="9.1796875" style="187"/>
    <col min="6" max="6" width="10.26953125" style="187" customWidth="1"/>
    <col min="7" max="8" width="9.1796875" style="187" customWidth="1"/>
    <col min="9" max="9" width="10.7265625" style="187" customWidth="1"/>
    <col min="10" max="12" width="10.7265625" style="188" customWidth="1"/>
    <col min="13" max="14" width="10.7265625" style="189" customWidth="1"/>
    <col min="15" max="19" width="10.7265625" style="187" customWidth="1"/>
    <col min="20" max="20" width="3.26953125" style="187" customWidth="1"/>
    <col min="21" max="23" width="10.7265625" style="187" customWidth="1"/>
    <col min="24" max="24" width="9.1796875" style="187" customWidth="1"/>
    <col min="25" max="25" width="10.81640625" style="188" customWidth="1"/>
    <col min="26" max="26" width="9.1796875" style="187"/>
    <col min="27" max="27" width="9.1796875" style="187" customWidth="1"/>
    <col min="28" max="28" width="9.1796875" style="187"/>
    <col min="29" max="29" width="11.26953125" style="189" bestFit="1" customWidth="1"/>
    <col min="30" max="30" width="9.7265625" style="189" customWidth="1"/>
    <col min="31" max="31" width="12.453125" style="189" customWidth="1"/>
    <col min="32" max="16384" width="9.1796875" style="189"/>
  </cols>
  <sheetData>
    <row r="2" spans="1:31" ht="12" customHeight="1" x14ac:dyDescent="0.35">
      <c r="B2" s="186" t="s">
        <v>219</v>
      </c>
      <c r="V2" s="1903" t="s">
        <v>280</v>
      </c>
    </row>
    <row r="3" spans="1:31" ht="12" customHeight="1" x14ac:dyDescent="0.35">
      <c r="V3" s="1904"/>
      <c r="X3" s="209" t="s">
        <v>250</v>
      </c>
    </row>
    <row r="4" spans="1:31" s="190" customFormat="1" ht="12" customHeight="1" x14ac:dyDescent="0.3">
      <c r="A4" s="188"/>
      <c r="B4" s="187"/>
      <c r="C4" s="187"/>
      <c r="D4" s="187"/>
      <c r="E4" s="187"/>
      <c r="F4" s="1905" t="s">
        <v>206</v>
      </c>
      <c r="G4" s="1905" t="s">
        <v>207</v>
      </c>
      <c r="H4" s="1905" t="s">
        <v>218</v>
      </c>
      <c r="I4" s="1906" t="s">
        <v>274</v>
      </c>
      <c r="J4" s="1907" t="s">
        <v>208</v>
      </c>
      <c r="K4" s="1907" t="s">
        <v>275</v>
      </c>
      <c r="L4" s="1907" t="s">
        <v>276</v>
      </c>
      <c r="M4" s="1907" t="s">
        <v>209</v>
      </c>
      <c r="N4" s="1907" t="s">
        <v>210</v>
      </c>
      <c r="O4" s="1907" t="s">
        <v>211</v>
      </c>
      <c r="P4" s="1907" t="s">
        <v>222</v>
      </c>
      <c r="Q4" s="1907" t="s">
        <v>277</v>
      </c>
      <c r="R4" s="1907" t="s">
        <v>228</v>
      </c>
      <c r="S4" s="1907" t="s">
        <v>229</v>
      </c>
      <c r="T4" s="209"/>
      <c r="U4" s="1907" t="s">
        <v>278</v>
      </c>
      <c r="V4" s="1910" t="s">
        <v>279</v>
      </c>
      <c r="W4" s="209"/>
      <c r="X4" s="1907" t="s">
        <v>249</v>
      </c>
      <c r="Y4" s="1907" t="s">
        <v>281</v>
      </c>
      <c r="Z4" s="1906" t="s">
        <v>430</v>
      </c>
      <c r="AA4" s="1907" t="s">
        <v>431</v>
      </c>
      <c r="AB4" s="1907" t="s">
        <v>432</v>
      </c>
      <c r="AC4" s="1910" t="s">
        <v>433</v>
      </c>
      <c r="AD4" s="1907" t="s">
        <v>434</v>
      </c>
      <c r="AE4" s="1907" t="s">
        <v>435</v>
      </c>
    </row>
    <row r="5" spans="1:31" s="190" customFormat="1" ht="12" customHeight="1" x14ac:dyDescent="0.3">
      <c r="A5" s="188"/>
      <c r="B5" s="187"/>
      <c r="C5" s="187"/>
      <c r="D5" s="187"/>
      <c r="E5" s="187"/>
      <c r="F5" s="1905"/>
      <c r="G5" s="1905"/>
      <c r="H5" s="1905"/>
      <c r="I5" s="1906"/>
      <c r="J5" s="1907"/>
      <c r="K5" s="1907"/>
      <c r="L5" s="1907"/>
      <c r="M5" s="1907"/>
      <c r="N5" s="1907"/>
      <c r="O5" s="1907"/>
      <c r="P5" s="1907"/>
      <c r="Q5" s="1907"/>
      <c r="R5" s="1907"/>
      <c r="S5" s="1907"/>
      <c r="T5" s="209"/>
      <c r="U5" s="1907"/>
      <c r="V5" s="1911"/>
      <c r="W5" s="209"/>
      <c r="X5" s="1907"/>
      <c r="Y5" s="1907"/>
      <c r="Z5" s="1906"/>
      <c r="AA5" s="1907"/>
      <c r="AB5" s="1907"/>
      <c r="AC5" s="1911"/>
      <c r="AD5" s="1907"/>
      <c r="AE5" s="1907"/>
    </row>
    <row r="6" spans="1:31" s="190" customFormat="1" ht="12" customHeight="1" x14ac:dyDescent="0.3">
      <c r="A6" s="188"/>
      <c r="B6" s="1913" t="s">
        <v>158</v>
      </c>
      <c r="C6" s="1914"/>
      <c r="D6" s="1914"/>
      <c r="E6" s="1915"/>
      <c r="F6" s="1905"/>
      <c r="G6" s="1905"/>
      <c r="H6" s="1905"/>
      <c r="I6" s="1906"/>
      <c r="J6" s="1907"/>
      <c r="K6" s="1907"/>
      <c r="L6" s="1907"/>
      <c r="M6" s="1907"/>
      <c r="N6" s="1907"/>
      <c r="O6" s="1907"/>
      <c r="P6" s="1907"/>
      <c r="Q6" s="1907"/>
      <c r="R6" s="1907"/>
      <c r="S6" s="1907"/>
      <c r="T6" s="209"/>
      <c r="U6" s="1907"/>
      <c r="V6" s="1912"/>
      <c r="W6" s="209"/>
      <c r="X6" s="1907"/>
      <c r="Y6" s="1907"/>
      <c r="Z6" s="1906"/>
      <c r="AA6" s="1907"/>
      <c r="AB6" s="1907"/>
      <c r="AC6" s="1912"/>
      <c r="AD6" s="1907"/>
      <c r="AE6" s="1907"/>
    </row>
    <row r="7" spans="1:31" ht="12" customHeight="1" x14ac:dyDescent="0.35">
      <c r="A7" s="220">
        <v>9257010</v>
      </c>
      <c r="B7" s="1916" t="s">
        <v>86</v>
      </c>
      <c r="C7" s="1917"/>
      <c r="D7" s="1917"/>
      <c r="E7" s="1917"/>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row>
    <row r="8" spans="1:31" ht="12" customHeight="1" x14ac:dyDescent="0.35">
      <c r="A8" s="220">
        <v>9257030</v>
      </c>
      <c r="B8" s="1908" t="s">
        <v>161</v>
      </c>
      <c r="C8" s="1909"/>
      <c r="D8" s="1909"/>
      <c r="E8" s="1909"/>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67"/>
      <c r="AD8" s="194"/>
      <c r="AE8" s="194">
        <f t="shared" ref="AE8:AE26" si="1">SUM(Z8:AD8)</f>
        <v>0</v>
      </c>
    </row>
    <row r="9" spans="1:31" ht="12" customHeight="1" x14ac:dyDescent="0.35">
      <c r="A9" s="220">
        <v>9257031</v>
      </c>
      <c r="B9" s="1908" t="s">
        <v>162</v>
      </c>
      <c r="C9" s="1909"/>
      <c r="D9" s="1909"/>
      <c r="E9" s="1909"/>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67"/>
      <c r="AD9" s="194"/>
      <c r="AE9" s="194">
        <f t="shared" si="1"/>
        <v>0</v>
      </c>
    </row>
    <row r="10" spans="1:31" ht="12" customHeight="1" x14ac:dyDescent="0.35">
      <c r="A10" s="220">
        <v>9257008</v>
      </c>
      <c r="B10" s="1916" t="s">
        <v>87</v>
      </c>
      <c r="C10" s="1917"/>
      <c r="D10" s="1917"/>
      <c r="E10" s="1917"/>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row>
    <row r="11" spans="1:31" ht="12" customHeight="1" x14ac:dyDescent="0.35">
      <c r="A11" s="220">
        <v>9257002</v>
      </c>
      <c r="B11" s="1916" t="s">
        <v>53</v>
      </c>
      <c r="C11" s="1917"/>
      <c r="D11" s="1917"/>
      <c r="E11" s="1917"/>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67"/>
      <c r="AD11" s="194"/>
      <c r="AE11" s="194">
        <f t="shared" si="1"/>
        <v>0</v>
      </c>
    </row>
    <row r="12" spans="1:31" ht="12" customHeight="1" x14ac:dyDescent="0.35">
      <c r="A12" s="220">
        <v>9257005</v>
      </c>
      <c r="B12" s="1916" t="s">
        <v>88</v>
      </c>
      <c r="C12" s="1917"/>
      <c r="D12" s="1917"/>
      <c r="E12" s="1917"/>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67"/>
      <c r="AD12" s="194"/>
      <c r="AE12" s="194">
        <f t="shared" si="1"/>
        <v>35258</v>
      </c>
    </row>
    <row r="13" spans="1:31" ht="12" customHeight="1" x14ac:dyDescent="0.35">
      <c r="A13" s="220">
        <v>9257034</v>
      </c>
      <c r="B13" s="1916" t="s">
        <v>163</v>
      </c>
      <c r="C13" s="1917"/>
      <c r="D13" s="1917"/>
      <c r="E13" s="1917"/>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67"/>
      <c r="AD13" s="194"/>
      <c r="AE13" s="194">
        <f t="shared" si="1"/>
        <v>0</v>
      </c>
    </row>
    <row r="14" spans="1:31" ht="12" customHeight="1" x14ac:dyDescent="0.35">
      <c r="A14" s="220">
        <v>9257021</v>
      </c>
      <c r="B14" s="1916" t="s">
        <v>56</v>
      </c>
      <c r="C14" s="1917"/>
      <c r="D14" s="1917"/>
      <c r="E14" s="1917"/>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67"/>
      <c r="AD14" s="194"/>
      <c r="AE14" s="194">
        <f t="shared" si="1"/>
        <v>35258</v>
      </c>
    </row>
    <row r="15" spans="1:31" s="187" customFormat="1" ht="12" customHeight="1" x14ac:dyDescent="0.3">
      <c r="A15" s="220">
        <v>9257033</v>
      </c>
      <c r="B15" s="1916" t="s">
        <v>164</v>
      </c>
      <c r="C15" s="1917"/>
      <c r="D15" s="1917"/>
      <c r="E15" s="1917"/>
      <c r="F15" s="196">
        <v>35258</v>
      </c>
      <c r="G15" s="196">
        <v>35258</v>
      </c>
      <c r="H15" s="196">
        <f>35258</f>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row>
    <row r="16" spans="1:31" s="187" customFormat="1" ht="12" customHeight="1" x14ac:dyDescent="0.3">
      <c r="A16" s="220">
        <v>9257017</v>
      </c>
      <c r="B16" s="1916" t="s">
        <v>54</v>
      </c>
      <c r="C16" s="1917"/>
      <c r="D16" s="1917"/>
      <c r="E16" s="1917"/>
      <c r="F16" s="196">
        <v>55122</v>
      </c>
      <c r="G16" s="196">
        <v>35258</v>
      </c>
      <c r="H16" s="196">
        <f>(5/12)*35258</f>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row>
    <row r="17" spans="1:31" ht="12" customHeight="1" x14ac:dyDescent="0.35">
      <c r="A17" s="220">
        <v>9257015</v>
      </c>
      <c r="B17" s="1916" t="s">
        <v>94</v>
      </c>
      <c r="C17" s="1917"/>
      <c r="D17" s="1917"/>
      <c r="E17" s="1917"/>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67"/>
      <c r="AD17" s="194"/>
      <c r="AE17" s="194">
        <f t="shared" si="1"/>
        <v>56716.333333333336</v>
      </c>
    </row>
    <row r="18" spans="1:31" ht="12" customHeight="1" x14ac:dyDescent="0.35">
      <c r="A18" s="220">
        <v>9257016</v>
      </c>
      <c r="B18" s="1916" t="s">
        <v>95</v>
      </c>
      <c r="C18" s="1917"/>
      <c r="D18" s="1917"/>
      <c r="E18" s="1917"/>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67"/>
      <c r="AD18" s="194">
        <f>U18</f>
        <v>582568</v>
      </c>
      <c r="AE18" s="194">
        <f t="shared" si="1"/>
        <v>644624.66666666663</v>
      </c>
    </row>
    <row r="19" spans="1:31" ht="12" customHeight="1" x14ac:dyDescent="0.35">
      <c r="A19" s="220">
        <v>9257032</v>
      </c>
      <c r="B19" s="1918" t="s">
        <v>165</v>
      </c>
      <c r="C19" s="1919"/>
      <c r="D19" s="1919"/>
      <c r="E19" s="1920"/>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67"/>
      <c r="AD19" s="194"/>
      <c r="AE19" s="194">
        <f t="shared" si="1"/>
        <v>25000</v>
      </c>
    </row>
    <row r="20" spans="1:31" ht="12" customHeight="1" x14ac:dyDescent="0.35">
      <c r="A20" s="220">
        <v>9257025</v>
      </c>
      <c r="B20" s="1916" t="s">
        <v>52</v>
      </c>
      <c r="C20" s="1917"/>
      <c r="D20" s="1917"/>
      <c r="E20" s="1917"/>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row>
    <row r="21" spans="1:31" ht="12" customHeight="1" x14ac:dyDescent="0.35">
      <c r="A21" s="220">
        <v>9257011</v>
      </c>
      <c r="B21" s="1916" t="s">
        <v>89</v>
      </c>
      <c r="C21" s="1917"/>
      <c r="D21" s="1917"/>
      <c r="E21" s="1917"/>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row>
    <row r="22" spans="1:31" ht="12" customHeight="1" x14ac:dyDescent="0.35">
      <c r="A22" s="220">
        <v>9257009</v>
      </c>
      <c r="B22" s="1916" t="s">
        <v>93</v>
      </c>
      <c r="C22" s="1917"/>
      <c r="D22" s="1917"/>
      <c r="E22" s="1917"/>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row>
    <row r="23" spans="1:31" ht="12" customHeight="1" x14ac:dyDescent="0.35">
      <c r="A23" s="220">
        <v>9257024</v>
      </c>
      <c r="B23" s="1916" t="s">
        <v>90</v>
      </c>
      <c r="C23" s="1917"/>
      <c r="D23" s="1917"/>
      <c r="E23" s="1917"/>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67"/>
      <c r="AD23" s="194"/>
      <c r="AE23" s="194">
        <f t="shared" si="1"/>
        <v>60258</v>
      </c>
    </row>
    <row r="24" spans="1:31" ht="12" customHeight="1" x14ac:dyDescent="0.35">
      <c r="A24" s="220">
        <v>9257028</v>
      </c>
      <c r="B24" s="1916" t="s">
        <v>135</v>
      </c>
      <c r="C24" s="1917"/>
      <c r="D24" s="1917"/>
      <c r="E24" s="1917"/>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67"/>
      <c r="AD24" s="194"/>
      <c r="AE24" s="194">
        <f t="shared" si="1"/>
        <v>35258</v>
      </c>
    </row>
    <row r="25" spans="1:31" ht="12" customHeight="1" x14ac:dyDescent="0.35">
      <c r="A25" s="220">
        <v>9257029</v>
      </c>
      <c r="B25" s="1921" t="s">
        <v>91</v>
      </c>
      <c r="C25" s="1922"/>
      <c r="D25" s="1922"/>
      <c r="E25" s="1923"/>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67"/>
      <c r="AD25" s="194"/>
      <c r="AE25" s="194">
        <f t="shared" si="1"/>
        <v>25000</v>
      </c>
    </row>
    <row r="26" spans="1:31" ht="12" customHeight="1" x14ac:dyDescent="0.35">
      <c r="B26" s="1924" t="s">
        <v>62</v>
      </c>
      <c r="C26" s="1924"/>
      <c r="D26" s="1924"/>
      <c r="E26" s="1924"/>
      <c r="F26" s="197">
        <f t="shared" ref="F26:V26" si="2">SUM(F7:F25)</f>
        <v>301928</v>
      </c>
      <c r="G26" s="197">
        <f t="shared" si="2"/>
        <v>282064</v>
      </c>
      <c r="H26" s="197">
        <f t="shared" si="2"/>
        <v>317322</v>
      </c>
      <c r="I26" s="197">
        <f t="shared" si="2"/>
        <v>317322</v>
      </c>
      <c r="J26" s="197">
        <f t="shared" si="2"/>
        <v>360000</v>
      </c>
      <c r="K26" s="197">
        <f t="shared" si="2"/>
        <v>360000</v>
      </c>
      <c r="L26" s="197">
        <f t="shared" si="2"/>
        <v>360000</v>
      </c>
      <c r="M26" s="198">
        <f t="shared" si="2"/>
        <v>18.5</v>
      </c>
      <c r="N26" s="197">
        <f t="shared" si="2"/>
        <v>201225.5</v>
      </c>
      <c r="O26" s="197">
        <f t="shared" si="2"/>
        <v>207810</v>
      </c>
      <c r="P26" s="197">
        <f t="shared" si="2"/>
        <v>191936</v>
      </c>
      <c r="Q26" s="197">
        <f t="shared" si="2"/>
        <v>191936</v>
      </c>
      <c r="R26" s="197">
        <f t="shared" si="2"/>
        <v>1184632</v>
      </c>
      <c r="S26" s="197">
        <f t="shared" si="2"/>
        <v>978817</v>
      </c>
      <c r="T26" s="197">
        <f t="shared" si="2"/>
        <v>0</v>
      </c>
      <c r="U26" s="197">
        <f t="shared" si="2"/>
        <v>910212</v>
      </c>
      <c r="V26" s="197">
        <f t="shared" si="2"/>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row>
    <row r="27" spans="1:31" ht="15" customHeight="1" x14ac:dyDescent="0.35"/>
    <row r="28" spans="1:31" ht="15" hidden="1" customHeight="1" x14ac:dyDescent="0.35">
      <c r="B28" s="199" t="s">
        <v>115</v>
      </c>
    </row>
    <row r="29" spans="1:31" ht="15" hidden="1" customHeight="1" x14ac:dyDescent="0.35">
      <c r="B29" s="200" t="s">
        <v>213</v>
      </c>
    </row>
    <row r="30" spans="1:31" ht="15" hidden="1" customHeight="1" x14ac:dyDescent="0.35">
      <c r="B30" s="1930" t="s">
        <v>223</v>
      </c>
      <c r="C30" s="1930"/>
      <c r="D30" s="1930"/>
      <c r="E30" s="1930"/>
      <c r="F30" s="1930"/>
      <c r="G30" s="1930"/>
      <c r="H30" s="1930"/>
      <c r="I30" s="1930"/>
      <c r="J30" s="1930"/>
      <c r="K30" s="1930"/>
      <c r="L30" s="1930"/>
      <c r="M30" s="1930"/>
      <c r="N30" s="1930"/>
      <c r="O30" s="1930"/>
      <c r="P30" s="1930"/>
      <c r="Q30" s="1930"/>
      <c r="R30" s="1930"/>
      <c r="S30" s="1930"/>
      <c r="T30" s="1930"/>
      <c r="U30" s="1930"/>
      <c r="V30" s="1930"/>
    </row>
    <row r="31" spans="1:31" ht="15" hidden="1" customHeight="1" x14ac:dyDescent="0.35">
      <c r="B31" s="1930"/>
      <c r="C31" s="1930"/>
      <c r="D31" s="1930"/>
      <c r="E31" s="1930"/>
      <c r="F31" s="1930"/>
      <c r="G31" s="1930"/>
      <c r="H31" s="1930"/>
      <c r="I31" s="1930"/>
      <c r="J31" s="1930"/>
      <c r="K31" s="1930"/>
      <c r="L31" s="1930"/>
      <c r="M31" s="1930"/>
      <c r="N31" s="1930"/>
      <c r="O31" s="1930"/>
      <c r="P31" s="1930"/>
      <c r="Q31" s="1930"/>
      <c r="R31" s="1930"/>
      <c r="S31" s="1930"/>
      <c r="T31" s="1930"/>
      <c r="U31" s="1930"/>
      <c r="V31" s="1930"/>
    </row>
    <row r="32" spans="1:31" ht="15" hidden="1" customHeight="1" x14ac:dyDescent="0.35">
      <c r="B32" s="1930"/>
      <c r="C32" s="1930"/>
      <c r="D32" s="1930"/>
      <c r="E32" s="1930"/>
      <c r="F32" s="1930"/>
      <c r="G32" s="1930"/>
      <c r="H32" s="1930"/>
      <c r="I32" s="1930"/>
      <c r="J32" s="1930"/>
      <c r="K32" s="1930"/>
      <c r="L32" s="1930"/>
      <c r="M32" s="1930"/>
      <c r="N32" s="1930"/>
      <c r="O32" s="1930"/>
      <c r="P32" s="1930"/>
      <c r="Q32" s="1930"/>
      <c r="R32" s="1930"/>
      <c r="S32" s="1930"/>
      <c r="T32" s="1930"/>
      <c r="U32" s="1930"/>
      <c r="V32" s="1930"/>
    </row>
    <row r="33" spans="1:28" ht="18.75" hidden="1" customHeight="1" x14ac:dyDescent="0.35">
      <c r="B33" s="1930"/>
      <c r="C33" s="1930"/>
      <c r="D33" s="1930"/>
      <c r="E33" s="1930"/>
      <c r="F33" s="1930"/>
      <c r="G33" s="1930"/>
      <c r="H33" s="1930"/>
      <c r="I33" s="1930"/>
      <c r="J33" s="1930"/>
      <c r="K33" s="1930"/>
      <c r="L33" s="1930"/>
      <c r="M33" s="1930"/>
      <c r="N33" s="1930"/>
      <c r="O33" s="1930"/>
      <c r="P33" s="1930"/>
      <c r="Q33" s="1930"/>
      <c r="R33" s="1930"/>
      <c r="S33" s="1930"/>
      <c r="T33" s="1930"/>
      <c r="U33" s="1930"/>
      <c r="V33" s="1930"/>
    </row>
    <row r="34" spans="1:28" ht="15" hidden="1" customHeight="1" x14ac:dyDescent="0.35">
      <c r="B34" s="201"/>
      <c r="C34" s="201"/>
      <c r="D34" s="201"/>
      <c r="E34" s="201"/>
      <c r="F34" s="201"/>
      <c r="G34" s="201"/>
      <c r="H34" s="201"/>
      <c r="I34" s="201"/>
      <c r="J34" s="202"/>
      <c r="K34" s="202"/>
      <c r="L34" s="202"/>
      <c r="M34" s="201"/>
      <c r="N34" s="201"/>
    </row>
    <row r="35" spans="1:28" ht="15" hidden="1" customHeight="1" x14ac:dyDescent="0.35">
      <c r="B35" s="200" t="s">
        <v>139</v>
      </c>
    </row>
    <row r="36" spans="1:28" ht="15" hidden="1" customHeight="1" x14ac:dyDescent="0.35">
      <c r="B36" s="1930" t="s">
        <v>214</v>
      </c>
      <c r="C36" s="1930"/>
      <c r="D36" s="1930"/>
      <c r="E36" s="1930"/>
      <c r="F36" s="1930"/>
      <c r="G36" s="1930"/>
      <c r="H36" s="1930"/>
      <c r="I36" s="1930"/>
      <c r="J36" s="1930"/>
      <c r="K36" s="1930"/>
      <c r="L36" s="1930"/>
      <c r="M36" s="1930"/>
      <c r="N36" s="1930"/>
      <c r="O36" s="1930"/>
      <c r="P36" s="1930"/>
      <c r="Q36" s="1930"/>
      <c r="R36" s="1930"/>
      <c r="S36" s="1930"/>
      <c r="T36" s="1930"/>
      <c r="U36" s="1930"/>
      <c r="V36" s="1930"/>
    </row>
    <row r="37" spans="1:28" ht="15" hidden="1" customHeight="1" x14ac:dyDescent="0.35">
      <c r="B37" s="1930"/>
      <c r="C37" s="1930"/>
      <c r="D37" s="1930"/>
      <c r="E37" s="1930"/>
      <c r="F37" s="1930"/>
      <c r="G37" s="1930"/>
      <c r="H37" s="1930"/>
      <c r="I37" s="1930"/>
      <c r="J37" s="1930"/>
      <c r="K37" s="1930"/>
      <c r="L37" s="1930"/>
      <c r="M37" s="1930"/>
      <c r="N37" s="1930"/>
      <c r="O37" s="1930"/>
      <c r="P37" s="1930"/>
      <c r="Q37" s="1930"/>
      <c r="R37" s="1930"/>
      <c r="S37" s="1930"/>
      <c r="T37" s="1930"/>
      <c r="U37" s="1930"/>
      <c r="V37" s="1930"/>
    </row>
    <row r="38" spans="1:28" ht="23.25" hidden="1" customHeight="1" x14ac:dyDescent="0.35">
      <c r="B38" s="1930"/>
      <c r="C38" s="1930"/>
      <c r="D38" s="1930"/>
      <c r="E38" s="1930"/>
      <c r="F38" s="1930"/>
      <c r="G38" s="1930"/>
      <c r="H38" s="1930"/>
      <c r="I38" s="1930"/>
      <c r="J38" s="1930"/>
      <c r="K38" s="1930"/>
      <c r="L38" s="1930"/>
      <c r="M38" s="1930"/>
      <c r="N38" s="1930"/>
      <c r="O38" s="1930"/>
      <c r="P38" s="1930"/>
      <c r="Q38" s="1930"/>
      <c r="R38" s="1930"/>
      <c r="S38" s="1930"/>
      <c r="T38" s="1930"/>
      <c r="U38" s="1930"/>
      <c r="V38" s="1930"/>
    </row>
    <row r="39" spans="1:28" s="205" customFormat="1" ht="15.5" hidden="1" x14ac:dyDescent="0.3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5" hidden="1" x14ac:dyDescent="0.3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35">
      <c r="A41" s="188"/>
      <c r="B41" s="1931" t="s">
        <v>216</v>
      </c>
      <c r="C41" s="1931"/>
      <c r="D41" s="1931"/>
      <c r="E41" s="1931"/>
      <c r="F41" s="1931"/>
      <c r="G41" s="1931"/>
      <c r="H41" s="1931"/>
      <c r="I41" s="1931"/>
      <c r="J41" s="1931"/>
      <c r="K41" s="1931"/>
      <c r="L41" s="1931"/>
      <c r="M41" s="1931"/>
      <c r="N41" s="1931"/>
      <c r="O41" s="1931"/>
      <c r="P41" s="1931"/>
      <c r="Q41" s="1931"/>
      <c r="R41" s="1931"/>
      <c r="S41" s="1931"/>
      <c r="T41" s="1931"/>
      <c r="U41" s="1931"/>
      <c r="V41" s="1931"/>
      <c r="W41" s="204"/>
      <c r="X41" s="204"/>
      <c r="Y41" s="188"/>
      <c r="Z41" s="204"/>
      <c r="AA41" s="204"/>
      <c r="AB41" s="204"/>
    </row>
    <row r="42" spans="1:28" s="205" customFormat="1" ht="15.5" hidden="1" x14ac:dyDescent="0.35">
      <c r="A42" s="188"/>
      <c r="B42" s="1931"/>
      <c r="C42" s="1931"/>
      <c r="D42" s="1931"/>
      <c r="E42" s="1931"/>
      <c r="F42" s="1931"/>
      <c r="G42" s="1931"/>
      <c r="H42" s="1931"/>
      <c r="I42" s="1931"/>
      <c r="J42" s="1931"/>
      <c r="K42" s="1931"/>
      <c r="L42" s="1931"/>
      <c r="M42" s="1931"/>
      <c r="N42" s="1931"/>
      <c r="O42" s="1931"/>
      <c r="P42" s="1931"/>
      <c r="Q42" s="1931"/>
      <c r="R42" s="1931"/>
      <c r="S42" s="1931"/>
      <c r="T42" s="1931"/>
      <c r="U42" s="1931"/>
      <c r="V42" s="1931"/>
      <c r="W42" s="204"/>
      <c r="X42" s="204"/>
      <c r="Y42" s="188"/>
      <c r="Z42" s="204"/>
      <c r="AA42" s="204"/>
      <c r="AB42" s="204"/>
    </row>
    <row r="43" spans="1:28" s="205" customFormat="1" ht="15.5" hidden="1" x14ac:dyDescent="0.35">
      <c r="A43" s="188"/>
      <c r="B43" s="1931"/>
      <c r="C43" s="1931"/>
      <c r="D43" s="1931"/>
      <c r="E43" s="1931"/>
      <c r="F43" s="1931"/>
      <c r="G43" s="1931"/>
      <c r="H43" s="1931"/>
      <c r="I43" s="1931"/>
      <c r="J43" s="1931"/>
      <c r="K43" s="1931"/>
      <c r="L43" s="1931"/>
      <c r="M43" s="1931"/>
      <c r="N43" s="1931"/>
      <c r="O43" s="1931"/>
      <c r="P43" s="1931"/>
      <c r="Q43" s="1931"/>
      <c r="R43" s="1931"/>
      <c r="S43" s="1931"/>
      <c r="T43" s="1931"/>
      <c r="U43" s="1931"/>
      <c r="V43" s="1931"/>
      <c r="W43" s="204"/>
      <c r="X43" s="204"/>
      <c r="Y43" s="188"/>
      <c r="Z43" s="204"/>
      <c r="AA43" s="204"/>
      <c r="AB43" s="204"/>
    </row>
    <row r="44" spans="1:28" s="205" customFormat="1" ht="15.5" hidden="1" x14ac:dyDescent="0.35">
      <c r="A44" s="188"/>
      <c r="B44" s="1931"/>
      <c r="C44" s="1931"/>
      <c r="D44" s="1931"/>
      <c r="E44" s="1931"/>
      <c r="F44" s="1931"/>
      <c r="G44" s="1931"/>
      <c r="H44" s="1931"/>
      <c r="I44" s="1931"/>
      <c r="J44" s="1931"/>
      <c r="K44" s="1931"/>
      <c r="L44" s="1931"/>
      <c r="M44" s="1931"/>
      <c r="N44" s="1931"/>
      <c r="O44" s="1931"/>
      <c r="P44" s="1931"/>
      <c r="Q44" s="1931"/>
      <c r="R44" s="1931"/>
      <c r="S44" s="1931"/>
      <c r="T44" s="1931"/>
      <c r="U44" s="1931"/>
      <c r="V44" s="1931"/>
      <c r="W44" s="204"/>
      <c r="X44" s="204"/>
      <c r="Y44" s="188"/>
      <c r="Z44" s="204"/>
      <c r="AA44" s="204"/>
      <c r="AB44" s="204"/>
    </row>
    <row r="45" spans="1:28" s="205" customFormat="1" ht="15" hidden="1" customHeight="1" x14ac:dyDescent="0.3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35">
      <c r="B46" s="1930" t="s">
        <v>217</v>
      </c>
      <c r="C46" s="1930"/>
      <c r="D46" s="1930"/>
      <c r="E46" s="1930"/>
      <c r="F46" s="1930"/>
      <c r="G46" s="1930"/>
      <c r="H46" s="1930"/>
      <c r="I46" s="1930"/>
      <c r="J46" s="1930"/>
      <c r="K46" s="1930"/>
      <c r="L46" s="1930"/>
      <c r="M46" s="1930"/>
      <c r="N46" s="1930"/>
      <c r="O46" s="1930"/>
      <c r="P46" s="1930"/>
      <c r="Q46" s="1930"/>
      <c r="R46" s="1930"/>
      <c r="S46" s="1930"/>
      <c r="T46" s="1930"/>
      <c r="U46" s="1930"/>
      <c r="V46" s="1930"/>
    </row>
    <row r="47" spans="1:28" ht="15.5" hidden="1" x14ac:dyDescent="0.35">
      <c r="B47" s="1930"/>
      <c r="C47" s="1930"/>
      <c r="D47" s="1930"/>
      <c r="E47" s="1930"/>
      <c r="F47" s="1930"/>
      <c r="G47" s="1930"/>
      <c r="H47" s="1930"/>
      <c r="I47" s="1930"/>
      <c r="J47" s="1930"/>
      <c r="K47" s="1930"/>
      <c r="L47" s="1930"/>
      <c r="M47" s="1930"/>
      <c r="N47" s="1930"/>
      <c r="O47" s="1930"/>
      <c r="P47" s="1930"/>
      <c r="Q47" s="1930"/>
      <c r="R47" s="1930"/>
      <c r="S47" s="1930"/>
      <c r="T47" s="1930"/>
      <c r="U47" s="1930"/>
      <c r="V47" s="1930"/>
    </row>
    <row r="48" spans="1:28" ht="15" hidden="1" customHeight="1" x14ac:dyDescent="0.35">
      <c r="B48" s="1930" t="s">
        <v>221</v>
      </c>
      <c r="C48" s="1930"/>
      <c r="D48" s="1930"/>
      <c r="E48" s="1930"/>
      <c r="F48" s="1930"/>
      <c r="G48" s="1930"/>
      <c r="H48" s="1930"/>
      <c r="I48" s="1930"/>
      <c r="J48" s="1930"/>
      <c r="K48" s="1930"/>
      <c r="L48" s="1930"/>
      <c r="M48" s="1930"/>
      <c r="N48" s="1930"/>
      <c r="O48" s="1930"/>
      <c r="P48" s="1930"/>
      <c r="Q48" s="1930"/>
      <c r="R48" s="1930"/>
      <c r="S48" s="1930"/>
      <c r="T48" s="1930"/>
      <c r="U48" s="1930"/>
      <c r="V48" s="1930"/>
    </row>
    <row r="49" spans="1:31" ht="37.5" hidden="1" customHeight="1" x14ac:dyDescent="0.35">
      <c r="B49" s="1930"/>
      <c r="C49" s="1930"/>
      <c r="D49" s="1930"/>
      <c r="E49" s="1930"/>
      <c r="F49" s="1930"/>
      <c r="G49" s="1930"/>
      <c r="H49" s="1930"/>
      <c r="I49" s="1930"/>
      <c r="J49" s="1930"/>
      <c r="K49" s="1930"/>
      <c r="L49" s="1930"/>
      <c r="M49" s="1930"/>
      <c r="N49" s="1930"/>
      <c r="O49" s="1930"/>
      <c r="P49" s="1930"/>
      <c r="Q49" s="1930"/>
      <c r="R49" s="1930"/>
      <c r="S49" s="1930"/>
      <c r="T49" s="1930"/>
      <c r="U49" s="1930"/>
      <c r="V49" s="1930"/>
    </row>
    <row r="50" spans="1:31" ht="15" hidden="1" customHeight="1" x14ac:dyDescent="0.35"/>
    <row r="51" spans="1:31" ht="15" hidden="1" customHeight="1" x14ac:dyDescent="0.35">
      <c r="B51" s="200" t="s">
        <v>184</v>
      </c>
      <c r="F51" s="211" t="s">
        <v>142</v>
      </c>
      <c r="G51" s="211" t="s">
        <v>225</v>
      </c>
    </row>
    <row r="52" spans="1:31" ht="15" hidden="1" customHeight="1" x14ac:dyDescent="0.35">
      <c r="A52" s="188">
        <v>9257021</v>
      </c>
      <c r="B52" s="1908" t="s">
        <v>56</v>
      </c>
      <c r="C52" s="1909"/>
      <c r="D52" s="1909"/>
      <c r="E52" s="1932"/>
      <c r="F52" s="194">
        <v>274420</v>
      </c>
      <c r="G52" s="194">
        <f>F52*(3/12)</f>
        <v>68605</v>
      </c>
      <c r="J52" s="188" t="s">
        <v>226</v>
      </c>
    </row>
    <row r="53" spans="1:31" ht="15" hidden="1" customHeight="1" x14ac:dyDescent="0.35">
      <c r="A53" s="188">
        <v>9257016</v>
      </c>
      <c r="B53" s="1916" t="s">
        <v>95</v>
      </c>
      <c r="C53" s="1917"/>
      <c r="D53" s="1917"/>
      <c r="E53" s="1927"/>
      <c r="F53" s="194">
        <v>582568</v>
      </c>
      <c r="G53" s="194">
        <f>F53</f>
        <v>582568</v>
      </c>
    </row>
    <row r="54" spans="1:31" ht="15" hidden="1" customHeight="1" x14ac:dyDescent="0.35">
      <c r="A54" s="188">
        <v>9257025</v>
      </c>
      <c r="B54" s="1916" t="s">
        <v>52</v>
      </c>
      <c r="C54" s="1917"/>
      <c r="D54" s="1917"/>
      <c r="E54" s="1927"/>
      <c r="F54" s="194">
        <v>327644</v>
      </c>
      <c r="G54" s="194">
        <f>F54</f>
        <v>327644</v>
      </c>
    </row>
    <row r="55" spans="1:31" ht="15" hidden="1" customHeight="1" x14ac:dyDescent="0.35">
      <c r="F55" s="210">
        <f>SUM(F52:F54)</f>
        <v>1184632</v>
      </c>
      <c r="G55" s="212">
        <f>SUM(G52:G54)</f>
        <v>978817</v>
      </c>
      <c r="H55" s="187" t="s">
        <v>227</v>
      </c>
    </row>
    <row r="56" spans="1:31" ht="15" hidden="1" customHeight="1" x14ac:dyDescent="0.35">
      <c r="F56" s="208"/>
      <c r="G56" s="208"/>
    </row>
    <row r="57" spans="1:31" ht="15" hidden="1" customHeight="1" x14ac:dyDescent="0.35">
      <c r="B57" s="187" t="s">
        <v>224</v>
      </c>
    </row>
    <row r="58" spans="1:31" ht="15" hidden="1" customHeight="1" x14ac:dyDescent="0.35"/>
    <row r="59" spans="1:31" ht="15" customHeight="1" x14ac:dyDescent="0.35">
      <c r="Z59" s="188" t="s">
        <v>402</v>
      </c>
      <c r="AA59" s="366">
        <f>L26-AA26</f>
        <v>260000</v>
      </c>
      <c r="AB59" s="366">
        <f>Q26-AB26</f>
        <v>111962.66666666666</v>
      </c>
      <c r="AC59" s="366">
        <f>206000-AC26</f>
        <v>77249.999999999971</v>
      </c>
      <c r="AD59" s="366" t="s">
        <v>402</v>
      </c>
      <c r="AE59" s="208"/>
    </row>
    <row r="60" spans="1:31" ht="15" customHeight="1" x14ac:dyDescent="0.35">
      <c r="AC60" s="366"/>
      <c r="AD60" s="208"/>
      <c r="AE60" s="208"/>
    </row>
    <row r="61" spans="1:31" ht="15" customHeight="1" x14ac:dyDescent="0.35">
      <c r="AA61" s="188" t="s">
        <v>402</v>
      </c>
      <c r="AB61" s="188" t="s">
        <v>402</v>
      </c>
      <c r="AC61" s="188" t="s">
        <v>402</v>
      </c>
      <c r="AD61" s="208"/>
      <c r="AE61" s="208"/>
    </row>
    <row r="62" spans="1:31" ht="15" customHeight="1" x14ac:dyDescent="0.35">
      <c r="AA62" s="208">
        <f>((L18+L19+L23+L24+L25)*(7/12))+L11</f>
        <v>235000</v>
      </c>
      <c r="AB62" s="366">
        <f>Q26*(7/12)</f>
        <v>111962.66666666667</v>
      </c>
      <c r="AC62" s="366">
        <f>(7/12)*206000</f>
        <v>120166.66666666667</v>
      </c>
      <c r="AD62" s="208"/>
      <c r="AE62" s="208"/>
    </row>
    <row r="63" spans="1:31" ht="15" customHeight="1" x14ac:dyDescent="0.35">
      <c r="AC63" s="208"/>
      <c r="AD63" s="208"/>
      <c r="AE63" s="208"/>
    </row>
    <row r="64" spans="1:31" ht="12" customHeight="1" x14ac:dyDescent="0.35">
      <c r="Z64" s="208">
        <f>I26</f>
        <v>317322</v>
      </c>
      <c r="AA64" s="208">
        <f>L26</f>
        <v>360000</v>
      </c>
      <c r="AB64" s="208">
        <f>Q26</f>
        <v>191936</v>
      </c>
      <c r="AC64" s="366">
        <f>206000</f>
        <v>206000</v>
      </c>
      <c r="AD64" s="366">
        <f>U26</f>
        <v>910212</v>
      </c>
      <c r="AE64" s="366">
        <f>SUM(Z64:AD64)</f>
        <v>1985470</v>
      </c>
    </row>
    <row r="65" spans="2:31" s="189" customFormat="1" ht="12" customHeight="1" x14ac:dyDescent="0.3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1" s="189" customFormat="1" ht="12" customHeight="1" x14ac:dyDescent="0.3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row>
  </sheetData>
  <mergeCells count="54">
    <mergeCell ref="Y4:Y6"/>
    <mergeCell ref="AC4:AC6"/>
    <mergeCell ref="AE4:AE6"/>
    <mergeCell ref="AD4:AD6"/>
    <mergeCell ref="AB4:AB6"/>
    <mergeCell ref="Z4:Z6"/>
    <mergeCell ref="AA4:AA6"/>
    <mergeCell ref="B54:E54"/>
    <mergeCell ref="R4:R6"/>
    <mergeCell ref="O4:O6"/>
    <mergeCell ref="B6:E6"/>
    <mergeCell ref="F4:F6"/>
    <mergeCell ref="J4:J6"/>
    <mergeCell ref="I4:I6"/>
    <mergeCell ref="K4:K6"/>
    <mergeCell ref="B12:E12"/>
    <mergeCell ref="B13:E13"/>
    <mergeCell ref="B11:E11"/>
    <mergeCell ref="G4:G6"/>
    <mergeCell ref="B7:E7"/>
    <mergeCell ref="B8:E8"/>
    <mergeCell ref="B9:E9"/>
    <mergeCell ref="B10:E10"/>
    <mergeCell ref="B52:E52"/>
    <mergeCell ref="B53:E53"/>
    <mergeCell ref="B22:E22"/>
    <mergeCell ref="B23:E23"/>
    <mergeCell ref="B24:E24"/>
    <mergeCell ref="B48:V49"/>
    <mergeCell ref="X4:X6"/>
    <mergeCell ref="B25:E25"/>
    <mergeCell ref="B26:E26"/>
    <mergeCell ref="B14:E14"/>
    <mergeCell ref="V4:V6"/>
    <mergeCell ref="P4:P6"/>
    <mergeCell ref="B17:E17"/>
    <mergeCell ref="B18:E18"/>
    <mergeCell ref="B19:E19"/>
    <mergeCell ref="B20:E20"/>
    <mergeCell ref="M4:M6"/>
    <mergeCell ref="N4:N6"/>
    <mergeCell ref="V2:V3"/>
    <mergeCell ref="B36:V38"/>
    <mergeCell ref="B41:V44"/>
    <mergeCell ref="B46:V47"/>
    <mergeCell ref="B15:E15"/>
    <mergeCell ref="B16:E16"/>
    <mergeCell ref="B21:E21"/>
    <mergeCell ref="S4:S6"/>
    <mergeCell ref="H4:H6"/>
    <mergeCell ref="U4:U6"/>
    <mergeCell ref="L4:L6"/>
    <mergeCell ref="Q4:Q6"/>
    <mergeCell ref="B30:V33"/>
  </mergeCells>
  <phoneticPr fontId="61" type="noConversion"/>
  <pageMargins left="0.74803149606299213" right="0.74803149606299213" top="0.98425196850393704" bottom="0.98425196850393704" header="0.51181102362204722" footer="0.51181102362204722"/>
  <pageSetup paperSize="9" orientation="landscape" r:id="rId1"/>
  <headerFooter alignWithMargins="0"/>
  <drawing r:id="rId2"/>
  <legacyDrawing r:id="rId3"/>
  <oleObjects>
    <mc:AlternateContent xmlns:mc="http://schemas.openxmlformats.org/markup-compatibility/2006">
      <mc:Choice Requires="x14">
        <oleObject progId="Document" dvAspect="DVASPECT_ICON" shapeId="25601" r:id="rId4">
          <objectPr defaultSize="0" autoPict="0" r:id="rId5">
            <anchor moveWithCells="1">
              <from>
                <xdr:col>0</xdr:col>
                <xdr:colOff>146050</xdr:colOff>
                <xdr:row>71</xdr:row>
                <xdr:rowOff>19050</xdr:rowOff>
              </from>
              <to>
                <xdr:col>0</xdr:col>
                <xdr:colOff>660400</xdr:colOff>
                <xdr:row>73</xdr:row>
                <xdr:rowOff>95250</xdr:rowOff>
              </to>
            </anchor>
          </objectPr>
        </oleObject>
      </mc:Choice>
      <mc:Fallback>
        <oleObject progId="Document" dvAspect="DVASPECT_ICON" shapeId="25601"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00B050"/>
    <pageSetUpPr fitToPage="1"/>
  </sheetPr>
  <dimension ref="A2:T59"/>
  <sheetViews>
    <sheetView topLeftCell="A40" zoomScale="85" workbookViewId="0">
      <selection activeCell="H22" sqref="H22"/>
    </sheetView>
  </sheetViews>
  <sheetFormatPr defaultColWidth="9.1796875" defaultRowHeight="12.5" x14ac:dyDescent="0.25"/>
  <cols>
    <col min="1" max="1" width="33.81640625" style="6" customWidth="1"/>
    <col min="2" max="2" width="0" style="6" hidden="1" customWidth="1"/>
    <col min="3" max="3" width="9.1796875" style="6"/>
    <col min="4" max="14" width="9.1796875" style="46"/>
    <col min="15" max="17" width="9.1796875" style="6"/>
    <col min="18" max="18" width="10" style="6" customWidth="1"/>
    <col min="19" max="16384" width="9.1796875" style="6"/>
  </cols>
  <sheetData>
    <row r="2" spans="1:16" x14ac:dyDescent="0.25">
      <c r="A2" s="90" t="s">
        <v>117</v>
      </c>
    </row>
    <row r="4" spans="1:16" ht="39" x14ac:dyDescent="0.25">
      <c r="A4" s="95" t="s">
        <v>66</v>
      </c>
      <c r="B4" s="95" t="s">
        <v>118</v>
      </c>
      <c r="C4" s="96" t="s">
        <v>51</v>
      </c>
      <c r="D4" s="97" t="s">
        <v>119</v>
      </c>
      <c r="E4" s="98" t="s">
        <v>120</v>
      </c>
      <c r="F4" s="99" t="s">
        <v>121</v>
      </c>
      <c r="G4" s="98" t="s">
        <v>122</v>
      </c>
      <c r="H4" s="99" t="s">
        <v>123</v>
      </c>
      <c r="I4" s="98" t="s">
        <v>124</v>
      </c>
      <c r="J4" s="99" t="s">
        <v>125</v>
      </c>
      <c r="K4" s="98" t="s">
        <v>126</v>
      </c>
      <c r="L4" s="99" t="s">
        <v>127</v>
      </c>
      <c r="M4" s="100" t="s">
        <v>128</v>
      </c>
      <c r="N4" s="101" t="s">
        <v>129</v>
      </c>
      <c r="P4" s="223" t="s">
        <v>261</v>
      </c>
    </row>
    <row r="5" spans="1:16" ht="12.75" customHeight="1" x14ac:dyDescent="0.25">
      <c r="A5" s="102" t="s">
        <v>67</v>
      </c>
      <c r="B5" s="103" t="s">
        <v>130</v>
      </c>
      <c r="C5" s="104">
        <v>3</v>
      </c>
      <c r="D5" s="105">
        <f t="shared" ref="D5:D23" si="0">E5+G5+I5+K5+M5</f>
        <v>42</v>
      </c>
      <c r="E5" s="106">
        <v>13</v>
      </c>
      <c r="F5" s="107">
        <f>E5/D5</f>
        <v>0.30952380952380953</v>
      </c>
      <c r="G5" s="108">
        <v>21</v>
      </c>
      <c r="H5" s="107">
        <f t="shared" ref="H5:H23" si="1">G5/D5</f>
        <v>0.5</v>
      </c>
      <c r="I5" s="108">
        <v>0</v>
      </c>
      <c r="J5" s="107">
        <f t="shared" ref="J5:J23" si="2">I5/D5</f>
        <v>0</v>
      </c>
      <c r="K5" s="108">
        <v>2</v>
      </c>
      <c r="L5" s="107">
        <f t="shared" ref="L5:L23" si="3">K5/D5</f>
        <v>4.7619047619047616E-2</v>
      </c>
      <c r="M5" s="109">
        <v>6</v>
      </c>
      <c r="N5" s="110">
        <f t="shared" ref="N5:N23" si="4">M5/D5</f>
        <v>0.14285714285714285</v>
      </c>
      <c r="P5" s="45">
        <f>(F5*$E$54)+(H5*$G$54)+(J5*$I$54)+(L5*$K$54)+(N5*$M$54)+(N5*$M$56)</f>
        <v>9897.5167052398338</v>
      </c>
    </row>
    <row r="6" spans="1:16" ht="12.75" customHeight="1" x14ac:dyDescent="0.25">
      <c r="A6" s="102" t="s">
        <v>68</v>
      </c>
      <c r="B6" s="103" t="s">
        <v>131</v>
      </c>
      <c r="C6" s="104">
        <v>3</v>
      </c>
      <c r="D6" s="105">
        <f t="shared" si="0"/>
        <v>58</v>
      </c>
      <c r="E6" s="106">
        <v>7</v>
      </c>
      <c r="F6" s="107">
        <f t="shared" ref="F6:F23" si="5">E6/D6</f>
        <v>0.1206896551724138</v>
      </c>
      <c r="G6" s="108">
        <v>23</v>
      </c>
      <c r="H6" s="107">
        <f t="shared" si="1"/>
        <v>0.39655172413793105</v>
      </c>
      <c r="I6" s="108">
        <v>16</v>
      </c>
      <c r="J6" s="107">
        <f t="shared" si="2"/>
        <v>0.27586206896551724</v>
      </c>
      <c r="K6" s="108">
        <v>5</v>
      </c>
      <c r="L6" s="107">
        <f t="shared" si="3"/>
        <v>8.6206896551724144E-2</v>
      </c>
      <c r="M6" s="109">
        <v>7</v>
      </c>
      <c r="N6" s="110">
        <f t="shared" si="4"/>
        <v>0.1206896551724138</v>
      </c>
      <c r="P6" s="45">
        <f t="shared" ref="P6:P23" si="6">(F6*$E$54)+(H6*$G$54)+(J6*$I$54)+(L6*$K$54)+(N6*$M$54)+(N6*$M$56)</f>
        <v>8785.2859312602777</v>
      </c>
    </row>
    <row r="7" spans="1:16" ht="12.75" customHeight="1" x14ac:dyDescent="0.25">
      <c r="A7" s="102" t="s">
        <v>69</v>
      </c>
      <c r="B7" s="103" t="s">
        <v>132</v>
      </c>
      <c r="C7" s="104">
        <v>3</v>
      </c>
      <c r="D7" s="105">
        <f t="shared" si="0"/>
        <v>46</v>
      </c>
      <c r="E7" s="106">
        <v>15</v>
      </c>
      <c r="F7" s="107">
        <f t="shared" si="5"/>
        <v>0.32608695652173914</v>
      </c>
      <c r="G7" s="108">
        <v>16</v>
      </c>
      <c r="H7" s="107">
        <f t="shared" si="1"/>
        <v>0.34782608695652173</v>
      </c>
      <c r="I7" s="108">
        <v>0</v>
      </c>
      <c r="J7" s="107">
        <f t="shared" si="2"/>
        <v>0</v>
      </c>
      <c r="K7" s="108">
        <v>2</v>
      </c>
      <c r="L7" s="107">
        <f t="shared" si="3"/>
        <v>4.3478260869565216E-2</v>
      </c>
      <c r="M7" s="109">
        <v>13</v>
      </c>
      <c r="N7" s="110">
        <f t="shared" si="4"/>
        <v>0.28260869565217389</v>
      </c>
      <c r="P7" s="45">
        <f t="shared" si="6"/>
        <v>10926.489409838705</v>
      </c>
    </row>
    <row r="8" spans="1:16" ht="12.75" customHeight="1" x14ac:dyDescent="0.25">
      <c r="A8" s="102" t="s">
        <v>70</v>
      </c>
      <c r="B8" s="103" t="s">
        <v>130</v>
      </c>
      <c r="C8" s="104">
        <v>3</v>
      </c>
      <c r="D8" s="105">
        <f t="shared" si="0"/>
        <v>40</v>
      </c>
      <c r="E8" s="106">
        <v>14</v>
      </c>
      <c r="F8" s="107">
        <f t="shared" si="5"/>
        <v>0.35</v>
      </c>
      <c r="G8" s="108">
        <v>15</v>
      </c>
      <c r="H8" s="107">
        <f t="shared" si="1"/>
        <v>0.375</v>
      </c>
      <c r="I8" s="108">
        <v>1</v>
      </c>
      <c r="J8" s="107">
        <f t="shared" si="2"/>
        <v>2.5000000000000001E-2</v>
      </c>
      <c r="K8" s="108">
        <v>1</v>
      </c>
      <c r="L8" s="107">
        <f t="shared" si="3"/>
        <v>2.5000000000000001E-2</v>
      </c>
      <c r="M8" s="109">
        <v>9</v>
      </c>
      <c r="N8" s="110">
        <f t="shared" si="4"/>
        <v>0.22500000000000001</v>
      </c>
      <c r="P8" s="45">
        <f t="shared" si="6"/>
        <v>10520.494500332868</v>
      </c>
    </row>
    <row r="9" spans="1:16" ht="12.75" customHeight="1" x14ac:dyDescent="0.25">
      <c r="A9" s="102" t="s">
        <v>71</v>
      </c>
      <c r="B9" s="103" t="s">
        <v>132</v>
      </c>
      <c r="C9" s="104">
        <v>3</v>
      </c>
      <c r="D9" s="105">
        <f t="shared" si="0"/>
        <v>46</v>
      </c>
      <c r="E9" s="108">
        <v>7</v>
      </c>
      <c r="F9" s="107">
        <f t="shared" si="5"/>
        <v>0.15217391304347827</v>
      </c>
      <c r="G9" s="108">
        <v>30</v>
      </c>
      <c r="H9" s="107">
        <f t="shared" si="1"/>
        <v>0.65217391304347827</v>
      </c>
      <c r="I9" s="108">
        <v>1</v>
      </c>
      <c r="J9" s="107">
        <f t="shared" si="2"/>
        <v>2.1739130434782608E-2</v>
      </c>
      <c r="K9" s="108">
        <v>7</v>
      </c>
      <c r="L9" s="107">
        <f t="shared" si="3"/>
        <v>0.15217391304347827</v>
      </c>
      <c r="M9" s="109">
        <v>1</v>
      </c>
      <c r="N9" s="110">
        <f t="shared" si="4"/>
        <v>2.1739130434782608E-2</v>
      </c>
      <c r="P9" s="45">
        <f t="shared" si="6"/>
        <v>8799.2030513196951</v>
      </c>
    </row>
    <row r="10" spans="1:16" ht="12.75" customHeight="1" x14ac:dyDescent="0.25">
      <c r="A10" s="102" t="s">
        <v>98</v>
      </c>
      <c r="B10" s="103" t="s">
        <v>133</v>
      </c>
      <c r="C10" s="104">
        <v>3</v>
      </c>
      <c r="D10" s="105">
        <f t="shared" si="0"/>
        <v>53</v>
      </c>
      <c r="E10" s="108">
        <v>0</v>
      </c>
      <c r="F10" s="107">
        <f t="shared" si="5"/>
        <v>0</v>
      </c>
      <c r="G10" s="108">
        <v>0</v>
      </c>
      <c r="H10" s="107">
        <f t="shared" si="1"/>
        <v>0</v>
      </c>
      <c r="I10" s="108">
        <v>0</v>
      </c>
      <c r="J10" s="107">
        <f t="shared" si="2"/>
        <v>0</v>
      </c>
      <c r="K10" s="108">
        <v>0</v>
      </c>
      <c r="L10" s="107">
        <f t="shared" si="3"/>
        <v>0</v>
      </c>
      <c r="M10" s="109">
        <v>53</v>
      </c>
      <c r="N10" s="110">
        <f t="shared" si="4"/>
        <v>1</v>
      </c>
      <c r="P10" s="45">
        <f t="shared" si="6"/>
        <v>14327.068527263833</v>
      </c>
    </row>
    <row r="11" spans="1:16" ht="12.75" customHeight="1" x14ac:dyDescent="0.25">
      <c r="A11" s="102" t="s">
        <v>72</v>
      </c>
      <c r="B11" s="103" t="s">
        <v>131</v>
      </c>
      <c r="C11" s="104">
        <v>3</v>
      </c>
      <c r="D11" s="105">
        <f t="shared" si="0"/>
        <v>46</v>
      </c>
      <c r="E11" s="108">
        <v>4</v>
      </c>
      <c r="F11" s="107">
        <f t="shared" si="5"/>
        <v>8.6956521739130432E-2</v>
      </c>
      <c r="G11" s="108">
        <v>10</v>
      </c>
      <c r="H11" s="107">
        <f t="shared" si="1"/>
        <v>0.21739130434782608</v>
      </c>
      <c r="I11" s="108">
        <v>23</v>
      </c>
      <c r="J11" s="107">
        <f t="shared" si="2"/>
        <v>0.5</v>
      </c>
      <c r="K11" s="111">
        <v>2</v>
      </c>
      <c r="L11" s="107">
        <f t="shared" si="3"/>
        <v>4.3478260869565216E-2</v>
      </c>
      <c r="M11" s="109">
        <v>7</v>
      </c>
      <c r="N11" s="110">
        <f t="shared" si="4"/>
        <v>0.15217391304347827</v>
      </c>
      <c r="P11" s="45">
        <f t="shared" si="6"/>
        <v>8424.9714418469157</v>
      </c>
    </row>
    <row r="12" spans="1:16" ht="12.75" customHeight="1" x14ac:dyDescent="0.25">
      <c r="A12" s="102" t="s">
        <v>73</v>
      </c>
      <c r="B12" s="103" t="s">
        <v>132</v>
      </c>
      <c r="C12" s="104">
        <v>3</v>
      </c>
      <c r="D12" s="105">
        <f t="shared" si="0"/>
        <v>76</v>
      </c>
      <c r="E12" s="108">
        <v>0</v>
      </c>
      <c r="F12" s="107">
        <f t="shared" si="5"/>
        <v>0</v>
      </c>
      <c r="G12" s="108">
        <v>8</v>
      </c>
      <c r="H12" s="107">
        <f t="shared" si="1"/>
        <v>0.10526315789473684</v>
      </c>
      <c r="I12" s="108">
        <v>42</v>
      </c>
      <c r="J12" s="107">
        <f t="shared" si="2"/>
        <v>0.55263157894736847</v>
      </c>
      <c r="K12" s="108">
        <v>1</v>
      </c>
      <c r="L12" s="107">
        <f t="shared" si="3"/>
        <v>1.3157894736842105E-2</v>
      </c>
      <c r="M12" s="112">
        <v>25</v>
      </c>
      <c r="N12" s="110">
        <f t="shared" si="4"/>
        <v>0.32894736842105265</v>
      </c>
      <c r="P12" s="45">
        <f t="shared" si="6"/>
        <v>9090.8723433725772</v>
      </c>
    </row>
    <row r="13" spans="1:16" ht="12.75" customHeight="1" x14ac:dyDescent="0.25">
      <c r="A13" s="102" t="s">
        <v>74</v>
      </c>
      <c r="B13" s="103" t="s">
        <v>131</v>
      </c>
      <c r="C13" s="104">
        <v>4</v>
      </c>
      <c r="D13" s="105">
        <f t="shared" si="0"/>
        <v>112</v>
      </c>
      <c r="E13" s="108">
        <v>6</v>
      </c>
      <c r="F13" s="107">
        <f t="shared" si="5"/>
        <v>5.3571428571428568E-2</v>
      </c>
      <c r="G13" s="108">
        <v>8</v>
      </c>
      <c r="H13" s="107">
        <f t="shared" si="1"/>
        <v>7.1428571428571425E-2</v>
      </c>
      <c r="I13" s="108">
        <v>75</v>
      </c>
      <c r="J13" s="107">
        <f t="shared" si="2"/>
        <v>0.6696428571428571</v>
      </c>
      <c r="K13" s="108">
        <v>3</v>
      </c>
      <c r="L13" s="107">
        <f t="shared" si="3"/>
        <v>2.6785714285714284E-2</v>
      </c>
      <c r="M13" s="109">
        <v>20</v>
      </c>
      <c r="N13" s="110">
        <f t="shared" si="4"/>
        <v>0.17857142857142858</v>
      </c>
      <c r="P13" s="45">
        <f t="shared" si="6"/>
        <v>8204.0181145547631</v>
      </c>
    </row>
    <row r="14" spans="1:16" ht="12.75" customHeight="1" x14ac:dyDescent="0.25">
      <c r="A14" s="102" t="s">
        <v>75</v>
      </c>
      <c r="B14" s="103" t="s">
        <v>131</v>
      </c>
      <c r="C14" s="104">
        <v>4</v>
      </c>
      <c r="D14" s="105">
        <f t="shared" si="0"/>
        <v>123</v>
      </c>
      <c r="E14" s="108">
        <v>2</v>
      </c>
      <c r="F14" s="107">
        <f t="shared" si="5"/>
        <v>1.6260162601626018E-2</v>
      </c>
      <c r="G14" s="108">
        <v>31</v>
      </c>
      <c r="H14" s="107">
        <f t="shared" si="1"/>
        <v>0.25203252032520324</v>
      </c>
      <c r="I14" s="108">
        <v>79</v>
      </c>
      <c r="J14" s="107">
        <f t="shared" si="2"/>
        <v>0.64227642276422769</v>
      </c>
      <c r="K14" s="108">
        <v>0</v>
      </c>
      <c r="L14" s="107">
        <f t="shared" si="3"/>
        <v>0</v>
      </c>
      <c r="M14" s="109">
        <v>11</v>
      </c>
      <c r="N14" s="110">
        <f t="shared" si="4"/>
        <v>8.943089430894309E-2</v>
      </c>
      <c r="P14" s="45">
        <f t="shared" si="6"/>
        <v>7334.0685395812361</v>
      </c>
    </row>
    <row r="15" spans="1:16" ht="12.75" customHeight="1" x14ac:dyDescent="0.25">
      <c r="A15" s="102" t="s">
        <v>76</v>
      </c>
      <c r="B15" s="103" t="s">
        <v>130</v>
      </c>
      <c r="C15" s="104">
        <v>4</v>
      </c>
      <c r="D15" s="105">
        <f t="shared" si="0"/>
        <v>125</v>
      </c>
      <c r="E15" s="108">
        <v>0</v>
      </c>
      <c r="F15" s="107">
        <f t="shared" si="5"/>
        <v>0</v>
      </c>
      <c r="G15" s="108">
        <v>24</v>
      </c>
      <c r="H15" s="107">
        <f t="shared" si="1"/>
        <v>0.192</v>
      </c>
      <c r="I15" s="108">
        <v>83</v>
      </c>
      <c r="J15" s="107">
        <f t="shared" si="2"/>
        <v>0.66400000000000003</v>
      </c>
      <c r="K15" s="108">
        <v>0</v>
      </c>
      <c r="L15" s="107">
        <f t="shared" si="3"/>
        <v>0</v>
      </c>
      <c r="M15" s="109">
        <v>18</v>
      </c>
      <c r="N15" s="110">
        <f t="shared" si="4"/>
        <v>0.14399999999999999</v>
      </c>
      <c r="P15" s="45">
        <f t="shared" si="6"/>
        <v>7620.1581850108669</v>
      </c>
    </row>
    <row r="16" spans="1:16" ht="12.75" customHeight="1" x14ac:dyDescent="0.25">
      <c r="A16" s="102" t="s">
        <v>99</v>
      </c>
      <c r="B16" s="103" t="s">
        <v>133</v>
      </c>
      <c r="C16" s="104">
        <v>4</v>
      </c>
      <c r="D16" s="105">
        <f t="shared" si="0"/>
        <v>58</v>
      </c>
      <c r="E16" s="108">
        <v>0</v>
      </c>
      <c r="F16" s="107">
        <f t="shared" si="5"/>
        <v>0</v>
      </c>
      <c r="G16" s="108">
        <v>0</v>
      </c>
      <c r="H16" s="107">
        <f t="shared" si="1"/>
        <v>0</v>
      </c>
      <c r="I16" s="108">
        <v>0</v>
      </c>
      <c r="J16" s="107">
        <f t="shared" si="2"/>
        <v>0</v>
      </c>
      <c r="K16" s="108">
        <v>0</v>
      </c>
      <c r="L16" s="107">
        <f t="shared" si="3"/>
        <v>0</v>
      </c>
      <c r="M16" s="109">
        <v>58</v>
      </c>
      <c r="N16" s="110">
        <f t="shared" si="4"/>
        <v>1</v>
      </c>
      <c r="P16" s="45">
        <f t="shared" si="6"/>
        <v>14327.068527263833</v>
      </c>
    </row>
    <row r="17" spans="1:20" ht="12.75" customHeight="1" x14ac:dyDescent="0.25">
      <c r="A17" s="102" t="s">
        <v>100</v>
      </c>
      <c r="B17" s="103" t="s">
        <v>133</v>
      </c>
      <c r="C17" s="104">
        <v>4</v>
      </c>
      <c r="D17" s="105">
        <f t="shared" si="0"/>
        <v>67</v>
      </c>
      <c r="E17" s="108">
        <v>0</v>
      </c>
      <c r="F17" s="107">
        <f t="shared" si="5"/>
        <v>0</v>
      </c>
      <c r="G17" s="108">
        <v>0</v>
      </c>
      <c r="H17" s="107">
        <f t="shared" si="1"/>
        <v>0</v>
      </c>
      <c r="I17" s="108">
        <v>0</v>
      </c>
      <c r="J17" s="107">
        <f t="shared" si="2"/>
        <v>0</v>
      </c>
      <c r="K17" s="108">
        <v>0</v>
      </c>
      <c r="L17" s="107">
        <f t="shared" si="3"/>
        <v>0</v>
      </c>
      <c r="M17" s="109">
        <v>67</v>
      </c>
      <c r="N17" s="110">
        <f t="shared" si="4"/>
        <v>1</v>
      </c>
      <c r="P17" s="45">
        <f t="shared" si="6"/>
        <v>14327.068527263833</v>
      </c>
    </row>
    <row r="18" spans="1:20" ht="12.75" customHeight="1" x14ac:dyDescent="0.25">
      <c r="A18" s="102" t="s">
        <v>92</v>
      </c>
      <c r="B18" s="103" t="s">
        <v>133</v>
      </c>
      <c r="C18" s="104">
        <v>4</v>
      </c>
      <c r="D18" s="105">
        <f t="shared" si="0"/>
        <v>61</v>
      </c>
      <c r="E18" s="106">
        <v>0</v>
      </c>
      <c r="F18" s="107">
        <f t="shared" si="5"/>
        <v>0</v>
      </c>
      <c r="G18" s="108">
        <v>0</v>
      </c>
      <c r="H18" s="107">
        <f t="shared" si="1"/>
        <v>0</v>
      </c>
      <c r="I18" s="113">
        <v>0</v>
      </c>
      <c r="J18" s="107">
        <f t="shared" si="2"/>
        <v>0</v>
      </c>
      <c r="K18" s="113">
        <v>0</v>
      </c>
      <c r="L18" s="107">
        <f t="shared" si="3"/>
        <v>0</v>
      </c>
      <c r="M18" s="109">
        <v>61</v>
      </c>
      <c r="N18" s="110">
        <f t="shared" si="4"/>
        <v>1</v>
      </c>
      <c r="P18" s="45">
        <f t="shared" si="6"/>
        <v>14327.068527263833</v>
      </c>
    </row>
    <row r="19" spans="1:20" ht="12.75" customHeight="1" x14ac:dyDescent="0.25">
      <c r="A19" s="102" t="s">
        <v>77</v>
      </c>
      <c r="B19" s="103" t="s">
        <v>130</v>
      </c>
      <c r="C19" s="104">
        <v>4</v>
      </c>
      <c r="D19" s="105">
        <f t="shared" si="0"/>
        <v>70</v>
      </c>
      <c r="E19" s="108">
        <v>18</v>
      </c>
      <c r="F19" s="107">
        <f t="shared" si="5"/>
        <v>0.25714285714285712</v>
      </c>
      <c r="G19" s="106">
        <v>22</v>
      </c>
      <c r="H19" s="107">
        <f t="shared" si="1"/>
        <v>0.31428571428571428</v>
      </c>
      <c r="I19" s="106">
        <v>4</v>
      </c>
      <c r="J19" s="107">
        <f t="shared" si="2"/>
        <v>5.7142857142857141E-2</v>
      </c>
      <c r="K19" s="106">
        <v>11</v>
      </c>
      <c r="L19" s="107">
        <f t="shared" si="3"/>
        <v>0.15714285714285714</v>
      </c>
      <c r="M19" s="109">
        <v>15</v>
      </c>
      <c r="N19" s="110">
        <f t="shared" si="4"/>
        <v>0.21428571428571427</v>
      </c>
      <c r="P19" s="45">
        <f t="shared" si="6"/>
        <v>10580.75210310383</v>
      </c>
    </row>
    <row r="20" spans="1:20" ht="12.75" customHeight="1" x14ac:dyDescent="0.25">
      <c r="A20" s="102" t="s">
        <v>78</v>
      </c>
      <c r="B20" s="103" t="s">
        <v>132</v>
      </c>
      <c r="C20" s="104">
        <v>5</v>
      </c>
      <c r="D20" s="105">
        <f t="shared" si="0"/>
        <v>137</v>
      </c>
      <c r="E20" s="108">
        <v>2</v>
      </c>
      <c r="F20" s="107">
        <f t="shared" si="5"/>
        <v>1.4598540145985401E-2</v>
      </c>
      <c r="G20" s="108">
        <v>15</v>
      </c>
      <c r="H20" s="107">
        <f t="shared" si="1"/>
        <v>0.10948905109489052</v>
      </c>
      <c r="I20" s="108">
        <v>102</v>
      </c>
      <c r="J20" s="107">
        <f t="shared" si="2"/>
        <v>0.74452554744525545</v>
      </c>
      <c r="K20" s="108">
        <v>3</v>
      </c>
      <c r="L20" s="107">
        <f t="shared" si="3"/>
        <v>2.1897810218978103E-2</v>
      </c>
      <c r="M20" s="109">
        <v>15</v>
      </c>
      <c r="N20" s="110">
        <f t="shared" si="4"/>
        <v>0.10948905109489052</v>
      </c>
      <c r="P20" s="45">
        <f t="shared" si="6"/>
        <v>7448.7456830496158</v>
      </c>
    </row>
    <row r="21" spans="1:20" ht="12.75" customHeight="1" x14ac:dyDescent="0.25">
      <c r="A21" s="102" t="s">
        <v>55</v>
      </c>
      <c r="B21" s="103" t="s">
        <v>132</v>
      </c>
      <c r="C21" s="104">
        <v>5</v>
      </c>
      <c r="D21" s="105">
        <f t="shared" si="0"/>
        <v>181</v>
      </c>
      <c r="E21" s="108">
        <v>9</v>
      </c>
      <c r="F21" s="107">
        <f t="shared" si="5"/>
        <v>4.9723756906077346E-2</v>
      </c>
      <c r="G21" s="108">
        <v>25</v>
      </c>
      <c r="H21" s="107">
        <f t="shared" si="1"/>
        <v>0.13812154696132597</v>
      </c>
      <c r="I21" s="108">
        <v>130</v>
      </c>
      <c r="J21" s="107">
        <f t="shared" si="2"/>
        <v>0.71823204419889508</v>
      </c>
      <c r="K21" s="108">
        <v>2</v>
      </c>
      <c r="L21" s="107">
        <f t="shared" si="3"/>
        <v>1.1049723756906077E-2</v>
      </c>
      <c r="M21" s="109">
        <v>15</v>
      </c>
      <c r="N21" s="110">
        <f t="shared" si="4"/>
        <v>8.2872928176795577E-2</v>
      </c>
      <c r="P21" s="45">
        <f t="shared" si="6"/>
        <v>7397.5468932395452</v>
      </c>
    </row>
    <row r="22" spans="1:20" ht="12.75" customHeight="1" x14ac:dyDescent="0.25">
      <c r="A22" s="102" t="s">
        <v>79</v>
      </c>
      <c r="B22" s="103" t="s">
        <v>134</v>
      </c>
      <c r="C22" s="104">
        <v>5</v>
      </c>
      <c r="D22" s="105">
        <f t="shared" si="0"/>
        <v>81</v>
      </c>
      <c r="E22" s="108">
        <v>25</v>
      </c>
      <c r="F22" s="107">
        <f t="shared" si="5"/>
        <v>0.30864197530864196</v>
      </c>
      <c r="G22" s="108">
        <v>46</v>
      </c>
      <c r="H22" s="107">
        <f t="shared" si="1"/>
        <v>0.5679012345679012</v>
      </c>
      <c r="I22" s="108">
        <v>0</v>
      </c>
      <c r="J22" s="107">
        <f t="shared" si="2"/>
        <v>0</v>
      </c>
      <c r="K22" s="108">
        <v>0</v>
      </c>
      <c r="L22" s="107">
        <f t="shared" si="3"/>
        <v>0</v>
      </c>
      <c r="M22" s="109">
        <v>10</v>
      </c>
      <c r="N22" s="110">
        <f t="shared" si="4"/>
        <v>0.12345679012345678</v>
      </c>
      <c r="P22" s="45">
        <f t="shared" si="6"/>
        <v>9551.5769232439579</v>
      </c>
    </row>
    <row r="23" spans="1:20" ht="12.75" customHeight="1" x14ac:dyDescent="0.25">
      <c r="A23" s="102" t="s">
        <v>80</v>
      </c>
      <c r="B23" s="103" t="s">
        <v>131</v>
      </c>
      <c r="C23" s="104">
        <v>6</v>
      </c>
      <c r="D23" s="105">
        <f t="shared" si="0"/>
        <v>104</v>
      </c>
      <c r="E23" s="108">
        <v>44</v>
      </c>
      <c r="F23" s="107">
        <f t="shared" si="5"/>
        <v>0.42307692307692307</v>
      </c>
      <c r="G23" s="108">
        <v>0</v>
      </c>
      <c r="H23" s="107">
        <f t="shared" si="1"/>
        <v>0</v>
      </c>
      <c r="I23" s="108">
        <v>13</v>
      </c>
      <c r="J23" s="107">
        <f t="shared" si="2"/>
        <v>0.125</v>
      </c>
      <c r="K23" s="108">
        <v>38</v>
      </c>
      <c r="L23" s="107">
        <f t="shared" si="3"/>
        <v>0.36538461538461536</v>
      </c>
      <c r="M23" s="109">
        <v>9</v>
      </c>
      <c r="N23" s="110">
        <f t="shared" si="4"/>
        <v>8.6538461538461536E-2</v>
      </c>
      <c r="P23" s="45">
        <f t="shared" si="6"/>
        <v>11239.016610354596</v>
      </c>
    </row>
    <row r="24" spans="1:20" ht="12.75" customHeight="1" x14ac:dyDescent="0.3">
      <c r="A24" s="114" t="s">
        <v>62</v>
      </c>
      <c r="B24" s="114"/>
      <c r="C24" s="114"/>
      <c r="D24" s="115">
        <f>SUM(D5:D23)</f>
        <v>1526</v>
      </c>
      <c r="E24" s="116">
        <f>SUM(E5:E23)</f>
        <v>166</v>
      </c>
      <c r="F24" s="228">
        <f>AVERAGE(F5:F23)</f>
        <v>0.1299182368291637</v>
      </c>
      <c r="G24" s="116">
        <f>SUM(G5:G23)</f>
        <v>294</v>
      </c>
      <c r="H24" s="228">
        <f>AVERAGE(H5:H23)</f>
        <v>0.22312972763390007</v>
      </c>
      <c r="I24" s="116">
        <f>SUM(I5:I23)</f>
        <v>569</v>
      </c>
      <c r="J24" s="228">
        <f>AVERAGE(J5:J23)</f>
        <v>0.26295013194956635</v>
      </c>
      <c r="K24" s="116">
        <f>SUM(K5:K23)</f>
        <v>77</v>
      </c>
      <c r="L24" s="228">
        <f>AVERAGE(L5:L23)</f>
        <v>5.2282894446278594E-2</v>
      </c>
      <c r="M24" s="119">
        <f>SUM(M5:M23)</f>
        <v>420</v>
      </c>
      <c r="N24" s="228">
        <f>AVERAGE(N5:N23)</f>
        <v>0.33171900914109131</v>
      </c>
      <c r="P24" s="46"/>
    </row>
    <row r="25" spans="1:20" ht="12.75" customHeight="1" x14ac:dyDescent="0.25">
      <c r="A25" s="114" t="s">
        <v>101</v>
      </c>
      <c r="B25" s="114"/>
      <c r="C25" s="114"/>
      <c r="D25" s="121"/>
      <c r="E25" s="122">
        <f>E24/D24</f>
        <v>0.10878112712975098</v>
      </c>
      <c r="F25" s="107"/>
      <c r="G25" s="122">
        <f>G24/D24</f>
        <v>0.19266055045871561</v>
      </c>
      <c r="H25" s="107"/>
      <c r="I25" s="122">
        <f>I24/D24</f>
        <v>0.37287024901703802</v>
      </c>
      <c r="J25" s="107"/>
      <c r="K25" s="122">
        <f>K24/D24</f>
        <v>5.0458715596330278E-2</v>
      </c>
      <c r="L25" s="107"/>
      <c r="M25" s="123">
        <f>M24/D24</f>
        <v>0.27522935779816515</v>
      </c>
      <c r="N25" s="120"/>
      <c r="P25" s="46"/>
    </row>
    <row r="26" spans="1:20" ht="12.75" customHeight="1" x14ac:dyDescent="0.25">
      <c r="P26" s="46"/>
    </row>
    <row r="27" spans="1:20" ht="12.75" customHeight="1" x14ac:dyDescent="0.25">
      <c r="A27" s="1" t="s">
        <v>254</v>
      </c>
      <c r="P27" s="46"/>
    </row>
    <row r="28" spans="1:20" x14ac:dyDescent="0.25">
      <c r="P28" s="46"/>
    </row>
    <row r="29" spans="1:20" ht="39" x14ac:dyDescent="0.25">
      <c r="A29" s="95" t="s">
        <v>66</v>
      </c>
      <c r="B29" s="95" t="s">
        <v>118</v>
      </c>
      <c r="C29" s="96" t="s">
        <v>51</v>
      </c>
      <c r="D29" s="97" t="s">
        <v>255</v>
      </c>
      <c r="E29" s="98" t="s">
        <v>265</v>
      </c>
      <c r="F29" s="99" t="s">
        <v>266</v>
      </c>
      <c r="G29" s="98" t="s">
        <v>267</v>
      </c>
      <c r="H29" s="99" t="s">
        <v>257</v>
      </c>
      <c r="I29" s="98" t="s">
        <v>268</v>
      </c>
      <c r="J29" s="99" t="s">
        <v>269</v>
      </c>
      <c r="K29" s="98" t="s">
        <v>270</v>
      </c>
      <c r="L29" s="99" t="s">
        <v>271</v>
      </c>
      <c r="M29" s="100" t="s">
        <v>272</v>
      </c>
      <c r="N29" s="101" t="s">
        <v>273</v>
      </c>
      <c r="P29" s="223" t="s">
        <v>261</v>
      </c>
      <c r="R29" s="224" t="s">
        <v>104</v>
      </c>
      <c r="S29" s="226" t="s">
        <v>262</v>
      </c>
      <c r="T29" s="225" t="s">
        <v>263</v>
      </c>
    </row>
    <row r="30" spans="1:20" x14ac:dyDescent="0.25">
      <c r="A30" s="102" t="s">
        <v>67</v>
      </c>
      <c r="B30" s="103" t="s">
        <v>130</v>
      </c>
      <c r="C30" s="221">
        <v>3</v>
      </c>
      <c r="D30" s="105">
        <f t="shared" ref="D30:D47" si="7">E30+G30+I30+K30+M30</f>
        <v>42</v>
      </c>
      <c r="E30" s="106">
        <v>17</v>
      </c>
      <c r="F30" s="107">
        <f>E30/D30</f>
        <v>0.40476190476190477</v>
      </c>
      <c r="G30" s="108">
        <v>12</v>
      </c>
      <c r="H30" s="107">
        <f t="shared" ref="H30:H47" si="8">G30/D30</f>
        <v>0.2857142857142857</v>
      </c>
      <c r="I30" s="108">
        <v>5</v>
      </c>
      <c r="J30" s="107">
        <f t="shared" ref="J30:J47" si="9">I30/D30</f>
        <v>0.11904761904761904</v>
      </c>
      <c r="K30" s="108">
        <v>5</v>
      </c>
      <c r="L30" s="107">
        <f t="shared" ref="L30:L47" si="10">K30/D30</f>
        <v>0.11904761904761904</v>
      </c>
      <c r="M30" s="109">
        <v>3</v>
      </c>
      <c r="N30" s="110">
        <f t="shared" ref="N30:N47" si="11">M30/D30</f>
        <v>7.1428571428571425E-2</v>
      </c>
      <c r="P30" s="45">
        <f t="shared" ref="P30:P47" si="12">(F30*$E$54)+(H30*$G$54)+(J30*$I$54)+(L30*$K$54)+(N30*$M$54)+(N30*$M$56)</f>
        <v>9991.0948916011585</v>
      </c>
      <c r="R30" s="45">
        <f>P30-P5</f>
        <v>93.578186361324697</v>
      </c>
      <c r="S30" s="78">
        <f>'Band Calculations'!Z5</f>
        <v>43</v>
      </c>
      <c r="T30" s="45">
        <f>R30*S30</f>
        <v>4023.862013536962</v>
      </c>
    </row>
    <row r="31" spans="1:20" x14ac:dyDescent="0.25">
      <c r="A31" s="102" t="s">
        <v>68</v>
      </c>
      <c r="B31" s="103" t="s">
        <v>131</v>
      </c>
      <c r="C31" s="221">
        <v>3</v>
      </c>
      <c r="D31" s="105">
        <f t="shared" si="7"/>
        <v>76</v>
      </c>
      <c r="E31" s="106">
        <v>10</v>
      </c>
      <c r="F31" s="107">
        <f t="shared" ref="F31:F47" si="13">E31/D31</f>
        <v>0.13157894736842105</v>
      </c>
      <c r="G31" s="108">
        <v>27</v>
      </c>
      <c r="H31" s="107">
        <f t="shared" si="8"/>
        <v>0.35526315789473684</v>
      </c>
      <c r="I31" s="108">
        <v>13</v>
      </c>
      <c r="J31" s="107">
        <f t="shared" si="9"/>
        <v>0.17105263157894737</v>
      </c>
      <c r="K31" s="108">
        <v>11</v>
      </c>
      <c r="L31" s="107">
        <f t="shared" si="10"/>
        <v>0.14473684210526316</v>
      </c>
      <c r="M31" s="109">
        <v>15</v>
      </c>
      <c r="N31" s="110">
        <f t="shared" si="11"/>
        <v>0.19736842105263158</v>
      </c>
      <c r="P31" s="45">
        <f t="shared" si="12"/>
        <v>9737.6409510925623</v>
      </c>
      <c r="R31" s="45">
        <f t="shared" ref="R31:R44" si="14">P31-P6</f>
        <v>952.3550198322846</v>
      </c>
      <c r="S31" s="78">
        <f>'Band Calculations'!Z6</f>
        <v>63</v>
      </c>
      <c r="T31" s="45">
        <f t="shared" ref="T31:T47" si="15">R31*S31</f>
        <v>59998.36624943393</v>
      </c>
    </row>
    <row r="32" spans="1:20" x14ac:dyDescent="0.25">
      <c r="A32" s="102" t="s">
        <v>69</v>
      </c>
      <c r="B32" s="103" t="s">
        <v>132</v>
      </c>
      <c r="C32" s="221">
        <v>3</v>
      </c>
      <c r="D32" s="105">
        <f t="shared" si="7"/>
        <v>53</v>
      </c>
      <c r="E32" s="106">
        <v>14</v>
      </c>
      <c r="F32" s="107">
        <f t="shared" si="13"/>
        <v>0.26415094339622641</v>
      </c>
      <c r="G32" s="108">
        <v>22</v>
      </c>
      <c r="H32" s="107">
        <f t="shared" si="8"/>
        <v>0.41509433962264153</v>
      </c>
      <c r="I32" s="108">
        <v>3</v>
      </c>
      <c r="J32" s="107">
        <f t="shared" si="9"/>
        <v>5.6603773584905662E-2</v>
      </c>
      <c r="K32" s="108">
        <v>3</v>
      </c>
      <c r="L32" s="107">
        <f t="shared" si="10"/>
        <v>5.6603773584905662E-2</v>
      </c>
      <c r="M32" s="109">
        <v>11</v>
      </c>
      <c r="N32" s="110">
        <f t="shared" si="11"/>
        <v>0.20754716981132076</v>
      </c>
      <c r="P32" s="45">
        <f t="shared" si="12"/>
        <v>10128.233980342673</v>
      </c>
      <c r="R32" s="45">
        <f t="shared" si="14"/>
        <v>-798.25542949603187</v>
      </c>
      <c r="S32" s="291">
        <f>'Band Calculations'!Z7</f>
        <v>63</v>
      </c>
      <c r="T32" s="45">
        <f t="shared" si="15"/>
        <v>-50290.092058250011</v>
      </c>
    </row>
    <row r="33" spans="1:20" x14ac:dyDescent="0.25">
      <c r="A33" s="102" t="s">
        <v>70</v>
      </c>
      <c r="B33" s="103" t="s">
        <v>130</v>
      </c>
      <c r="C33" s="221">
        <v>3</v>
      </c>
      <c r="D33" s="105">
        <f t="shared" si="7"/>
        <v>45</v>
      </c>
      <c r="E33" s="106">
        <v>18</v>
      </c>
      <c r="F33" s="107">
        <f t="shared" si="13"/>
        <v>0.4</v>
      </c>
      <c r="G33" s="108">
        <v>19</v>
      </c>
      <c r="H33" s="107">
        <f t="shared" si="8"/>
        <v>0.42222222222222222</v>
      </c>
      <c r="I33" s="108">
        <v>0</v>
      </c>
      <c r="J33" s="107">
        <f t="shared" si="9"/>
        <v>0</v>
      </c>
      <c r="K33" s="108">
        <v>1</v>
      </c>
      <c r="L33" s="107">
        <f t="shared" si="10"/>
        <v>2.2222222222222223E-2</v>
      </c>
      <c r="M33" s="109">
        <v>7</v>
      </c>
      <c r="N33" s="110">
        <f t="shared" si="11"/>
        <v>0.15555555555555556</v>
      </c>
      <c r="P33" s="45">
        <f t="shared" si="12"/>
        <v>10268.679306798018</v>
      </c>
      <c r="R33" s="45">
        <f t="shared" si="14"/>
        <v>-251.81519353485055</v>
      </c>
      <c r="S33" s="78">
        <f>'Band Calculations'!Z8</f>
        <v>41</v>
      </c>
      <c r="T33" s="45">
        <f t="shared" si="15"/>
        <v>-10324.422934928873</v>
      </c>
    </row>
    <row r="34" spans="1:20" x14ac:dyDescent="0.25">
      <c r="A34" s="102" t="s">
        <v>71</v>
      </c>
      <c r="B34" s="103" t="s">
        <v>132</v>
      </c>
      <c r="C34" s="221">
        <v>3</v>
      </c>
      <c r="D34" s="105">
        <f t="shared" si="7"/>
        <v>55</v>
      </c>
      <c r="E34" s="108">
        <v>11</v>
      </c>
      <c r="F34" s="107">
        <f t="shared" si="13"/>
        <v>0.2</v>
      </c>
      <c r="G34" s="108">
        <v>31</v>
      </c>
      <c r="H34" s="107">
        <f t="shared" si="8"/>
        <v>0.5636363636363636</v>
      </c>
      <c r="I34" s="108">
        <v>1</v>
      </c>
      <c r="J34" s="107">
        <f t="shared" si="9"/>
        <v>1.8181818181818181E-2</v>
      </c>
      <c r="K34" s="108">
        <v>9</v>
      </c>
      <c r="L34" s="107">
        <f t="shared" si="10"/>
        <v>0.16363636363636364</v>
      </c>
      <c r="M34" s="109">
        <v>3</v>
      </c>
      <c r="N34" s="110">
        <f t="shared" si="11"/>
        <v>5.4545454545454543E-2</v>
      </c>
      <c r="P34" s="45">
        <f t="shared" si="12"/>
        <v>9289.4498761949271</v>
      </c>
      <c r="R34" s="45">
        <f t="shared" si="14"/>
        <v>490.24682487523205</v>
      </c>
      <c r="S34" s="78">
        <f>'Band Calculations'!Z9</f>
        <v>47</v>
      </c>
      <c r="T34" s="45">
        <f t="shared" si="15"/>
        <v>23041.600769135905</v>
      </c>
    </row>
    <row r="35" spans="1:20" ht="12" customHeight="1" x14ac:dyDescent="0.25">
      <c r="A35" s="102" t="s">
        <v>98</v>
      </c>
      <c r="B35" s="103" t="s">
        <v>133</v>
      </c>
      <c r="C35" s="221">
        <v>3</v>
      </c>
      <c r="D35" s="105">
        <f t="shared" si="7"/>
        <v>61</v>
      </c>
      <c r="E35" s="108">
        <v>0</v>
      </c>
      <c r="F35" s="107">
        <f t="shared" si="13"/>
        <v>0</v>
      </c>
      <c r="G35" s="108">
        <v>0</v>
      </c>
      <c r="H35" s="107">
        <f t="shared" si="8"/>
        <v>0</v>
      </c>
      <c r="I35" s="108">
        <v>0</v>
      </c>
      <c r="J35" s="107">
        <f t="shared" si="9"/>
        <v>0</v>
      </c>
      <c r="K35" s="108">
        <v>0</v>
      </c>
      <c r="L35" s="107">
        <f t="shared" si="10"/>
        <v>0</v>
      </c>
      <c r="M35" s="109">
        <v>61</v>
      </c>
      <c r="N35" s="110">
        <f t="shared" si="11"/>
        <v>1</v>
      </c>
      <c r="P35" s="45">
        <f t="shared" si="12"/>
        <v>14327.068527263833</v>
      </c>
      <c r="R35" s="45">
        <f t="shared" si="14"/>
        <v>0</v>
      </c>
      <c r="S35" s="78">
        <f>'Band Calculations'!Z10</f>
        <v>61</v>
      </c>
      <c r="T35" s="45">
        <f t="shared" si="15"/>
        <v>0</v>
      </c>
    </row>
    <row r="36" spans="1:20" x14ac:dyDescent="0.25">
      <c r="A36" s="102" t="s">
        <v>72</v>
      </c>
      <c r="B36" s="103" t="s">
        <v>131</v>
      </c>
      <c r="C36" s="221">
        <v>3</v>
      </c>
      <c r="D36" s="105">
        <f t="shared" si="7"/>
        <v>55</v>
      </c>
      <c r="E36" s="108">
        <v>2</v>
      </c>
      <c r="F36" s="107">
        <f t="shared" si="13"/>
        <v>3.6363636363636362E-2</v>
      </c>
      <c r="G36" s="108">
        <v>16</v>
      </c>
      <c r="H36" s="107">
        <f t="shared" si="8"/>
        <v>0.29090909090909089</v>
      </c>
      <c r="I36" s="108">
        <v>15</v>
      </c>
      <c r="J36" s="107">
        <f t="shared" si="9"/>
        <v>0.27272727272727271</v>
      </c>
      <c r="K36" s="111">
        <v>3</v>
      </c>
      <c r="L36" s="107">
        <f t="shared" si="10"/>
        <v>5.4545454545454543E-2</v>
      </c>
      <c r="M36" s="109">
        <v>19</v>
      </c>
      <c r="N36" s="110">
        <f t="shared" si="11"/>
        <v>0.34545454545454546</v>
      </c>
      <c r="P36" s="45">
        <f t="shared" si="12"/>
        <v>9853.3189773154299</v>
      </c>
      <c r="R36" s="45">
        <f t="shared" si="14"/>
        <v>1428.3475354685143</v>
      </c>
      <c r="S36" s="78">
        <f>'Band Calculations'!Z11</f>
        <v>60</v>
      </c>
      <c r="T36" s="45">
        <f t="shared" si="15"/>
        <v>85700.852128110855</v>
      </c>
    </row>
    <row r="37" spans="1:20" x14ac:dyDescent="0.25">
      <c r="A37" s="102" t="s">
        <v>73</v>
      </c>
      <c r="B37" s="103" t="s">
        <v>132</v>
      </c>
      <c r="C37" s="221">
        <v>3</v>
      </c>
      <c r="D37" s="105">
        <f t="shared" si="7"/>
        <v>85</v>
      </c>
      <c r="E37" s="108">
        <v>0</v>
      </c>
      <c r="F37" s="107">
        <f t="shared" si="13"/>
        <v>0</v>
      </c>
      <c r="G37" s="108">
        <v>7</v>
      </c>
      <c r="H37" s="107">
        <f t="shared" si="8"/>
        <v>8.2352941176470587E-2</v>
      </c>
      <c r="I37" s="108">
        <v>52</v>
      </c>
      <c r="J37" s="107">
        <f t="shared" si="9"/>
        <v>0.61176470588235299</v>
      </c>
      <c r="K37" s="108">
        <v>2</v>
      </c>
      <c r="L37" s="107">
        <f t="shared" si="10"/>
        <v>2.3529411764705882E-2</v>
      </c>
      <c r="M37" s="112">
        <v>24</v>
      </c>
      <c r="N37" s="110">
        <f t="shared" si="11"/>
        <v>0.28235294117647058</v>
      </c>
      <c r="P37" s="45">
        <f t="shared" si="12"/>
        <v>8745.3923904604708</v>
      </c>
      <c r="R37" s="45">
        <f t="shared" si="14"/>
        <v>-345.47995291210646</v>
      </c>
      <c r="S37" s="78">
        <f>'Band Calculations'!Z12</f>
        <v>84</v>
      </c>
      <c r="T37" s="45">
        <f t="shared" si="15"/>
        <v>-29020.316044616942</v>
      </c>
    </row>
    <row r="38" spans="1:20" x14ac:dyDescent="0.25">
      <c r="A38" s="102" t="s">
        <v>74</v>
      </c>
      <c r="B38" s="103" t="s">
        <v>131</v>
      </c>
      <c r="C38" s="221">
        <v>4</v>
      </c>
      <c r="D38" s="105">
        <f t="shared" si="7"/>
        <v>127</v>
      </c>
      <c r="E38" s="108">
        <v>9</v>
      </c>
      <c r="F38" s="107">
        <f t="shared" si="13"/>
        <v>7.0866141732283464E-2</v>
      </c>
      <c r="G38" s="108">
        <v>21</v>
      </c>
      <c r="H38" s="107">
        <f t="shared" si="8"/>
        <v>0.16535433070866143</v>
      </c>
      <c r="I38" s="108">
        <v>66</v>
      </c>
      <c r="J38" s="107">
        <f t="shared" si="9"/>
        <v>0.51968503937007871</v>
      </c>
      <c r="K38" s="108">
        <v>5</v>
      </c>
      <c r="L38" s="107">
        <f t="shared" si="10"/>
        <v>3.937007874015748E-2</v>
      </c>
      <c r="M38" s="109">
        <v>26</v>
      </c>
      <c r="N38" s="110">
        <f t="shared" si="11"/>
        <v>0.20472440944881889</v>
      </c>
      <c r="P38" s="45">
        <f t="shared" si="12"/>
        <v>8682.1328193541576</v>
      </c>
      <c r="R38" s="45">
        <f t="shared" si="14"/>
        <v>478.11470479939453</v>
      </c>
      <c r="S38" s="78">
        <f>'Band Calculations'!Z13</f>
        <v>109</v>
      </c>
      <c r="T38" s="45">
        <f t="shared" si="15"/>
        <v>52114.502823134004</v>
      </c>
    </row>
    <row r="39" spans="1:20" x14ac:dyDescent="0.25">
      <c r="A39" s="102" t="s">
        <v>75</v>
      </c>
      <c r="B39" s="103" t="s">
        <v>131</v>
      </c>
      <c r="C39" s="221">
        <v>4</v>
      </c>
      <c r="D39" s="105">
        <f t="shared" si="7"/>
        <v>119</v>
      </c>
      <c r="E39" s="108">
        <v>1</v>
      </c>
      <c r="F39" s="107">
        <f t="shared" si="13"/>
        <v>8.4033613445378148E-3</v>
      </c>
      <c r="G39" s="108">
        <v>33</v>
      </c>
      <c r="H39" s="107">
        <f t="shared" si="8"/>
        <v>0.27731092436974791</v>
      </c>
      <c r="I39" s="108">
        <v>71</v>
      </c>
      <c r="J39" s="107">
        <f t="shared" si="9"/>
        <v>0.59663865546218486</v>
      </c>
      <c r="K39" s="108">
        <v>3</v>
      </c>
      <c r="L39" s="107">
        <f t="shared" si="10"/>
        <v>2.5210084033613446E-2</v>
      </c>
      <c r="M39" s="109">
        <v>11</v>
      </c>
      <c r="N39" s="110">
        <f t="shared" si="11"/>
        <v>9.2436974789915971E-2</v>
      </c>
      <c r="P39" s="45">
        <f t="shared" si="12"/>
        <v>7480.8820134065591</v>
      </c>
      <c r="R39" s="45">
        <f t="shared" si="14"/>
        <v>146.81347382532294</v>
      </c>
      <c r="S39" s="78">
        <f>'Band Calculations'!Z14</f>
        <v>130</v>
      </c>
      <c r="T39" s="45">
        <f t="shared" si="15"/>
        <v>19085.751597291983</v>
      </c>
    </row>
    <row r="40" spans="1:20" x14ac:dyDescent="0.25">
      <c r="A40" s="102" t="s">
        <v>76</v>
      </c>
      <c r="B40" s="103" t="s">
        <v>130</v>
      </c>
      <c r="C40" s="221">
        <v>4</v>
      </c>
      <c r="D40" s="105">
        <f t="shared" si="7"/>
        <v>130</v>
      </c>
      <c r="E40" s="108">
        <v>0</v>
      </c>
      <c r="F40" s="107">
        <f t="shared" si="13"/>
        <v>0</v>
      </c>
      <c r="G40" s="108">
        <v>19</v>
      </c>
      <c r="H40" s="107">
        <f t="shared" si="8"/>
        <v>0.14615384615384616</v>
      </c>
      <c r="I40" s="108">
        <v>91</v>
      </c>
      <c r="J40" s="107">
        <f t="shared" si="9"/>
        <v>0.7</v>
      </c>
      <c r="K40" s="108">
        <v>2</v>
      </c>
      <c r="L40" s="107">
        <f t="shared" si="10"/>
        <v>1.5384615384615385E-2</v>
      </c>
      <c r="M40" s="109">
        <v>18</v>
      </c>
      <c r="N40" s="110">
        <f t="shared" si="11"/>
        <v>0.13846153846153847</v>
      </c>
      <c r="P40" s="45">
        <f t="shared" si="12"/>
        <v>7608.483850854901</v>
      </c>
      <c r="R40" s="45">
        <f t="shared" si="14"/>
        <v>-11.67433415596588</v>
      </c>
      <c r="S40" s="78">
        <f>'Band Calculations'!Z15</f>
        <v>131</v>
      </c>
      <c r="T40" s="45">
        <f t="shared" si="15"/>
        <v>-1529.3377744315303</v>
      </c>
    </row>
    <row r="41" spans="1:20" ht="12" customHeight="1" x14ac:dyDescent="0.25">
      <c r="A41" s="102" t="s">
        <v>99</v>
      </c>
      <c r="B41" s="103" t="s">
        <v>133</v>
      </c>
      <c r="C41" s="221">
        <v>4</v>
      </c>
      <c r="D41" s="105">
        <f t="shared" si="7"/>
        <v>57</v>
      </c>
      <c r="E41" s="108">
        <v>0</v>
      </c>
      <c r="F41" s="107">
        <f t="shared" si="13"/>
        <v>0</v>
      </c>
      <c r="G41" s="108">
        <v>0</v>
      </c>
      <c r="H41" s="107">
        <f t="shared" si="8"/>
        <v>0</v>
      </c>
      <c r="I41" s="108">
        <v>0</v>
      </c>
      <c r="J41" s="107">
        <f t="shared" si="9"/>
        <v>0</v>
      </c>
      <c r="K41" s="108">
        <v>0</v>
      </c>
      <c r="L41" s="107">
        <f t="shared" si="10"/>
        <v>0</v>
      </c>
      <c r="M41" s="109">
        <v>57</v>
      </c>
      <c r="N41" s="110">
        <f t="shared" si="11"/>
        <v>1</v>
      </c>
      <c r="P41" s="45">
        <f t="shared" si="12"/>
        <v>14327.068527263833</v>
      </c>
      <c r="R41" s="45">
        <f t="shared" si="14"/>
        <v>0</v>
      </c>
      <c r="S41" s="78">
        <f>'Band Calculations'!Z16</f>
        <v>62.000000000000007</v>
      </c>
      <c r="T41" s="45">
        <f t="shared" si="15"/>
        <v>0</v>
      </c>
    </row>
    <row r="42" spans="1:20" ht="12" customHeight="1" x14ac:dyDescent="0.25">
      <c r="A42" s="102" t="s">
        <v>100</v>
      </c>
      <c r="B42" s="103" t="s">
        <v>133</v>
      </c>
      <c r="C42" s="221">
        <v>4</v>
      </c>
      <c r="D42" s="105">
        <f t="shared" si="7"/>
        <v>57</v>
      </c>
      <c r="E42" s="108">
        <v>0</v>
      </c>
      <c r="F42" s="107">
        <f t="shared" si="13"/>
        <v>0</v>
      </c>
      <c r="G42" s="108">
        <v>0</v>
      </c>
      <c r="H42" s="107">
        <f t="shared" si="8"/>
        <v>0</v>
      </c>
      <c r="I42" s="108">
        <v>0</v>
      </c>
      <c r="J42" s="107">
        <f t="shared" si="9"/>
        <v>0</v>
      </c>
      <c r="K42" s="108">
        <v>0</v>
      </c>
      <c r="L42" s="107">
        <f t="shared" si="10"/>
        <v>0</v>
      </c>
      <c r="M42" s="109">
        <v>57</v>
      </c>
      <c r="N42" s="110">
        <f t="shared" si="11"/>
        <v>1</v>
      </c>
      <c r="P42" s="45">
        <f t="shared" si="12"/>
        <v>14327.068527263833</v>
      </c>
      <c r="R42" s="45">
        <f t="shared" si="14"/>
        <v>0</v>
      </c>
      <c r="S42" s="78">
        <f>'Band Calculations'!Z17</f>
        <v>59.000000000000007</v>
      </c>
      <c r="T42" s="45">
        <f t="shared" si="15"/>
        <v>0</v>
      </c>
    </row>
    <row r="43" spans="1:20" ht="12" customHeight="1" x14ac:dyDescent="0.25">
      <c r="A43" s="102" t="s">
        <v>92</v>
      </c>
      <c r="B43" s="103" t="s">
        <v>133</v>
      </c>
      <c r="C43" s="221">
        <v>4</v>
      </c>
      <c r="D43" s="105">
        <f t="shared" si="7"/>
        <v>49</v>
      </c>
      <c r="E43" s="106">
        <v>0</v>
      </c>
      <c r="F43" s="107">
        <f t="shared" si="13"/>
        <v>0</v>
      </c>
      <c r="G43" s="108">
        <v>0</v>
      </c>
      <c r="H43" s="107">
        <f t="shared" si="8"/>
        <v>0</v>
      </c>
      <c r="I43" s="108">
        <v>0</v>
      </c>
      <c r="J43" s="107">
        <f t="shared" si="9"/>
        <v>0</v>
      </c>
      <c r="K43" s="108">
        <v>0</v>
      </c>
      <c r="L43" s="107">
        <f t="shared" si="10"/>
        <v>0</v>
      </c>
      <c r="M43" s="109">
        <v>49</v>
      </c>
      <c r="N43" s="110">
        <f t="shared" si="11"/>
        <v>1</v>
      </c>
      <c r="P43" s="45">
        <f t="shared" si="12"/>
        <v>14327.068527263833</v>
      </c>
      <c r="R43" s="45">
        <f t="shared" si="14"/>
        <v>0</v>
      </c>
      <c r="S43" s="78">
        <f>'Band Calculations'!Z18</f>
        <v>55</v>
      </c>
      <c r="T43" s="45">
        <f t="shared" si="15"/>
        <v>0</v>
      </c>
    </row>
    <row r="44" spans="1:20" x14ac:dyDescent="0.25">
      <c r="A44" s="102" t="s">
        <v>77</v>
      </c>
      <c r="B44" s="103" t="s">
        <v>130</v>
      </c>
      <c r="C44" s="221">
        <v>4</v>
      </c>
      <c r="D44" s="105">
        <f t="shared" si="7"/>
        <v>71</v>
      </c>
      <c r="E44" s="108">
        <v>17</v>
      </c>
      <c r="F44" s="107">
        <f t="shared" si="13"/>
        <v>0.23943661971830985</v>
      </c>
      <c r="G44" s="106">
        <v>24</v>
      </c>
      <c r="H44" s="107">
        <f t="shared" si="8"/>
        <v>0.3380281690140845</v>
      </c>
      <c r="I44" s="106">
        <v>0</v>
      </c>
      <c r="J44" s="107">
        <f t="shared" si="9"/>
        <v>0</v>
      </c>
      <c r="K44" s="106">
        <v>13</v>
      </c>
      <c r="L44" s="107">
        <f t="shared" si="10"/>
        <v>0.18309859154929578</v>
      </c>
      <c r="M44" s="109">
        <v>17</v>
      </c>
      <c r="N44" s="110">
        <f t="shared" si="11"/>
        <v>0.23943661971830985</v>
      </c>
      <c r="P44" s="45">
        <f t="shared" si="12"/>
        <v>10855.270293410516</v>
      </c>
      <c r="R44" s="45">
        <f t="shared" si="14"/>
        <v>274.51819030668594</v>
      </c>
      <c r="S44" s="78">
        <f>'Band Calculations'!Z19</f>
        <v>73</v>
      </c>
      <c r="T44" s="45">
        <f t="shared" si="15"/>
        <v>20039.827892388072</v>
      </c>
    </row>
    <row r="45" spans="1:20" x14ac:dyDescent="0.25">
      <c r="A45" s="102" t="s">
        <v>78</v>
      </c>
      <c r="B45" s="103" t="s">
        <v>132</v>
      </c>
      <c r="C45" s="221">
        <v>5</v>
      </c>
      <c r="D45" s="105">
        <f t="shared" si="7"/>
        <v>142</v>
      </c>
      <c r="E45" s="108">
        <v>0</v>
      </c>
      <c r="F45" s="107">
        <f t="shared" si="13"/>
        <v>0</v>
      </c>
      <c r="G45" s="108">
        <v>14</v>
      </c>
      <c r="H45" s="107">
        <f t="shared" si="8"/>
        <v>9.8591549295774641E-2</v>
      </c>
      <c r="I45" s="108">
        <v>102</v>
      </c>
      <c r="J45" s="107">
        <f t="shared" si="9"/>
        <v>0.71830985915492962</v>
      </c>
      <c r="K45" s="108">
        <v>6</v>
      </c>
      <c r="L45" s="107">
        <f t="shared" si="10"/>
        <v>4.2253521126760563E-2</v>
      </c>
      <c r="M45" s="109">
        <v>20</v>
      </c>
      <c r="N45" s="110">
        <f t="shared" si="11"/>
        <v>0.14084507042253522</v>
      </c>
      <c r="P45" s="45">
        <f t="shared" si="12"/>
        <v>7721.5167598965254</v>
      </c>
      <c r="R45" s="45">
        <f>P45-P20</f>
        <v>272.77107684690964</v>
      </c>
      <c r="S45" s="78">
        <f>'Band Calculations'!Z20</f>
        <v>142</v>
      </c>
      <c r="T45" s="45">
        <f t="shared" si="15"/>
        <v>38733.492912261165</v>
      </c>
    </row>
    <row r="46" spans="1:20" x14ac:dyDescent="0.25">
      <c r="A46" s="102" t="s">
        <v>55</v>
      </c>
      <c r="B46" s="103" t="s">
        <v>132</v>
      </c>
      <c r="C46" s="221">
        <v>5</v>
      </c>
      <c r="D46" s="105">
        <f t="shared" si="7"/>
        <v>248</v>
      </c>
      <c r="E46" s="108">
        <v>15</v>
      </c>
      <c r="F46" s="107">
        <f t="shared" si="13"/>
        <v>6.0483870967741937E-2</v>
      </c>
      <c r="G46" s="108">
        <v>55</v>
      </c>
      <c r="H46" s="107">
        <f t="shared" si="8"/>
        <v>0.22177419354838709</v>
      </c>
      <c r="I46" s="108">
        <v>162</v>
      </c>
      <c r="J46" s="107">
        <f t="shared" si="9"/>
        <v>0.65322580645161288</v>
      </c>
      <c r="K46" s="108">
        <v>0</v>
      </c>
      <c r="L46" s="107">
        <f t="shared" si="10"/>
        <v>0</v>
      </c>
      <c r="M46" s="109">
        <v>16</v>
      </c>
      <c r="N46" s="110">
        <f t="shared" si="11"/>
        <v>6.4516129032258063E-2</v>
      </c>
      <c r="P46" s="45">
        <f>(F46*$E$54)+(H46*$G$54)+(J46*$I$54)+(L46*$K$54)+(N46*$M$54)+(N46*$M$56)</f>
        <v>7340.139439256769</v>
      </c>
      <c r="R46" s="45">
        <f>P46-P21</f>
        <v>-57.407453982776133</v>
      </c>
      <c r="S46" s="78">
        <f>'Band Calculations'!Z21</f>
        <v>230.83333333333337</v>
      </c>
      <c r="T46" s="45">
        <f t="shared" si="15"/>
        <v>-13251.553961024159</v>
      </c>
    </row>
    <row r="47" spans="1:20" x14ac:dyDescent="0.25">
      <c r="A47" s="102" t="s">
        <v>80</v>
      </c>
      <c r="B47" s="103" t="s">
        <v>131</v>
      </c>
      <c r="C47" s="221">
        <v>6</v>
      </c>
      <c r="D47" s="105">
        <f t="shared" si="7"/>
        <v>135</v>
      </c>
      <c r="E47" s="108">
        <v>68</v>
      </c>
      <c r="F47" s="107">
        <f t="shared" si="13"/>
        <v>0.50370370370370365</v>
      </c>
      <c r="G47" s="108">
        <v>0</v>
      </c>
      <c r="H47" s="107">
        <f t="shared" si="8"/>
        <v>0</v>
      </c>
      <c r="I47" s="108">
        <v>39</v>
      </c>
      <c r="J47" s="107">
        <f t="shared" si="9"/>
        <v>0.28888888888888886</v>
      </c>
      <c r="K47" s="108">
        <v>28</v>
      </c>
      <c r="L47" s="107">
        <f t="shared" si="10"/>
        <v>0.2074074074074074</v>
      </c>
      <c r="M47" s="109">
        <v>0</v>
      </c>
      <c r="N47" s="110">
        <f t="shared" si="11"/>
        <v>0</v>
      </c>
      <c r="P47" s="45">
        <f t="shared" si="12"/>
        <v>10118.068418370316</v>
      </c>
      <c r="R47" s="45">
        <f>P47-P23</f>
        <v>-1120.9481919842801</v>
      </c>
      <c r="S47" s="78">
        <f>'Band Calculations'!Z23</f>
        <v>129</v>
      </c>
      <c r="T47" s="45">
        <f t="shared" si="15"/>
        <v>-144602.31676597212</v>
      </c>
    </row>
    <row r="48" spans="1:20" ht="13" x14ac:dyDescent="0.3">
      <c r="A48" s="114" t="s">
        <v>62</v>
      </c>
      <c r="B48" s="114"/>
      <c r="C48" s="114"/>
      <c r="D48" s="115">
        <f>SUM(D30:D47)</f>
        <v>1607</v>
      </c>
      <c r="E48" s="116">
        <f>SUM(E30:E47)</f>
        <v>182</v>
      </c>
      <c r="F48" s="117"/>
      <c r="G48" s="116">
        <f>SUM(G30:G47)</f>
        <v>300</v>
      </c>
      <c r="H48" s="118"/>
      <c r="I48" s="116">
        <f>SUM(I30:I47)</f>
        <v>620</v>
      </c>
      <c r="J48" s="118"/>
      <c r="K48" s="116">
        <f>SUM(K30:K47)</f>
        <v>91</v>
      </c>
      <c r="L48" s="118"/>
      <c r="M48" s="119">
        <f>SUM(M30:M47)</f>
        <v>414</v>
      </c>
      <c r="N48" s="120"/>
      <c r="S48" s="227"/>
    </row>
    <row r="49" spans="1:20" ht="13" thickBot="1" x14ac:dyDescent="0.3">
      <c r="A49" s="114" t="s">
        <v>101</v>
      </c>
      <c r="B49" s="114"/>
      <c r="C49" s="114"/>
      <c r="D49" s="121"/>
      <c r="E49" s="122">
        <f>E48/D48</f>
        <v>0.11325451151213441</v>
      </c>
      <c r="F49" s="107"/>
      <c r="G49" s="122">
        <f>G48/D48</f>
        <v>0.18668326073428748</v>
      </c>
      <c r="H49" s="107"/>
      <c r="I49" s="122">
        <f>I48/D48</f>
        <v>0.38581207218419417</v>
      </c>
      <c r="J49" s="107"/>
      <c r="K49" s="122">
        <f>K48/D48</f>
        <v>5.6627255756067203E-2</v>
      </c>
      <c r="L49" s="107"/>
      <c r="M49" s="123">
        <f>M48/D48</f>
        <v>0.25762289981331676</v>
      </c>
      <c r="N49" s="120"/>
      <c r="T49" s="229">
        <f>SUM(T30:T47)</f>
        <v>53720.216846069263</v>
      </c>
    </row>
    <row r="52" spans="1:20" x14ac:dyDescent="0.25">
      <c r="A52" s="1969" t="s">
        <v>264</v>
      </c>
      <c r="B52" s="1969"/>
      <c r="C52" s="1969"/>
      <c r="D52" s="1969"/>
      <c r="E52" s="222">
        <f>E49-E25</f>
        <v>4.4733843823834274E-3</v>
      </c>
      <c r="F52" s="222"/>
      <c r="G52" s="222">
        <f>G49-G25</f>
        <v>-5.9772897244281253E-3</v>
      </c>
      <c r="H52" s="222"/>
      <c r="I52" s="222">
        <f>I49-I25</f>
        <v>1.2941823167156141E-2</v>
      </c>
      <c r="J52" s="222"/>
      <c r="K52" s="222">
        <f>K49-K25</f>
        <v>6.1685401597369252E-3</v>
      </c>
      <c r="L52" s="222"/>
      <c r="M52" s="222">
        <f>M49-M25</f>
        <v>-1.7606457984848389E-2</v>
      </c>
    </row>
    <row r="54" spans="1:20" x14ac:dyDescent="0.25">
      <c r="E54" s="219">
        <v>11692.020638096787</v>
      </c>
      <c r="G54" s="219">
        <v>7350.1419469065795</v>
      </c>
      <c r="I54" s="219">
        <v>6243.7244928897762</v>
      </c>
      <c r="K54" s="219">
        <v>11692.020638096787</v>
      </c>
      <c r="M54" s="219">
        <v>11692.020638096787</v>
      </c>
    </row>
    <row r="56" spans="1:20" x14ac:dyDescent="0.25">
      <c r="M56" s="42">
        <v>2635.0478891670464</v>
      </c>
    </row>
    <row r="58" spans="1:20" x14ac:dyDescent="0.25">
      <c r="A58" s="1"/>
    </row>
    <row r="59" spans="1:20" x14ac:dyDescent="0.25">
      <c r="A59" s="245"/>
    </row>
  </sheetData>
  <sheetProtection password="D462" sheet="1"/>
  <mergeCells count="1">
    <mergeCell ref="A52:D52"/>
  </mergeCells>
  <phoneticPr fontId="5" type="noConversion"/>
  <pageMargins left="0.74803149606299213" right="0.74803149606299213" top="0.98425196850393704" bottom="0.98425196850393704" header="0.51181102362204722" footer="0.51181102362204722"/>
  <pageSetup paperSize="9" scale="6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0B0F0"/>
  </sheetPr>
  <dimension ref="A2:D30"/>
  <sheetViews>
    <sheetView workbookViewId="0">
      <selection activeCell="H46" sqref="H46"/>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349" t="s">
        <v>405</v>
      </c>
      <c r="B3" s="350" t="s">
        <v>406</v>
      </c>
      <c r="C3" s="351" t="s">
        <v>407</v>
      </c>
      <c r="D3" s="351" t="s">
        <v>408</v>
      </c>
    </row>
    <row r="4" spans="1:4" x14ac:dyDescent="0.25">
      <c r="A4" s="364">
        <v>9257002</v>
      </c>
      <c r="B4" s="352" t="s">
        <v>409</v>
      </c>
      <c r="C4" s="353">
        <v>41</v>
      </c>
      <c r="D4" s="354">
        <f>($C$24*$C$25)*C4</f>
        <v>18306.5</v>
      </c>
    </row>
    <row r="5" spans="1:4" x14ac:dyDescent="0.25">
      <c r="A5" s="364">
        <v>9257005</v>
      </c>
      <c r="B5" s="352" t="s">
        <v>410</v>
      </c>
      <c r="C5" s="353">
        <v>24</v>
      </c>
      <c r="D5" s="354">
        <f t="shared" ref="D5:D21" si="0">($C$24*$C$25)*C5</f>
        <v>10716</v>
      </c>
    </row>
    <row r="6" spans="1:4" x14ac:dyDescent="0.25">
      <c r="A6" s="364">
        <v>9257008</v>
      </c>
      <c r="B6" s="352" t="s">
        <v>87</v>
      </c>
      <c r="C6" s="353">
        <v>40</v>
      </c>
      <c r="D6" s="354">
        <f t="shared" si="0"/>
        <v>17860</v>
      </c>
    </row>
    <row r="7" spans="1:4" x14ac:dyDescent="0.25">
      <c r="A7" s="364">
        <v>9257009</v>
      </c>
      <c r="B7" s="352" t="s">
        <v>411</v>
      </c>
      <c r="C7" s="353">
        <v>34</v>
      </c>
      <c r="D7" s="354">
        <f t="shared" si="0"/>
        <v>15181</v>
      </c>
    </row>
    <row r="8" spans="1:4" x14ac:dyDescent="0.25">
      <c r="A8" s="364">
        <v>9257010</v>
      </c>
      <c r="B8" s="352" t="s">
        <v>412</v>
      </c>
      <c r="C8" s="353">
        <v>8</v>
      </c>
      <c r="D8" s="354">
        <f t="shared" si="0"/>
        <v>3572</v>
      </c>
    </row>
    <row r="9" spans="1:4" x14ac:dyDescent="0.25">
      <c r="A9" s="364">
        <v>9257011</v>
      </c>
      <c r="B9" s="352" t="s">
        <v>413</v>
      </c>
      <c r="C9" s="353">
        <v>12</v>
      </c>
      <c r="D9" s="354">
        <f t="shared" si="0"/>
        <v>5358</v>
      </c>
    </row>
    <row r="10" spans="1:4" x14ac:dyDescent="0.25">
      <c r="A10" s="364">
        <v>9257015</v>
      </c>
      <c r="B10" s="352" t="s">
        <v>414</v>
      </c>
      <c r="C10" s="353">
        <v>116</v>
      </c>
      <c r="D10" s="354">
        <f t="shared" si="0"/>
        <v>51794</v>
      </c>
    </row>
    <row r="11" spans="1:4" x14ac:dyDescent="0.25">
      <c r="A11" s="364">
        <v>9257016</v>
      </c>
      <c r="B11" s="352" t="s">
        <v>415</v>
      </c>
      <c r="C11" s="353">
        <v>29</v>
      </c>
      <c r="D11" s="354">
        <f t="shared" si="0"/>
        <v>12948.5</v>
      </c>
    </row>
    <row r="12" spans="1:4" x14ac:dyDescent="0.25">
      <c r="A12" s="364">
        <v>9257021</v>
      </c>
      <c r="B12" s="352" t="s">
        <v>416</v>
      </c>
      <c r="C12" s="353">
        <v>58</v>
      </c>
      <c r="D12" s="354">
        <f t="shared" si="0"/>
        <v>25897</v>
      </c>
    </row>
    <row r="13" spans="1:4" x14ac:dyDescent="0.25">
      <c r="A13" s="364">
        <v>9257024</v>
      </c>
      <c r="B13" s="352" t="s">
        <v>417</v>
      </c>
      <c r="C13" s="353">
        <v>22</v>
      </c>
      <c r="D13" s="354">
        <f t="shared" si="0"/>
        <v>9823</v>
      </c>
    </row>
    <row r="14" spans="1:4" x14ac:dyDescent="0.25">
      <c r="A14" s="364">
        <v>9257025</v>
      </c>
      <c r="B14" s="352" t="s">
        <v>418</v>
      </c>
      <c r="C14" s="353">
        <v>17</v>
      </c>
      <c r="D14" s="354">
        <f t="shared" si="0"/>
        <v>7590.5</v>
      </c>
    </row>
    <row r="15" spans="1:4" x14ac:dyDescent="0.25">
      <c r="A15" s="364">
        <v>9257028</v>
      </c>
      <c r="B15" s="352" t="s">
        <v>419</v>
      </c>
      <c r="C15" s="353">
        <v>22</v>
      </c>
      <c r="D15" s="354">
        <f t="shared" si="0"/>
        <v>9823</v>
      </c>
    </row>
    <row r="16" spans="1:4" x14ac:dyDescent="0.25">
      <c r="A16" s="364">
        <v>9257029</v>
      </c>
      <c r="B16" s="352" t="s">
        <v>420</v>
      </c>
      <c r="C16" s="353">
        <v>16</v>
      </c>
      <c r="D16" s="354">
        <f t="shared" si="0"/>
        <v>7144</v>
      </c>
    </row>
    <row r="17" spans="1:4" x14ac:dyDescent="0.25">
      <c r="A17" s="364">
        <v>9257030</v>
      </c>
      <c r="B17" s="352" t="s">
        <v>421</v>
      </c>
      <c r="C17" s="353">
        <v>29</v>
      </c>
      <c r="D17" s="354">
        <f t="shared" si="0"/>
        <v>12948.5</v>
      </c>
    </row>
    <row r="18" spans="1:4" x14ac:dyDescent="0.25">
      <c r="A18" s="364">
        <v>9257031</v>
      </c>
      <c r="B18" s="352" t="s">
        <v>422</v>
      </c>
      <c r="C18" s="353">
        <v>27</v>
      </c>
      <c r="D18" s="354">
        <f t="shared" si="0"/>
        <v>12055.5</v>
      </c>
    </row>
    <row r="19" spans="1:4" x14ac:dyDescent="0.25">
      <c r="A19" s="364">
        <v>9257032</v>
      </c>
      <c r="B19" s="352" t="s">
        <v>423</v>
      </c>
      <c r="C19" s="353">
        <v>11</v>
      </c>
      <c r="D19" s="354">
        <f t="shared" si="0"/>
        <v>4911.5</v>
      </c>
    </row>
    <row r="20" spans="1:4" x14ac:dyDescent="0.25">
      <c r="A20" s="364">
        <v>9257033</v>
      </c>
      <c r="B20" s="352" t="s">
        <v>424</v>
      </c>
      <c r="C20" s="353">
        <v>26</v>
      </c>
      <c r="D20" s="354">
        <f t="shared" si="0"/>
        <v>11609</v>
      </c>
    </row>
    <row r="21" spans="1:4" ht="13" thickBot="1" x14ac:dyDescent="0.3">
      <c r="A21" s="365">
        <v>9257034</v>
      </c>
      <c r="B21" s="355" t="s">
        <v>425</v>
      </c>
      <c r="C21" s="356">
        <v>41</v>
      </c>
      <c r="D21" s="357">
        <f t="shared" si="0"/>
        <v>18306.5</v>
      </c>
    </row>
    <row r="22" spans="1:4" x14ac:dyDescent="0.25">
      <c r="A22" s="358"/>
      <c r="B22" s="359"/>
      <c r="C22" s="358"/>
      <c r="D22" s="360"/>
    </row>
    <row r="23" spans="1:4" ht="13" thickBot="1" x14ac:dyDescent="0.3">
      <c r="A23" s="358"/>
      <c r="B23" s="359"/>
      <c r="C23" s="358"/>
      <c r="D23" s="363">
        <f>SUM(D4:D21)</f>
        <v>255844.5</v>
      </c>
    </row>
    <row r="24" spans="1:4" x14ac:dyDescent="0.25">
      <c r="A24" s="358"/>
      <c r="B24" s="361" t="s">
        <v>426</v>
      </c>
      <c r="C24" s="362">
        <v>2.35</v>
      </c>
      <c r="D24" s="359"/>
    </row>
    <row r="25" spans="1:4" x14ac:dyDescent="0.25">
      <c r="A25" s="358"/>
      <c r="B25" s="361" t="s">
        <v>427</v>
      </c>
      <c r="C25" s="358">
        <v>190</v>
      </c>
      <c r="D25" s="359"/>
    </row>
    <row r="26" spans="1:4" x14ac:dyDescent="0.25">
      <c r="A26" s="358"/>
      <c r="B26" s="359"/>
      <c r="C26" s="358"/>
      <c r="D26" s="359"/>
    </row>
    <row r="28" spans="1:4" x14ac:dyDescent="0.25">
      <c r="C28" s="6" t="s">
        <v>428</v>
      </c>
      <c r="D28" s="16">
        <f>'2014-15 Funding Detail'!I25</f>
        <v>215664.5</v>
      </c>
    </row>
    <row r="29" spans="1:4" x14ac:dyDescent="0.25">
      <c r="D29" s="16"/>
    </row>
    <row r="30" spans="1:4" x14ac:dyDescent="0.25">
      <c r="C30" s="6" t="s">
        <v>429</v>
      </c>
      <c r="D30" s="16">
        <f>D23-D28</f>
        <v>40180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B050"/>
  </sheetPr>
  <dimension ref="A1:C28"/>
  <sheetViews>
    <sheetView topLeftCell="A13" zoomScale="85" zoomScaleNormal="85" workbookViewId="0">
      <selection activeCell="C28" sqref="C28"/>
    </sheetView>
  </sheetViews>
  <sheetFormatPr defaultColWidth="9.1796875" defaultRowHeight="12.5" x14ac:dyDescent="0.25"/>
  <cols>
    <col min="1" max="1" width="14.54296875" style="256" customWidth="1"/>
    <col min="2" max="2" width="27.453125" style="256" bestFit="1" customWidth="1"/>
    <col min="3" max="3" width="11" style="256" bestFit="1" customWidth="1"/>
    <col min="4" max="16384" width="9.1796875" style="256"/>
  </cols>
  <sheetData>
    <row r="1" spans="1:3" ht="13" x14ac:dyDescent="0.3">
      <c r="A1" s="255" t="s">
        <v>354</v>
      </c>
    </row>
    <row r="3" spans="1:3" x14ac:dyDescent="0.25">
      <c r="A3" s="256" t="s">
        <v>355</v>
      </c>
      <c r="C3" s="257">
        <v>0.12565902694384193</v>
      </c>
    </row>
    <row r="4" spans="1:3" x14ac:dyDescent="0.25">
      <c r="C4" s="257"/>
    </row>
    <row r="5" spans="1:3" x14ac:dyDescent="0.25">
      <c r="C5" s="258" t="s">
        <v>159</v>
      </c>
    </row>
    <row r="6" spans="1:3" x14ac:dyDescent="0.25">
      <c r="A6" s="259"/>
      <c r="B6" s="259"/>
      <c r="C6" s="260" t="s">
        <v>356</v>
      </c>
    </row>
    <row r="7" spans="1:3" x14ac:dyDescent="0.25">
      <c r="A7" s="261"/>
      <c r="B7" s="261"/>
      <c r="C7" s="262" t="s">
        <v>357</v>
      </c>
    </row>
    <row r="8" spans="1:3" x14ac:dyDescent="0.25">
      <c r="A8" s="263"/>
      <c r="B8" s="263" t="s">
        <v>358</v>
      </c>
      <c r="C8" s="264" t="s">
        <v>359</v>
      </c>
    </row>
    <row r="9" spans="1:3" x14ac:dyDescent="0.25">
      <c r="A9" s="266">
        <v>9257010</v>
      </c>
      <c r="B9" s="265" t="s">
        <v>67</v>
      </c>
      <c r="C9" s="287">
        <v>8695.8559825677494</v>
      </c>
    </row>
    <row r="10" spans="1:3" x14ac:dyDescent="0.25">
      <c r="A10" s="266">
        <v>9257029</v>
      </c>
      <c r="B10" s="265" t="s">
        <v>160</v>
      </c>
      <c r="C10" s="287">
        <v>7293.7525599283608</v>
      </c>
    </row>
    <row r="11" spans="1:3" x14ac:dyDescent="0.25">
      <c r="A11" s="266">
        <v>9257030</v>
      </c>
      <c r="B11" s="265" t="s">
        <v>92</v>
      </c>
      <c r="C11" s="287">
        <v>7293.7525599283608</v>
      </c>
    </row>
    <row r="12" spans="1:3" x14ac:dyDescent="0.25">
      <c r="A12" s="266">
        <v>9257031</v>
      </c>
      <c r="B12" s="265" t="s">
        <v>360</v>
      </c>
      <c r="C12" s="287">
        <v>6994.5584167750731</v>
      </c>
    </row>
    <row r="13" spans="1:3" x14ac:dyDescent="0.25">
      <c r="A13" s="266">
        <v>9257008</v>
      </c>
      <c r="B13" s="265" t="s">
        <v>73</v>
      </c>
      <c r="C13" s="287">
        <v>8695.8559825677494</v>
      </c>
    </row>
    <row r="14" spans="1:3" x14ac:dyDescent="0.25">
      <c r="A14" s="266">
        <v>9257002</v>
      </c>
      <c r="B14" s="265" t="s">
        <v>75</v>
      </c>
      <c r="C14" s="287">
        <v>11157.390661370669</v>
      </c>
    </row>
    <row r="15" spans="1:3" x14ac:dyDescent="0.25">
      <c r="A15" s="266">
        <v>9257005</v>
      </c>
      <c r="B15" s="265" t="s">
        <v>68</v>
      </c>
      <c r="C15" s="287">
        <v>8695.8559825677494</v>
      </c>
    </row>
    <row r="16" spans="1:3" x14ac:dyDescent="0.25">
      <c r="A16" s="266">
        <v>9257034</v>
      </c>
      <c r="B16" s="265" t="s">
        <v>74</v>
      </c>
      <c r="C16" s="287">
        <v>11157.390661370669</v>
      </c>
    </row>
    <row r="17" spans="1:3" x14ac:dyDescent="0.25">
      <c r="A17" s="266">
        <v>9257021</v>
      </c>
      <c r="B17" s="265" t="s">
        <v>78</v>
      </c>
      <c r="C17" s="287">
        <v>14705.498946156989</v>
      </c>
    </row>
    <row r="18" spans="1:3" x14ac:dyDescent="0.25">
      <c r="A18" s="266">
        <v>9257033</v>
      </c>
      <c r="B18" s="265" t="s">
        <v>96</v>
      </c>
      <c r="C18" s="287">
        <v>8695.8559825677494</v>
      </c>
    </row>
    <row r="19" spans="1:3" x14ac:dyDescent="0.25">
      <c r="A19" s="266">
        <v>9257015</v>
      </c>
      <c r="B19" s="265" t="s">
        <v>55</v>
      </c>
      <c r="C19" s="287">
        <v>14705.498946156989</v>
      </c>
    </row>
    <row r="20" spans="1:3" x14ac:dyDescent="0.25">
      <c r="A20" s="266">
        <v>9257016</v>
      </c>
      <c r="B20" s="265" t="s">
        <v>361</v>
      </c>
      <c r="C20" s="287">
        <v>16551.807029042859</v>
      </c>
    </row>
    <row r="21" spans="1:3" x14ac:dyDescent="0.25">
      <c r="A21" s="266">
        <v>9257032</v>
      </c>
      <c r="B21" s="265" t="s">
        <v>362</v>
      </c>
      <c r="C21" s="287">
        <v>7293.7525599283608</v>
      </c>
    </row>
    <row r="22" spans="1:3" x14ac:dyDescent="0.25">
      <c r="A22" s="266">
        <v>9257025</v>
      </c>
      <c r="B22" s="265" t="s">
        <v>69</v>
      </c>
      <c r="C22" s="287">
        <v>8695.8559825677494</v>
      </c>
    </row>
    <row r="23" spans="1:3" x14ac:dyDescent="0.25">
      <c r="A23" s="266">
        <v>9257011</v>
      </c>
      <c r="B23" s="265" t="s">
        <v>70</v>
      </c>
      <c r="C23" s="287">
        <v>8695.8559825677494</v>
      </c>
    </row>
    <row r="24" spans="1:3" x14ac:dyDescent="0.25">
      <c r="A24" s="266">
        <v>9257009</v>
      </c>
      <c r="B24" s="265" t="s">
        <v>76</v>
      </c>
      <c r="C24" s="287">
        <v>11157.390661370669</v>
      </c>
    </row>
    <row r="25" spans="1:3" x14ac:dyDescent="0.25">
      <c r="A25" s="266">
        <v>9257024</v>
      </c>
      <c r="B25" s="265" t="s">
        <v>71</v>
      </c>
      <c r="C25" s="287">
        <v>8695.8559825677494</v>
      </c>
    </row>
    <row r="26" spans="1:3" x14ac:dyDescent="0.25">
      <c r="A26" s="266">
        <v>9257028</v>
      </c>
      <c r="B26" s="265" t="s">
        <v>364</v>
      </c>
      <c r="C26" s="287">
        <v>11157.390661370669</v>
      </c>
    </row>
    <row r="28" spans="1:3" x14ac:dyDescent="0.25">
      <c r="A28" s="256" t="s">
        <v>365</v>
      </c>
    </row>
  </sheetData>
  <sheetProtection password="C462" sheet="1" objects="1" scenarios="1"/>
  <phoneticPr fontId="6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I30"/>
  <sheetViews>
    <sheetView workbookViewId="0">
      <selection sqref="A1:XFD1048576"/>
    </sheetView>
  </sheetViews>
  <sheetFormatPr defaultRowHeight="12.5" x14ac:dyDescent="0.25"/>
  <cols>
    <col min="1" max="1" width="51.453125" customWidth="1"/>
    <col min="2" max="2" width="15.7265625" style="16" customWidth="1"/>
    <col min="3" max="3" width="57.54296875" style="2" customWidth="1"/>
    <col min="4" max="4" width="15.7265625" style="2" customWidth="1"/>
    <col min="5" max="5" width="1" customWidth="1"/>
    <col min="6" max="6" width="15.7265625" style="2" customWidth="1"/>
    <col min="7" max="7" width="0.81640625" customWidth="1"/>
    <col min="8" max="8" width="42" customWidth="1"/>
    <col min="9" max="9" width="15.7265625" customWidth="1"/>
  </cols>
  <sheetData>
    <row r="2" spans="1:9" ht="13" x14ac:dyDescent="0.3">
      <c r="A2" s="1" t="s">
        <v>505</v>
      </c>
      <c r="B2" s="503" t="s">
        <v>538</v>
      </c>
      <c r="C2" s="503"/>
      <c r="D2" s="503" t="s">
        <v>463</v>
      </c>
      <c r="E2" s="504"/>
      <c r="F2" s="503" t="s">
        <v>524</v>
      </c>
    </row>
    <row r="4" spans="1:9" x14ac:dyDescent="0.25">
      <c r="A4" s="6" t="s">
        <v>511</v>
      </c>
      <c r="B4" s="418">
        <f>'2016-17 Funding Detail'!X25</f>
        <v>25193996.504152969</v>
      </c>
      <c r="D4" s="16">
        <v>24748323.951198339</v>
      </c>
      <c r="E4" s="502"/>
      <c r="F4" s="16">
        <f>B4-D4</f>
        <v>445672.55295462906</v>
      </c>
      <c r="H4" s="6" t="s">
        <v>527</v>
      </c>
    </row>
    <row r="5" spans="1:9" x14ac:dyDescent="0.25">
      <c r="A5" s="6" t="s">
        <v>512</v>
      </c>
      <c r="B5" s="418">
        <f>'2016-17 Funding Detail'!F25</f>
        <v>859007</v>
      </c>
      <c r="D5" s="16">
        <v>850820</v>
      </c>
      <c r="E5" s="502"/>
      <c r="F5" s="16">
        <f t="shared" ref="F5:F10" si="0">B5-D5</f>
        <v>8187</v>
      </c>
      <c r="H5" s="6" t="s">
        <v>370</v>
      </c>
    </row>
    <row r="6" spans="1:9" x14ac:dyDescent="0.25">
      <c r="A6" s="6" t="s">
        <v>506</v>
      </c>
      <c r="B6" s="418">
        <f>'2016-17 Other Funding'!AA64+'2015-16 Other Funding'!AB64+'2016-17 Other Funding'!AC64</f>
        <v>757936</v>
      </c>
      <c r="D6" s="16">
        <v>757936</v>
      </c>
      <c r="E6" s="502"/>
      <c r="F6" s="16">
        <f t="shared" si="0"/>
        <v>0</v>
      </c>
      <c r="H6" s="415" t="s">
        <v>212</v>
      </c>
      <c r="I6" s="346"/>
    </row>
    <row r="7" spans="1:9" ht="13" x14ac:dyDescent="0.3">
      <c r="A7" s="6" t="s">
        <v>183</v>
      </c>
      <c r="B7" s="418">
        <v>317322</v>
      </c>
      <c r="D7" s="16">
        <v>317322</v>
      </c>
      <c r="E7" s="502"/>
      <c r="F7" s="16">
        <f t="shared" si="0"/>
        <v>0</v>
      </c>
      <c r="H7" s="416"/>
      <c r="I7" s="417"/>
    </row>
    <row r="8" spans="1:9" x14ac:dyDescent="0.25">
      <c r="A8" s="6" t="s">
        <v>184</v>
      </c>
      <c r="B8" s="418">
        <f>'2016-17 Other Funding'!AD26</f>
        <v>910212</v>
      </c>
      <c r="D8" s="16">
        <v>910212</v>
      </c>
      <c r="E8" s="502"/>
      <c r="F8" s="16">
        <f t="shared" si="0"/>
        <v>0</v>
      </c>
      <c r="H8" s="20"/>
      <c r="I8" s="20"/>
    </row>
    <row r="9" spans="1:9" x14ac:dyDescent="0.25">
      <c r="A9" s="6" t="s">
        <v>507</v>
      </c>
      <c r="B9" s="418">
        <v>1235496</v>
      </c>
      <c r="D9" s="16">
        <v>1235496</v>
      </c>
      <c r="E9" s="502"/>
      <c r="F9" s="16">
        <f t="shared" si="0"/>
        <v>0</v>
      </c>
      <c r="H9" s="611"/>
      <c r="I9" s="20"/>
    </row>
    <row r="10" spans="1:9" x14ac:dyDescent="0.25">
      <c r="A10" s="6" t="s">
        <v>508</v>
      </c>
      <c r="B10" s="346">
        <v>291991</v>
      </c>
      <c r="D10" s="16">
        <v>294788</v>
      </c>
      <c r="E10" s="502"/>
      <c r="F10" s="16">
        <f t="shared" si="0"/>
        <v>-2797</v>
      </c>
      <c r="H10" s="612" t="s">
        <v>560</v>
      </c>
    </row>
    <row r="11" spans="1:9" ht="13" x14ac:dyDescent="0.3">
      <c r="A11" s="6"/>
      <c r="B11" s="346"/>
      <c r="D11" s="16"/>
      <c r="E11" s="502"/>
      <c r="F11" s="419"/>
    </row>
    <row r="12" spans="1:9" ht="13" x14ac:dyDescent="0.3">
      <c r="A12" s="424" t="s">
        <v>559</v>
      </c>
      <c r="B12" s="174">
        <f>SUM(B4:B10)</f>
        <v>29565960.504152969</v>
      </c>
      <c r="D12" s="419">
        <f>SUM(D4:D11)</f>
        <v>29114897.951198339</v>
      </c>
      <c r="E12" s="419"/>
      <c r="F12" s="419">
        <f>SUM(F4:F11)</f>
        <v>451062.55295462906</v>
      </c>
      <c r="G12" s="20"/>
      <c r="H12" s="423"/>
    </row>
    <row r="13" spans="1:9" ht="13" x14ac:dyDescent="0.3">
      <c r="A13" s="6"/>
      <c r="B13" s="174"/>
      <c r="F13" s="417"/>
      <c r="H13" s="420"/>
    </row>
    <row r="14" spans="1:9" ht="13" x14ac:dyDescent="0.3">
      <c r="A14" s="610" t="s">
        <v>561</v>
      </c>
      <c r="B14" s="614">
        <v>28682997</v>
      </c>
      <c r="D14" s="16">
        <f>B14-D12</f>
        <v>-431900.95119833946</v>
      </c>
      <c r="F14" s="417"/>
      <c r="H14" s="420"/>
    </row>
    <row r="15" spans="1:9" ht="13" x14ac:dyDescent="0.3">
      <c r="A15" s="610" t="s">
        <v>558</v>
      </c>
      <c r="B15" s="614">
        <v>206000</v>
      </c>
      <c r="C15" s="426" t="s">
        <v>212</v>
      </c>
      <c r="F15" s="417"/>
      <c r="H15" s="420"/>
    </row>
    <row r="16" spans="1:9" ht="13" x14ac:dyDescent="0.3">
      <c r="A16" s="6"/>
      <c r="B16" s="174"/>
      <c r="F16" s="417"/>
      <c r="H16" s="420"/>
    </row>
    <row r="17" spans="1:8" ht="13" x14ac:dyDescent="0.3">
      <c r="A17" s="420" t="s">
        <v>104</v>
      </c>
      <c r="B17" s="174">
        <f>B12-B14-B15</f>
        <v>676963.50415296853</v>
      </c>
      <c r="F17" s="417"/>
      <c r="H17" s="420"/>
    </row>
    <row r="18" spans="1:8" ht="13" x14ac:dyDescent="0.3">
      <c r="A18" s="6"/>
      <c r="B18" s="174"/>
      <c r="F18" s="417"/>
      <c r="H18" s="420"/>
    </row>
    <row r="19" spans="1:8" ht="13" x14ac:dyDescent="0.3">
      <c r="A19" s="1851" t="s">
        <v>517</v>
      </c>
      <c r="B19" s="614">
        <v>0</v>
      </c>
      <c r="C19" s="426" t="s">
        <v>528</v>
      </c>
      <c r="F19" s="417"/>
      <c r="H19" s="420"/>
    </row>
    <row r="20" spans="1:8" ht="13" x14ac:dyDescent="0.3">
      <c r="A20" s="1851"/>
      <c r="B20" s="425"/>
      <c r="F20" s="417"/>
      <c r="H20" s="420"/>
    </row>
    <row r="21" spans="1:8" ht="13" x14ac:dyDescent="0.3">
      <c r="A21" s="573"/>
      <c r="B21" s="425"/>
      <c r="F21" s="417"/>
      <c r="H21" s="420"/>
    </row>
    <row r="22" spans="1:8" ht="13" x14ac:dyDescent="0.3">
      <c r="A22" s="573"/>
      <c r="B22" s="425">
        <f>B17-B19</f>
        <v>676963.50415296853</v>
      </c>
      <c r="C22" s="426" t="s">
        <v>518</v>
      </c>
      <c r="F22" s="417"/>
      <c r="H22" s="420"/>
    </row>
    <row r="23" spans="1:8" ht="13" x14ac:dyDescent="0.3">
      <c r="A23" s="573"/>
      <c r="B23" s="425"/>
      <c r="F23" s="417"/>
      <c r="H23" s="420"/>
    </row>
    <row r="24" spans="1:8" ht="13" x14ac:dyDescent="0.3">
      <c r="A24" s="573" t="s">
        <v>519</v>
      </c>
      <c r="B24" s="614">
        <v>0</v>
      </c>
      <c r="C24" s="426" t="s">
        <v>521</v>
      </c>
      <c r="F24" s="417"/>
      <c r="H24" s="420"/>
    </row>
    <row r="25" spans="1:8" ht="13" x14ac:dyDescent="0.3">
      <c r="A25" s="573"/>
      <c r="B25" s="425"/>
      <c r="F25" s="417"/>
      <c r="H25" s="420"/>
    </row>
    <row r="26" spans="1:8" ht="13" x14ac:dyDescent="0.3">
      <c r="A26" s="573" t="s">
        <v>520</v>
      </c>
      <c r="B26" s="425">
        <f>B24-B22</f>
        <v>-676963.50415296853</v>
      </c>
      <c r="F26" s="417"/>
      <c r="H26" s="420"/>
    </row>
    <row r="27" spans="1:8" ht="13" x14ac:dyDescent="0.3">
      <c r="A27" s="573"/>
      <c r="B27" s="425"/>
      <c r="F27" s="417"/>
      <c r="H27" s="420"/>
    </row>
    <row r="28" spans="1:8" ht="13" x14ac:dyDescent="0.3">
      <c r="A28" s="573"/>
      <c r="B28" s="425"/>
      <c r="F28" s="417"/>
      <c r="H28" s="420"/>
    </row>
    <row r="29" spans="1:8" ht="13" x14ac:dyDescent="0.3">
      <c r="A29" s="573"/>
      <c r="B29" s="425"/>
      <c r="F29" s="417"/>
      <c r="H29" s="420"/>
    </row>
    <row r="30" spans="1:8" ht="13" x14ac:dyDescent="0.3">
      <c r="A30" s="6" t="s">
        <v>509</v>
      </c>
      <c r="B30" s="613">
        <v>0</v>
      </c>
      <c r="C30" s="421" t="s">
        <v>510</v>
      </c>
    </row>
  </sheetData>
  <mergeCells count="1">
    <mergeCell ref="A19:A20"/>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H29"/>
  <sheetViews>
    <sheetView topLeftCell="A16" zoomScale="85" zoomScaleNormal="85" workbookViewId="0">
      <selection activeCell="C29" sqref="C29"/>
    </sheetView>
  </sheetViews>
  <sheetFormatPr defaultColWidth="9.1796875" defaultRowHeight="12.5" x14ac:dyDescent="0.25"/>
  <cols>
    <col min="1" max="1" width="14.54296875" style="256" customWidth="1"/>
    <col min="2" max="2" width="27.453125" style="256" bestFit="1" customWidth="1"/>
    <col min="3" max="7" width="20.7265625" style="256" customWidth="1"/>
    <col min="8" max="16384" width="9.1796875" style="256"/>
  </cols>
  <sheetData>
    <row r="1" spans="1:8" ht="13" x14ac:dyDescent="0.3">
      <c r="A1" s="255" t="s">
        <v>439</v>
      </c>
    </row>
    <row r="2" spans="1:8" x14ac:dyDescent="0.25">
      <c r="C2" s="258"/>
    </row>
    <row r="3" spans="1:8" x14ac:dyDescent="0.25">
      <c r="A3" s="376"/>
      <c r="B3" s="376" t="s">
        <v>440</v>
      </c>
      <c r="C3" s="374" t="s">
        <v>21</v>
      </c>
      <c r="D3" s="374" t="s">
        <v>444</v>
      </c>
      <c r="E3" s="258"/>
      <c r="F3" s="258"/>
      <c r="G3" s="258"/>
      <c r="H3" s="258"/>
    </row>
    <row r="4" spans="1:8" x14ac:dyDescent="0.25">
      <c r="A4" s="266">
        <v>9257010</v>
      </c>
      <c r="B4" s="265" t="s">
        <v>67</v>
      </c>
      <c r="C4" s="375">
        <f>VLOOKUP(A4,'2016-17 Funding Detail'!$A$4:$M$23,5,FALSE)</f>
        <v>69201.680689977453</v>
      </c>
      <c r="D4" s="287">
        <f>C4*$C$29</f>
        <v>9717.978735709783</v>
      </c>
    </row>
    <row r="5" spans="1:8" x14ac:dyDescent="0.25">
      <c r="A5" s="266">
        <v>9257029</v>
      </c>
      <c r="B5" s="265" t="s">
        <v>160</v>
      </c>
      <c r="C5" s="375">
        <f>VLOOKUP(A5,'2016-17 Funding Detail'!$A$4:$M$23,5,FALSE)</f>
        <v>55663.058379368813</v>
      </c>
      <c r="D5" s="287">
        <f t="shared" ref="D5:D23" si="0">C5*$C$29</f>
        <v>7816.7526034323919</v>
      </c>
    </row>
    <row r="6" spans="1:8" x14ac:dyDescent="0.25">
      <c r="A6" s="266">
        <v>9257030</v>
      </c>
      <c r="B6" s="265" t="s">
        <v>92</v>
      </c>
      <c r="C6" s="375">
        <f>VLOOKUP(A6,'2016-17 Funding Detail'!$A$4:$M$23,5,FALSE)</f>
        <v>58044.118057617408</v>
      </c>
      <c r="D6" s="287">
        <f t="shared" si="0"/>
        <v>8151.1243569933868</v>
      </c>
    </row>
    <row r="7" spans="1:8" x14ac:dyDescent="0.25">
      <c r="A7" s="266">
        <v>9257031</v>
      </c>
      <c r="B7" s="265" t="s">
        <v>360</v>
      </c>
      <c r="C7" s="375">
        <f>VLOOKUP(A7,'2016-17 Funding Detail'!$A$4:$M$23,5,FALSE)</f>
        <v>58044.118057617408</v>
      </c>
      <c r="D7" s="287">
        <f t="shared" si="0"/>
        <v>8151.1243569933868</v>
      </c>
    </row>
    <row r="8" spans="1:8" x14ac:dyDescent="0.25">
      <c r="A8" s="266">
        <v>9257008</v>
      </c>
      <c r="B8" s="265" t="s">
        <v>73</v>
      </c>
      <c r="C8" s="375">
        <f>VLOOKUP(A8,'2016-17 Funding Detail'!$A$4:$M$23,5,FALSE)</f>
        <v>88790.687513148558</v>
      </c>
      <c r="D8" s="287">
        <f t="shared" si="0"/>
        <v>12468.859203686934</v>
      </c>
    </row>
    <row r="9" spans="1:8" x14ac:dyDescent="0.25">
      <c r="A9" s="266">
        <v>9257002</v>
      </c>
      <c r="B9" s="265" t="s">
        <v>75</v>
      </c>
      <c r="C9" s="375">
        <f>VLOOKUP(A9,'2016-17 Funding Detail'!$A$4:$M$23,5,FALSE)</f>
        <v>117027.3922528728</v>
      </c>
      <c r="D9" s="287">
        <f t="shared" si="0"/>
        <v>16434.134230119897</v>
      </c>
    </row>
    <row r="10" spans="1:8" x14ac:dyDescent="0.25">
      <c r="A10" s="266">
        <v>9257005</v>
      </c>
      <c r="B10" s="265" t="s">
        <v>68</v>
      </c>
      <c r="C10" s="375">
        <f>VLOOKUP(A10,'2016-17 Funding Detail'!$A$4:$M$23,5,FALSE)</f>
        <v>88790.687513148558</v>
      </c>
      <c r="D10" s="287">
        <f t="shared" si="0"/>
        <v>12468.859203686934</v>
      </c>
    </row>
    <row r="11" spans="1:8" x14ac:dyDescent="0.25">
      <c r="A11" s="266">
        <v>9257034</v>
      </c>
      <c r="B11" s="265" t="s">
        <v>74</v>
      </c>
      <c r="C11" s="375">
        <f>VLOOKUP(A11,'2016-17 Funding Detail'!$A$4:$M$23,5,FALSE)</f>
        <v>117027.3922528728</v>
      </c>
      <c r="D11" s="287">
        <f t="shared" si="0"/>
        <v>16434.134230119897</v>
      </c>
    </row>
    <row r="12" spans="1:8" x14ac:dyDescent="0.25">
      <c r="A12" s="266">
        <v>9257021</v>
      </c>
      <c r="B12" s="265" t="s">
        <v>78</v>
      </c>
      <c r="C12" s="375">
        <f>VLOOKUP(A12,'2016-17 Funding Detail'!$A$4:$M$23,5,FALSE)</f>
        <v>117027.3922528728</v>
      </c>
      <c r="D12" s="287">
        <f t="shared" si="0"/>
        <v>16434.134230119897</v>
      </c>
    </row>
    <row r="13" spans="1:8" x14ac:dyDescent="0.25">
      <c r="A13" s="266">
        <v>9257033</v>
      </c>
      <c r="B13" s="265" t="s">
        <v>96</v>
      </c>
      <c r="C13" s="375">
        <f>VLOOKUP(A13,'2016-17 Funding Detail'!$A$4:$M$23,5,FALSE)</f>
        <v>69201.680689977453</v>
      </c>
      <c r="D13" s="287">
        <f t="shared" si="0"/>
        <v>9717.978735709783</v>
      </c>
    </row>
    <row r="14" spans="1:8" x14ac:dyDescent="0.25">
      <c r="A14" s="266">
        <v>9257015</v>
      </c>
      <c r="B14" s="265" t="s">
        <v>55</v>
      </c>
      <c r="C14" s="375">
        <f>VLOOKUP(A14,'2016-17 Funding Detail'!$A$4:$M$23,5,FALSE)</f>
        <v>131719.7894229154</v>
      </c>
      <c r="D14" s="287">
        <f t="shared" si="0"/>
        <v>18497.38474443516</v>
      </c>
    </row>
    <row r="15" spans="1:8" x14ac:dyDescent="0.25">
      <c r="A15" s="266">
        <v>9257016</v>
      </c>
      <c r="B15" s="265" t="s">
        <v>361</v>
      </c>
      <c r="C15" s="375">
        <f>VLOOKUP(A15,'2016-17 Funding Detail'!$A$4:$M$23,5,FALSE)</f>
        <v>131719.7894229154</v>
      </c>
      <c r="D15" s="287">
        <f t="shared" si="0"/>
        <v>18497.38474443516</v>
      </c>
    </row>
    <row r="16" spans="1:8" x14ac:dyDescent="0.25">
      <c r="A16" s="266">
        <v>9257032</v>
      </c>
      <c r="B16" s="265" t="s">
        <v>362</v>
      </c>
      <c r="C16" s="375">
        <f>VLOOKUP(A16,'2016-17 Funding Detail'!$A$4:$M$23,5,FALSE)</f>
        <v>58044.118057617408</v>
      </c>
      <c r="D16" s="287">
        <f t="shared" si="0"/>
        <v>8151.1243569933868</v>
      </c>
    </row>
    <row r="17" spans="1:5" x14ac:dyDescent="0.25">
      <c r="A17" s="266">
        <v>9257025</v>
      </c>
      <c r="B17" s="265" t="s">
        <v>69</v>
      </c>
      <c r="C17" s="375">
        <f>VLOOKUP(A17,'2016-17 Funding Detail'!$A$4:$M$23,5,FALSE)</f>
        <v>88790.687513148558</v>
      </c>
      <c r="D17" s="287">
        <f t="shared" si="0"/>
        <v>12468.859203686934</v>
      </c>
    </row>
    <row r="18" spans="1:5" x14ac:dyDescent="0.25">
      <c r="A18" s="266">
        <v>9257011</v>
      </c>
      <c r="B18" s="265" t="s">
        <v>70</v>
      </c>
      <c r="C18" s="375">
        <f>VLOOKUP(A18,'2016-17 Funding Detail'!$A$4:$M$23,5,FALSE)</f>
        <v>88790.687513148558</v>
      </c>
      <c r="D18" s="287">
        <f t="shared" si="0"/>
        <v>12468.859203686934</v>
      </c>
    </row>
    <row r="19" spans="1:5" x14ac:dyDescent="0.25">
      <c r="A19" s="266">
        <v>9257009</v>
      </c>
      <c r="B19" s="265" t="s">
        <v>76</v>
      </c>
      <c r="C19" s="375">
        <f>VLOOKUP(A19,'2016-17 Funding Detail'!$A$4:$M$23,5,FALSE)</f>
        <v>88790.687513148558</v>
      </c>
      <c r="D19" s="287">
        <f t="shared" si="0"/>
        <v>12468.859203686934</v>
      </c>
    </row>
    <row r="20" spans="1:5" x14ac:dyDescent="0.25">
      <c r="A20" s="266">
        <v>9257024</v>
      </c>
      <c r="B20" s="265" t="s">
        <v>71</v>
      </c>
      <c r="C20" s="375">
        <f>VLOOKUP(A20,'2016-17 Funding Detail'!$A$4:$M$23,5,FALSE)</f>
        <v>69201.680689977453</v>
      </c>
      <c r="D20" s="287">
        <f t="shared" si="0"/>
        <v>9717.978735709783</v>
      </c>
    </row>
    <row r="21" spans="1:5" x14ac:dyDescent="0.25">
      <c r="A21" s="266">
        <v>9257028</v>
      </c>
      <c r="B21" s="265" t="s">
        <v>364</v>
      </c>
      <c r="C21" s="375">
        <f>VLOOKUP(A21,'2016-17 Funding Detail'!$A$4:$M$23,5,FALSE)</f>
        <v>117027.3922528728</v>
      </c>
      <c r="D21" s="287">
        <f t="shared" si="0"/>
        <v>16434.134230119897</v>
      </c>
    </row>
    <row r="22" spans="1:5" x14ac:dyDescent="0.25">
      <c r="A22" s="266">
        <v>771800</v>
      </c>
      <c r="B22" s="377" t="s">
        <v>136</v>
      </c>
      <c r="C22" s="378">
        <v>45920</v>
      </c>
      <c r="D22" s="287">
        <f t="shared" si="0"/>
        <v>6448.5367854428996</v>
      </c>
    </row>
    <row r="23" spans="1:5" x14ac:dyDescent="0.25">
      <c r="A23" s="266">
        <v>771900</v>
      </c>
      <c r="B23" s="377" t="s">
        <v>363</v>
      </c>
      <c r="C23" s="378">
        <v>18682</v>
      </c>
      <c r="D23" s="287">
        <f t="shared" si="0"/>
        <v>2623.5096739034029</v>
      </c>
    </row>
    <row r="24" spans="1:5" x14ac:dyDescent="0.25">
      <c r="A24" s="369"/>
      <c r="B24" s="370"/>
      <c r="C24" s="372"/>
      <c r="D24" s="371"/>
    </row>
    <row r="25" spans="1:5" ht="13" thickBot="1" x14ac:dyDescent="0.3">
      <c r="A25" s="369"/>
      <c r="B25" s="370"/>
      <c r="C25" s="380">
        <f>SUM(C4:C23)</f>
        <v>1677505.0400452185</v>
      </c>
      <c r="D25" s="381">
        <f>SUM(D4:D23)</f>
        <v>235571.71076867284</v>
      </c>
      <c r="E25" s="256" t="s">
        <v>402</v>
      </c>
    </row>
    <row r="27" spans="1:5" x14ac:dyDescent="0.25">
      <c r="B27" s="373" t="s">
        <v>441</v>
      </c>
      <c r="C27" s="372">
        <v>235571.71076867284</v>
      </c>
      <c r="D27" s="256" t="s">
        <v>442</v>
      </c>
    </row>
    <row r="29" spans="1:5" x14ac:dyDescent="0.25">
      <c r="B29" s="373" t="s">
        <v>443</v>
      </c>
      <c r="C29" s="379">
        <f>C27/C25</f>
        <v>0.14042980804535932</v>
      </c>
    </row>
  </sheetData>
  <sheetProtection password="DC62" sheet="1"/>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C34"/>
  <sheetViews>
    <sheetView tabSelected="1" zoomScale="85" zoomScaleNormal="85" zoomScalePageLayoutView="85" workbookViewId="0">
      <selection activeCell="A2" sqref="A2"/>
    </sheetView>
  </sheetViews>
  <sheetFormatPr defaultColWidth="8.7265625" defaultRowHeight="15.5" x14ac:dyDescent="0.35"/>
  <cols>
    <col min="1" max="1" width="138.1796875" style="1630" customWidth="1"/>
    <col min="2" max="16384" width="8.7265625" style="1630"/>
  </cols>
  <sheetData>
    <row r="1" spans="1:3" x14ac:dyDescent="0.35">
      <c r="A1" s="1628"/>
      <c r="B1" s="1629"/>
    </row>
    <row r="2" spans="1:3" x14ac:dyDescent="0.35">
      <c r="A2" s="1631" t="s">
        <v>241</v>
      </c>
      <c r="B2" s="1632"/>
    </row>
    <row r="3" spans="1:3" x14ac:dyDescent="0.35">
      <c r="A3" s="1633"/>
      <c r="B3" s="1632"/>
    </row>
    <row r="4" spans="1:3" x14ac:dyDescent="0.35">
      <c r="A4" s="1634" t="s">
        <v>242</v>
      </c>
      <c r="B4" s="1632"/>
    </row>
    <row r="5" spans="1:3" x14ac:dyDescent="0.35">
      <c r="A5" s="1633" t="s">
        <v>1342</v>
      </c>
      <c r="B5" s="1632"/>
    </row>
    <row r="6" spans="1:3" x14ac:dyDescent="0.35">
      <c r="A6" s="1635" t="s">
        <v>605</v>
      </c>
      <c r="B6" s="1632"/>
    </row>
    <row r="7" spans="1:3" x14ac:dyDescent="0.35">
      <c r="A7" s="1635" t="s">
        <v>488</v>
      </c>
      <c r="B7" s="1632"/>
    </row>
    <row r="8" spans="1:3" x14ac:dyDescent="0.35">
      <c r="A8" s="1635" t="s">
        <v>831</v>
      </c>
      <c r="B8" s="1632"/>
      <c r="C8" s="1636"/>
    </row>
    <row r="9" spans="1:3" x14ac:dyDescent="0.35">
      <c r="A9" s="1635" t="s">
        <v>243</v>
      </c>
      <c r="B9" s="1632"/>
      <c r="C9" s="1636"/>
    </row>
    <row r="10" spans="1:3" x14ac:dyDescent="0.35">
      <c r="A10" s="1635" t="s">
        <v>244</v>
      </c>
      <c r="B10" s="1632"/>
    </row>
    <row r="11" spans="1:3" x14ac:dyDescent="0.35">
      <c r="A11" s="1635" t="s">
        <v>677</v>
      </c>
      <c r="B11" s="1632"/>
    </row>
    <row r="12" spans="1:3" x14ac:dyDescent="0.35">
      <c r="A12" s="1635" t="s">
        <v>247</v>
      </c>
      <c r="B12" s="1632"/>
    </row>
    <row r="13" spans="1:3" x14ac:dyDescent="0.35">
      <c r="A13" s="1635"/>
      <c r="B13" s="1632"/>
    </row>
    <row r="14" spans="1:3" x14ac:dyDescent="0.35">
      <c r="A14" s="1634" t="s">
        <v>679</v>
      </c>
      <c r="B14" s="1632"/>
    </row>
    <row r="15" spans="1:3" x14ac:dyDescent="0.35">
      <c r="A15" s="1637" t="s">
        <v>634</v>
      </c>
      <c r="B15" s="1632"/>
    </row>
    <row r="16" spans="1:3" x14ac:dyDescent="0.35">
      <c r="A16" s="1633" t="s">
        <v>245</v>
      </c>
      <c r="B16" s="1632"/>
    </row>
    <row r="17" spans="1:2" x14ac:dyDescent="0.35">
      <c r="A17" s="1635" t="s">
        <v>678</v>
      </c>
      <c r="B17" s="1632"/>
    </row>
    <row r="18" spans="1:2" x14ac:dyDescent="0.35">
      <c r="A18" s="1635" t="s">
        <v>489</v>
      </c>
      <c r="B18" s="1632"/>
    </row>
    <row r="19" spans="1:2" x14ac:dyDescent="0.35">
      <c r="A19" s="1635" t="s">
        <v>1343</v>
      </c>
      <c r="B19" s="1632"/>
    </row>
    <row r="20" spans="1:2" x14ac:dyDescent="0.35">
      <c r="A20" s="1635" t="s">
        <v>490</v>
      </c>
      <c r="B20" s="1632"/>
    </row>
    <row r="21" spans="1:2" x14ac:dyDescent="0.35">
      <c r="A21" s="1633" t="s">
        <v>1344</v>
      </c>
      <c r="B21" s="1632"/>
    </row>
    <row r="22" spans="1:2" x14ac:dyDescent="0.35">
      <c r="A22" s="1633" t="s">
        <v>246</v>
      </c>
      <c r="B22" s="1632"/>
    </row>
    <row r="23" spans="1:2" x14ac:dyDescent="0.35">
      <c r="A23" s="1635" t="s">
        <v>555</v>
      </c>
      <c r="B23" s="1632"/>
    </row>
    <row r="24" spans="1:2" x14ac:dyDescent="0.35">
      <c r="A24" s="1633"/>
      <c r="B24" s="1632"/>
    </row>
    <row r="25" spans="1:2" x14ac:dyDescent="0.35">
      <c r="A25" s="1634" t="s">
        <v>833</v>
      </c>
      <c r="B25" s="1632"/>
    </row>
    <row r="26" spans="1:2" x14ac:dyDescent="0.35">
      <c r="A26" s="1637" t="s">
        <v>635</v>
      </c>
      <c r="B26" s="1632"/>
    </row>
    <row r="27" spans="1:2" x14ac:dyDescent="0.35">
      <c r="A27" s="1633" t="s">
        <v>1345</v>
      </c>
      <c r="B27" s="1632"/>
    </row>
    <row r="28" spans="1:2" x14ac:dyDescent="0.35">
      <c r="A28" s="1638" t="s">
        <v>1346</v>
      </c>
      <c r="B28" s="1632"/>
    </row>
    <row r="29" spans="1:2" x14ac:dyDescent="0.35">
      <c r="A29" s="1638" t="s">
        <v>832</v>
      </c>
      <c r="B29" s="1632"/>
    </row>
    <row r="30" spans="1:2" x14ac:dyDescent="0.35">
      <c r="A30" s="1638" t="s">
        <v>1348</v>
      </c>
      <c r="B30" s="1632"/>
    </row>
    <row r="31" spans="1:2" x14ac:dyDescent="0.35">
      <c r="A31" s="1633"/>
      <c r="B31" s="1632"/>
    </row>
    <row r="32" spans="1:2" x14ac:dyDescent="0.35">
      <c r="A32" s="1634" t="s">
        <v>968</v>
      </c>
      <c r="B32" s="1632"/>
    </row>
    <row r="33" spans="1:2" x14ac:dyDescent="0.35">
      <c r="A33" s="1637" t="s">
        <v>969</v>
      </c>
      <c r="B33" s="1632"/>
    </row>
    <row r="34" spans="1:2" x14ac:dyDescent="0.35">
      <c r="A34" s="1639" t="s">
        <v>1347</v>
      </c>
      <c r="B34" s="1640"/>
    </row>
  </sheetData>
  <sheetProtection password="B262" sheet="1" objects="1" scenarios="1"/>
  <phoneticPr fontId="61" type="noConversion"/>
  <pageMargins left="0.70866141732283472" right="0.70866141732283472" top="0.74803149606299213" bottom="0.74803149606299213" header="0.31496062992125984" footer="0.31496062992125984"/>
  <pageSetup paperSize="9" scale="60" orientation="portrait" r:id="rId1"/>
  <headerFooter>
    <oddHeader xml:space="preserve">&amp;CLincolnshire County Council
</oddHeader>
    <oddFooter>&amp;C2021/22 Special School Budget Share Calculation
Front Sheet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1:B311"/>
  <sheetViews>
    <sheetView zoomScale="85" zoomScaleNormal="85" workbookViewId="0"/>
  </sheetViews>
  <sheetFormatPr defaultColWidth="8.7265625" defaultRowHeight="15.5" x14ac:dyDescent="0.35"/>
  <cols>
    <col min="1" max="1" width="7.81640625" style="1627" customWidth="1"/>
    <col min="2" max="2" width="138" style="1627" customWidth="1"/>
    <col min="3" max="16384" width="8.7265625" style="1627"/>
  </cols>
  <sheetData>
    <row r="1" spans="1:2" ht="12.65" customHeight="1" x14ac:dyDescent="0.35">
      <c r="A1" s="1641"/>
      <c r="B1" s="1970" t="s">
        <v>1379</v>
      </c>
    </row>
    <row r="2" spans="1:2" ht="12.65" customHeight="1" x14ac:dyDescent="0.35">
      <c r="A2" s="1641"/>
      <c r="B2" s="1970"/>
    </row>
    <row r="3" spans="1:2" ht="12.65" customHeight="1" x14ac:dyDescent="0.35">
      <c r="A3" s="1641"/>
      <c r="B3" s="1970"/>
    </row>
    <row r="4" spans="1:2" ht="12.65" customHeight="1" x14ac:dyDescent="0.35">
      <c r="A4" s="1641"/>
      <c r="B4" s="1970"/>
    </row>
    <row r="5" spans="1:2" ht="12.65" customHeight="1" x14ac:dyDescent="0.35">
      <c r="A5" s="1641"/>
      <c r="B5" s="1970"/>
    </row>
    <row r="6" spans="1:2" ht="12.65" customHeight="1" x14ac:dyDescent="0.35">
      <c r="A6" s="1641"/>
      <c r="B6" s="1970"/>
    </row>
    <row r="7" spans="1:2" ht="12.65" customHeight="1" x14ac:dyDescent="0.35">
      <c r="A7" s="1641"/>
      <c r="B7" s="1970"/>
    </row>
    <row r="8" spans="1:2" ht="12.65" customHeight="1" x14ac:dyDescent="0.35">
      <c r="A8" s="1641"/>
      <c r="B8" s="1970"/>
    </row>
    <row r="9" spans="1:2" ht="12.65" customHeight="1" x14ac:dyDescent="0.35">
      <c r="A9" s="1641"/>
      <c r="B9" s="1970"/>
    </row>
    <row r="10" spans="1:2" ht="12.65" customHeight="1" x14ac:dyDescent="0.35">
      <c r="A10" s="1641"/>
      <c r="B10" s="1970"/>
    </row>
    <row r="11" spans="1:2" ht="12.65" customHeight="1" x14ac:dyDescent="0.35">
      <c r="A11" s="1850"/>
      <c r="B11" s="1970"/>
    </row>
    <row r="12" spans="1:2" ht="12.65" customHeight="1" x14ac:dyDescent="0.35">
      <c r="A12" s="1641"/>
      <c r="B12" s="1970"/>
    </row>
    <row r="13" spans="1:2" ht="12.75" customHeight="1" x14ac:dyDescent="0.35">
      <c r="A13" s="1641"/>
      <c r="B13" s="1970"/>
    </row>
    <row r="14" spans="1:2" x14ac:dyDescent="0.35">
      <c r="A14" s="1641"/>
      <c r="B14" s="1970"/>
    </row>
    <row r="15" spans="1:2" ht="26.15" customHeight="1" x14ac:dyDescent="0.35">
      <c r="A15" s="1641"/>
      <c r="B15" s="1970"/>
    </row>
    <row r="16" spans="1:2" x14ac:dyDescent="0.35">
      <c r="A16" s="1641"/>
      <c r="B16" s="1970"/>
    </row>
    <row r="17" spans="1:2" x14ac:dyDescent="0.35">
      <c r="A17" s="1641"/>
      <c r="B17" s="1970"/>
    </row>
    <row r="18" spans="1:2" x14ac:dyDescent="0.35">
      <c r="A18" s="1641"/>
      <c r="B18" s="1970"/>
    </row>
    <row r="19" spans="1:2" x14ac:dyDescent="0.35">
      <c r="A19" s="1641"/>
      <c r="B19" s="1970"/>
    </row>
    <row r="20" spans="1:2" x14ac:dyDescent="0.35">
      <c r="A20" s="1641"/>
      <c r="B20" s="1970"/>
    </row>
    <row r="21" spans="1:2" x14ac:dyDescent="0.35">
      <c r="A21" s="1641"/>
      <c r="B21" s="1970"/>
    </row>
    <row r="22" spans="1:2" x14ac:dyDescent="0.35">
      <c r="A22" s="1641"/>
      <c r="B22" s="1970"/>
    </row>
    <row r="23" spans="1:2" x14ac:dyDescent="0.35">
      <c r="A23" s="1641"/>
      <c r="B23" s="1970"/>
    </row>
    <row r="24" spans="1:2" x14ac:dyDescent="0.35">
      <c r="A24" s="1641"/>
      <c r="B24" s="1970"/>
    </row>
    <row r="25" spans="1:2" x14ac:dyDescent="0.35">
      <c r="A25" s="1641"/>
      <c r="B25" s="1970"/>
    </row>
    <row r="26" spans="1:2" x14ac:dyDescent="0.35">
      <c r="A26" s="1641"/>
      <c r="B26" s="1970"/>
    </row>
    <row r="27" spans="1:2" x14ac:dyDescent="0.35">
      <c r="A27" s="1641"/>
      <c r="B27" s="1970"/>
    </row>
    <row r="28" spans="1:2" x14ac:dyDescent="0.35">
      <c r="A28" s="1641"/>
      <c r="B28" s="1970"/>
    </row>
    <row r="29" spans="1:2" x14ac:dyDescent="0.35">
      <c r="A29" s="1641"/>
      <c r="B29" s="1970"/>
    </row>
    <row r="30" spans="1:2" x14ac:dyDescent="0.35">
      <c r="A30" s="1641"/>
      <c r="B30" s="1970"/>
    </row>
    <row r="31" spans="1:2" x14ac:dyDescent="0.35">
      <c r="A31" s="1641"/>
      <c r="B31" s="1970"/>
    </row>
    <row r="32" spans="1:2" x14ac:dyDescent="0.35">
      <c r="A32" s="1641"/>
      <c r="B32" s="1970"/>
    </row>
    <row r="33" spans="1:2" x14ac:dyDescent="0.35">
      <c r="A33" s="1641"/>
      <c r="B33" s="1970"/>
    </row>
    <row r="34" spans="1:2" x14ac:dyDescent="0.35">
      <c r="A34" s="1641"/>
      <c r="B34" s="1970"/>
    </row>
    <row r="35" spans="1:2" x14ac:dyDescent="0.35">
      <c r="A35" s="1641"/>
      <c r="B35" s="1970"/>
    </row>
    <row r="36" spans="1:2" x14ac:dyDescent="0.35">
      <c r="A36" s="1641"/>
      <c r="B36" s="1970"/>
    </row>
    <row r="37" spans="1:2" x14ac:dyDescent="0.35">
      <c r="A37" s="1641"/>
      <c r="B37" s="1970"/>
    </row>
    <row r="38" spans="1:2" x14ac:dyDescent="0.35">
      <c r="A38" s="1641"/>
      <c r="B38" s="1970"/>
    </row>
    <row r="39" spans="1:2" x14ac:dyDescent="0.35">
      <c r="A39" s="1641"/>
      <c r="B39" s="1970"/>
    </row>
    <row r="40" spans="1:2" x14ac:dyDescent="0.35">
      <c r="A40" s="1641"/>
      <c r="B40" s="1970"/>
    </row>
    <row r="41" spans="1:2" x14ac:dyDescent="0.35">
      <c r="A41" s="1641"/>
      <c r="B41" s="1970"/>
    </row>
    <row r="42" spans="1:2" x14ac:dyDescent="0.35">
      <c r="A42" s="1641"/>
      <c r="B42" s="1970"/>
    </row>
    <row r="43" spans="1:2" x14ac:dyDescent="0.35">
      <c r="A43" s="1641"/>
      <c r="B43" s="1970"/>
    </row>
    <row r="44" spans="1:2" x14ac:dyDescent="0.35">
      <c r="A44" s="1641"/>
      <c r="B44" s="1970"/>
    </row>
    <row r="45" spans="1:2" x14ac:dyDescent="0.35">
      <c r="A45" s="1641"/>
      <c r="B45" s="1970"/>
    </row>
    <row r="46" spans="1:2" x14ac:dyDescent="0.35">
      <c r="A46" s="1641"/>
      <c r="B46" s="1970"/>
    </row>
    <row r="47" spans="1:2" x14ac:dyDescent="0.35">
      <c r="A47" s="1641"/>
      <c r="B47" s="1970"/>
    </row>
    <row r="48" spans="1:2" x14ac:dyDescent="0.35">
      <c r="A48" s="1641"/>
      <c r="B48" s="1970"/>
    </row>
    <row r="49" spans="1:2" x14ac:dyDescent="0.35">
      <c r="A49" s="1641"/>
      <c r="B49" s="1970"/>
    </row>
    <row r="50" spans="1:2" x14ac:dyDescent="0.35">
      <c r="A50" s="1641"/>
      <c r="B50" s="1970"/>
    </row>
    <row r="51" spans="1:2" x14ac:dyDescent="0.35">
      <c r="A51" s="1641"/>
      <c r="B51" s="1970"/>
    </row>
    <row r="52" spans="1:2" x14ac:dyDescent="0.35">
      <c r="A52" s="1641"/>
      <c r="B52" s="1970"/>
    </row>
    <row r="53" spans="1:2" x14ac:dyDescent="0.35">
      <c r="A53" s="1641"/>
      <c r="B53" s="1970"/>
    </row>
    <row r="54" spans="1:2" x14ac:dyDescent="0.35">
      <c r="A54" s="1641"/>
      <c r="B54" s="1970"/>
    </row>
    <row r="55" spans="1:2" x14ac:dyDescent="0.35">
      <c r="A55" s="1641"/>
      <c r="B55" s="1970"/>
    </row>
    <row r="56" spans="1:2" x14ac:dyDescent="0.35">
      <c r="A56" s="1641"/>
      <c r="B56" s="1970"/>
    </row>
    <row r="57" spans="1:2" x14ac:dyDescent="0.35">
      <c r="A57" s="1641"/>
      <c r="B57" s="1970"/>
    </row>
    <row r="58" spans="1:2" x14ac:dyDescent="0.35">
      <c r="A58" s="1641"/>
      <c r="B58" s="1970"/>
    </row>
    <row r="59" spans="1:2" x14ac:dyDescent="0.35">
      <c r="A59" s="1641"/>
      <c r="B59" s="1970"/>
    </row>
    <row r="60" spans="1:2" x14ac:dyDescent="0.35">
      <c r="A60" s="1641"/>
      <c r="B60" s="1970"/>
    </row>
    <row r="61" spans="1:2" x14ac:dyDescent="0.35">
      <c r="A61" s="1641"/>
      <c r="B61" s="1970"/>
    </row>
    <row r="62" spans="1:2" x14ac:dyDescent="0.35">
      <c r="A62" s="1641"/>
      <c r="B62" s="1970"/>
    </row>
    <row r="63" spans="1:2" x14ac:dyDescent="0.35">
      <c r="A63" s="1641"/>
      <c r="B63" s="1970"/>
    </row>
    <row r="64" spans="1:2" x14ac:dyDescent="0.35">
      <c r="A64" s="1641"/>
      <c r="B64" s="1970"/>
    </row>
    <row r="65" spans="1:2" x14ac:dyDescent="0.35">
      <c r="A65" s="1641"/>
      <c r="B65" s="1970"/>
    </row>
    <row r="66" spans="1:2" x14ac:dyDescent="0.35">
      <c r="A66" s="1641"/>
      <c r="B66" s="1970"/>
    </row>
    <row r="67" spans="1:2" x14ac:dyDescent="0.35">
      <c r="A67" s="1641"/>
      <c r="B67" s="1970"/>
    </row>
    <row r="68" spans="1:2" x14ac:dyDescent="0.35">
      <c r="A68" s="1641"/>
      <c r="B68" s="1970"/>
    </row>
    <row r="69" spans="1:2" x14ac:dyDescent="0.35">
      <c r="A69" s="1641"/>
      <c r="B69" s="1970"/>
    </row>
    <row r="70" spans="1:2" x14ac:dyDescent="0.35">
      <c r="A70" s="1641"/>
      <c r="B70" s="1970"/>
    </row>
    <row r="71" spans="1:2" x14ac:dyDescent="0.35">
      <c r="A71" s="1641"/>
      <c r="B71" s="1970"/>
    </row>
    <row r="72" spans="1:2" x14ac:dyDescent="0.35">
      <c r="A72" s="1641"/>
      <c r="B72" s="1970"/>
    </row>
    <row r="73" spans="1:2" x14ac:dyDescent="0.35">
      <c r="A73" s="1641"/>
      <c r="B73" s="1970"/>
    </row>
    <row r="74" spans="1:2" x14ac:dyDescent="0.35">
      <c r="A74" s="1641"/>
      <c r="B74" s="1970"/>
    </row>
    <row r="75" spans="1:2" x14ac:dyDescent="0.35">
      <c r="A75" s="1641"/>
      <c r="B75" s="1970"/>
    </row>
    <row r="76" spans="1:2" x14ac:dyDescent="0.35">
      <c r="A76" s="1641"/>
      <c r="B76" s="1970"/>
    </row>
    <row r="77" spans="1:2" x14ac:dyDescent="0.35">
      <c r="A77" s="1641"/>
      <c r="B77" s="1970"/>
    </row>
    <row r="78" spans="1:2" x14ac:dyDescent="0.35">
      <c r="A78" s="1641"/>
      <c r="B78" s="1970"/>
    </row>
    <row r="79" spans="1:2" x14ac:dyDescent="0.35">
      <c r="A79" s="1641"/>
      <c r="B79" s="1970"/>
    </row>
    <row r="80" spans="1:2" x14ac:dyDescent="0.35">
      <c r="A80" s="1641"/>
      <c r="B80" s="1970"/>
    </row>
    <row r="81" spans="1:2" x14ac:dyDescent="0.35">
      <c r="A81" s="1641"/>
      <c r="B81" s="1970"/>
    </row>
    <row r="82" spans="1:2" x14ac:dyDescent="0.35">
      <c r="A82" s="1641"/>
      <c r="B82" s="1970"/>
    </row>
    <row r="83" spans="1:2" x14ac:dyDescent="0.35">
      <c r="A83" s="1641"/>
      <c r="B83" s="1970"/>
    </row>
    <row r="84" spans="1:2" x14ac:dyDescent="0.35">
      <c r="A84" s="1641"/>
      <c r="B84" s="1970"/>
    </row>
    <row r="85" spans="1:2" x14ac:dyDescent="0.35">
      <c r="A85" s="1641"/>
      <c r="B85" s="1970"/>
    </row>
    <row r="86" spans="1:2" x14ac:dyDescent="0.35">
      <c r="A86" s="1641"/>
      <c r="B86" s="1970"/>
    </row>
    <row r="87" spans="1:2" x14ac:dyDescent="0.35">
      <c r="A87" s="1641"/>
      <c r="B87" s="1970"/>
    </row>
    <row r="88" spans="1:2" x14ac:dyDescent="0.35">
      <c r="A88" s="1641"/>
      <c r="B88" s="1970"/>
    </row>
    <row r="89" spans="1:2" x14ac:dyDescent="0.35">
      <c r="A89" s="1641"/>
      <c r="B89" s="1970"/>
    </row>
    <row r="90" spans="1:2" x14ac:dyDescent="0.35">
      <c r="A90" s="1641"/>
      <c r="B90" s="1970"/>
    </row>
    <row r="91" spans="1:2" x14ac:dyDescent="0.35">
      <c r="A91" s="1641"/>
      <c r="B91" s="1970"/>
    </row>
    <row r="92" spans="1:2" x14ac:dyDescent="0.35">
      <c r="A92" s="1641"/>
      <c r="B92" s="1970"/>
    </row>
    <row r="93" spans="1:2" x14ac:dyDescent="0.35">
      <c r="A93" s="1641"/>
      <c r="B93" s="1970"/>
    </row>
    <row r="94" spans="1:2" x14ac:dyDescent="0.35">
      <c r="A94" s="1641"/>
      <c r="B94" s="1970"/>
    </row>
    <row r="95" spans="1:2" x14ac:dyDescent="0.35">
      <c r="A95" s="1641"/>
      <c r="B95" s="1970"/>
    </row>
    <row r="96" spans="1:2" x14ac:dyDescent="0.35">
      <c r="A96" s="1641"/>
      <c r="B96" s="1970"/>
    </row>
    <row r="97" spans="1:2" x14ac:dyDescent="0.35">
      <c r="A97" s="1641"/>
      <c r="B97" s="1970"/>
    </row>
    <row r="98" spans="1:2" x14ac:dyDescent="0.35">
      <c r="A98" s="1641"/>
      <c r="B98" s="1970"/>
    </row>
    <row r="99" spans="1:2" x14ac:dyDescent="0.35">
      <c r="A99" s="1641"/>
      <c r="B99" s="1970"/>
    </row>
    <row r="100" spans="1:2" x14ac:dyDescent="0.35">
      <c r="A100" s="1641"/>
      <c r="B100" s="1970"/>
    </row>
    <row r="101" spans="1:2" x14ac:dyDescent="0.35">
      <c r="A101" s="1641"/>
      <c r="B101" s="1970"/>
    </row>
    <row r="102" spans="1:2" x14ac:dyDescent="0.35">
      <c r="A102" s="1641"/>
      <c r="B102" s="1970"/>
    </row>
    <row r="103" spans="1:2" x14ac:dyDescent="0.35">
      <c r="A103" s="1641"/>
      <c r="B103" s="1970"/>
    </row>
    <row r="104" spans="1:2" x14ac:dyDescent="0.35">
      <c r="A104" s="1641"/>
      <c r="B104" s="1970"/>
    </row>
    <row r="105" spans="1:2" x14ac:dyDescent="0.35">
      <c r="A105" s="1641"/>
      <c r="B105" s="1970"/>
    </row>
    <row r="106" spans="1:2" x14ac:dyDescent="0.35">
      <c r="A106" s="1641"/>
      <c r="B106" s="1970"/>
    </row>
    <row r="107" spans="1:2" x14ac:dyDescent="0.35">
      <c r="A107" s="1641"/>
      <c r="B107" s="1970"/>
    </row>
    <row r="108" spans="1:2" x14ac:dyDescent="0.35">
      <c r="A108" s="1641"/>
      <c r="B108" s="1970"/>
    </row>
    <row r="109" spans="1:2" x14ac:dyDescent="0.35">
      <c r="A109" s="1641"/>
      <c r="B109" s="1970"/>
    </row>
    <row r="110" spans="1:2" x14ac:dyDescent="0.35">
      <c r="A110" s="1641"/>
      <c r="B110" s="1970"/>
    </row>
    <row r="111" spans="1:2" x14ac:dyDescent="0.35">
      <c r="A111" s="1641"/>
      <c r="B111" s="1970"/>
    </row>
    <row r="112" spans="1:2" x14ac:dyDescent="0.35">
      <c r="A112" s="1641"/>
      <c r="B112" s="1970"/>
    </row>
    <row r="113" spans="1:2" x14ac:dyDescent="0.35">
      <c r="A113" s="1641"/>
      <c r="B113" s="1970"/>
    </row>
    <row r="114" spans="1:2" x14ac:dyDescent="0.35">
      <c r="A114" s="1641"/>
      <c r="B114" s="1970"/>
    </row>
    <row r="115" spans="1:2" x14ac:dyDescent="0.35">
      <c r="A115" s="1641"/>
      <c r="B115" s="1970"/>
    </row>
    <row r="116" spans="1:2" x14ac:dyDescent="0.35">
      <c r="A116" s="1641"/>
      <c r="B116" s="1970"/>
    </row>
    <row r="117" spans="1:2" x14ac:dyDescent="0.35">
      <c r="A117" s="1641"/>
      <c r="B117" s="1970"/>
    </row>
    <row r="118" spans="1:2" x14ac:dyDescent="0.35">
      <c r="A118" s="1641"/>
      <c r="B118" s="1970"/>
    </row>
    <row r="119" spans="1:2" x14ac:dyDescent="0.35">
      <c r="A119" s="1641"/>
      <c r="B119" s="1970"/>
    </row>
    <row r="120" spans="1:2" x14ac:dyDescent="0.35">
      <c r="A120" s="1641"/>
      <c r="B120" s="1970"/>
    </row>
    <row r="121" spans="1:2" x14ac:dyDescent="0.35">
      <c r="A121" s="1641"/>
      <c r="B121" s="1970"/>
    </row>
    <row r="122" spans="1:2" x14ac:dyDescent="0.35">
      <c r="A122" s="1641"/>
      <c r="B122" s="1970"/>
    </row>
    <row r="123" spans="1:2" x14ac:dyDescent="0.35">
      <c r="A123" s="1641"/>
      <c r="B123" s="1970"/>
    </row>
    <row r="124" spans="1:2" x14ac:dyDescent="0.35">
      <c r="A124" s="1641"/>
      <c r="B124" s="1970"/>
    </row>
    <row r="125" spans="1:2" x14ac:dyDescent="0.35">
      <c r="A125" s="1641"/>
      <c r="B125" s="1970"/>
    </row>
    <row r="126" spans="1:2" x14ac:dyDescent="0.35">
      <c r="A126" s="1641"/>
      <c r="B126" s="1970"/>
    </row>
    <row r="127" spans="1:2" x14ac:dyDescent="0.35">
      <c r="A127" s="1641"/>
      <c r="B127" s="1970"/>
    </row>
    <row r="128" spans="1:2" x14ac:dyDescent="0.35">
      <c r="A128" s="1641"/>
      <c r="B128" s="1970"/>
    </row>
    <row r="129" spans="1:2" x14ac:dyDescent="0.35">
      <c r="A129" s="1641"/>
      <c r="B129" s="1970"/>
    </row>
    <row r="130" spans="1:2" x14ac:dyDescent="0.35">
      <c r="A130" s="1641"/>
      <c r="B130" s="1970"/>
    </row>
    <row r="131" spans="1:2" x14ac:dyDescent="0.35">
      <c r="A131" s="1641"/>
      <c r="B131" s="1970"/>
    </row>
    <row r="132" spans="1:2" x14ac:dyDescent="0.35">
      <c r="A132" s="1641"/>
      <c r="B132" s="1970"/>
    </row>
    <row r="133" spans="1:2" x14ac:dyDescent="0.35">
      <c r="A133" s="1641"/>
      <c r="B133" s="1970"/>
    </row>
    <row r="134" spans="1:2" x14ac:dyDescent="0.35">
      <c r="A134" s="1641"/>
      <c r="B134" s="1970"/>
    </row>
    <row r="135" spans="1:2" x14ac:dyDescent="0.35">
      <c r="A135" s="1641"/>
      <c r="B135" s="1970"/>
    </row>
    <row r="136" spans="1:2" x14ac:dyDescent="0.35">
      <c r="A136" s="1641"/>
      <c r="B136" s="1970"/>
    </row>
    <row r="137" spans="1:2" x14ac:dyDescent="0.35">
      <c r="A137" s="1641"/>
      <c r="B137" s="1970"/>
    </row>
    <row r="138" spans="1:2" x14ac:dyDescent="0.35">
      <c r="A138" s="1641"/>
      <c r="B138" s="1970"/>
    </row>
    <row r="139" spans="1:2" x14ac:dyDescent="0.35">
      <c r="A139" s="1641"/>
      <c r="B139" s="1970"/>
    </row>
    <row r="140" spans="1:2" x14ac:dyDescent="0.35">
      <c r="A140" s="1641"/>
      <c r="B140" s="1970"/>
    </row>
    <row r="141" spans="1:2" x14ac:dyDescent="0.35">
      <c r="A141" s="1641"/>
      <c r="B141" s="1970"/>
    </row>
    <row r="142" spans="1:2" x14ac:dyDescent="0.35">
      <c r="A142" s="1641"/>
      <c r="B142" s="1970"/>
    </row>
    <row r="143" spans="1:2" x14ac:dyDescent="0.35">
      <c r="A143" s="1641"/>
      <c r="B143" s="1970"/>
    </row>
    <row r="144" spans="1:2" x14ac:dyDescent="0.35">
      <c r="A144" s="1641"/>
      <c r="B144" s="1970"/>
    </row>
    <row r="145" spans="1:2" x14ac:dyDescent="0.35">
      <c r="A145" s="1641"/>
      <c r="B145" s="1970"/>
    </row>
    <row r="146" spans="1:2" x14ac:dyDescent="0.35">
      <c r="A146" s="1641"/>
      <c r="B146" s="1970"/>
    </row>
    <row r="147" spans="1:2" x14ac:dyDescent="0.35">
      <c r="A147" s="1641"/>
      <c r="B147" s="1970"/>
    </row>
    <row r="148" spans="1:2" x14ac:dyDescent="0.35">
      <c r="A148" s="1641"/>
      <c r="B148" s="1970"/>
    </row>
    <row r="149" spans="1:2" x14ac:dyDescent="0.35">
      <c r="A149" s="1641"/>
      <c r="B149" s="1970"/>
    </row>
    <row r="150" spans="1:2" x14ac:dyDescent="0.35">
      <c r="A150" s="1641"/>
      <c r="B150" s="1970"/>
    </row>
    <row r="151" spans="1:2" x14ac:dyDescent="0.35">
      <c r="A151" s="1641"/>
      <c r="B151" s="1970"/>
    </row>
    <row r="152" spans="1:2" ht="12.75" customHeight="1" x14ac:dyDescent="0.35">
      <c r="A152" s="1642"/>
      <c r="B152" s="1970"/>
    </row>
    <row r="153" spans="1:2" x14ac:dyDescent="0.35">
      <c r="A153" s="1642"/>
      <c r="B153" s="1970"/>
    </row>
    <row r="154" spans="1:2" x14ac:dyDescent="0.35">
      <c r="A154" s="1642"/>
      <c r="B154" s="1970"/>
    </row>
    <row r="155" spans="1:2" x14ac:dyDescent="0.35">
      <c r="A155" s="1642"/>
      <c r="B155" s="1970"/>
    </row>
    <row r="156" spans="1:2" x14ac:dyDescent="0.35">
      <c r="A156" s="1642"/>
      <c r="B156" s="1970"/>
    </row>
    <row r="157" spans="1:2" x14ac:dyDescent="0.35">
      <c r="A157" s="1642"/>
      <c r="B157" s="1970"/>
    </row>
    <row r="158" spans="1:2" ht="12.75" customHeight="1" x14ac:dyDescent="0.35">
      <c r="A158" s="1642"/>
      <c r="B158" s="1970"/>
    </row>
    <row r="159" spans="1:2" x14ac:dyDescent="0.35">
      <c r="A159" s="1642"/>
      <c r="B159" s="1970"/>
    </row>
    <row r="160" spans="1:2" x14ac:dyDescent="0.35">
      <c r="A160" s="1642"/>
      <c r="B160" s="1970"/>
    </row>
    <row r="161" spans="1:2" x14ac:dyDescent="0.35">
      <c r="A161" s="1642"/>
      <c r="B161" s="1970"/>
    </row>
    <row r="162" spans="1:2" x14ac:dyDescent="0.35">
      <c r="A162" s="1642"/>
      <c r="B162" s="1970"/>
    </row>
    <row r="163" spans="1:2" ht="12.65" customHeight="1" x14ac:dyDescent="0.35">
      <c r="A163" s="1642"/>
      <c r="B163" s="1970"/>
    </row>
    <row r="164" spans="1:2" x14ac:dyDescent="0.35">
      <c r="A164" s="1642"/>
      <c r="B164" s="1970"/>
    </row>
    <row r="165" spans="1:2" x14ac:dyDescent="0.35">
      <c r="A165" s="1642"/>
      <c r="B165" s="1970"/>
    </row>
    <row r="166" spans="1:2" x14ac:dyDescent="0.35">
      <c r="A166" s="1642"/>
      <c r="B166" s="1970"/>
    </row>
    <row r="167" spans="1:2" x14ac:dyDescent="0.35">
      <c r="A167" s="1642"/>
      <c r="B167" s="1970"/>
    </row>
    <row r="168" spans="1:2" x14ac:dyDescent="0.35">
      <c r="A168" s="1642"/>
      <c r="B168" s="1970"/>
    </row>
    <row r="169" spans="1:2" x14ac:dyDescent="0.35">
      <c r="A169" s="1642"/>
      <c r="B169" s="1970"/>
    </row>
    <row r="170" spans="1:2" x14ac:dyDescent="0.35">
      <c r="A170" s="1643"/>
      <c r="B170" s="1970"/>
    </row>
    <row r="171" spans="1:2" x14ac:dyDescent="0.35">
      <c r="A171" s="1643"/>
      <c r="B171" s="1970"/>
    </row>
    <row r="172" spans="1:2" x14ac:dyDescent="0.35">
      <c r="A172" s="1643"/>
      <c r="B172" s="1970"/>
    </row>
    <row r="173" spans="1:2" x14ac:dyDescent="0.35">
      <c r="A173" s="1643"/>
      <c r="B173" s="1970"/>
    </row>
    <row r="174" spans="1:2" x14ac:dyDescent="0.35">
      <c r="A174" s="1643"/>
      <c r="B174" s="1970"/>
    </row>
    <row r="175" spans="1:2" x14ac:dyDescent="0.35">
      <c r="A175" s="1643"/>
      <c r="B175" s="1970"/>
    </row>
    <row r="176" spans="1:2" x14ac:dyDescent="0.35">
      <c r="A176" s="1643"/>
      <c r="B176" s="1970"/>
    </row>
    <row r="177" spans="1:2" x14ac:dyDescent="0.35">
      <c r="A177" s="1643"/>
      <c r="B177" s="1970"/>
    </row>
    <row r="178" spans="1:2" x14ac:dyDescent="0.35">
      <c r="A178" s="1643"/>
      <c r="B178" s="1970"/>
    </row>
    <row r="179" spans="1:2" x14ac:dyDescent="0.35">
      <c r="A179" s="1643"/>
      <c r="B179" s="1970"/>
    </row>
    <row r="180" spans="1:2" x14ac:dyDescent="0.35">
      <c r="A180" s="1643"/>
      <c r="B180" s="1970"/>
    </row>
    <row r="181" spans="1:2" x14ac:dyDescent="0.35">
      <c r="A181" s="1643"/>
      <c r="B181" s="1970"/>
    </row>
    <row r="182" spans="1:2" x14ac:dyDescent="0.35">
      <c r="A182" s="1643"/>
      <c r="B182" s="1642"/>
    </row>
    <row r="183" spans="1:2" x14ac:dyDescent="0.35">
      <c r="A183" s="1643"/>
      <c r="B183" s="1642"/>
    </row>
    <row r="184" spans="1:2" x14ac:dyDescent="0.35">
      <c r="A184" s="1643"/>
      <c r="B184" s="1642"/>
    </row>
    <row r="185" spans="1:2" x14ac:dyDescent="0.35">
      <c r="A185" s="1643"/>
      <c r="B185" s="1642"/>
    </row>
    <row r="186" spans="1:2" x14ac:dyDescent="0.35">
      <c r="A186" s="1643"/>
      <c r="B186" s="1642"/>
    </row>
    <row r="187" spans="1:2" x14ac:dyDescent="0.35">
      <c r="A187" s="1643"/>
      <c r="B187" s="1642"/>
    </row>
    <row r="188" spans="1:2" x14ac:dyDescent="0.35">
      <c r="A188" s="1643"/>
      <c r="B188" s="1642"/>
    </row>
    <row r="189" spans="1:2" x14ac:dyDescent="0.35">
      <c r="A189" s="1643"/>
      <c r="B189" s="1642"/>
    </row>
    <row r="190" spans="1:2" x14ac:dyDescent="0.35">
      <c r="A190" s="1643"/>
      <c r="B190" s="1642"/>
    </row>
    <row r="191" spans="1:2" x14ac:dyDescent="0.35">
      <c r="A191" s="1643"/>
      <c r="B191" s="1642"/>
    </row>
    <row r="192" spans="1:2" x14ac:dyDescent="0.35">
      <c r="A192" s="1643"/>
      <c r="B192" s="1642"/>
    </row>
    <row r="193" spans="1:2" x14ac:dyDescent="0.35">
      <c r="A193" s="1643"/>
      <c r="B193" s="1642"/>
    </row>
    <row r="194" spans="1:2" x14ac:dyDescent="0.35">
      <c r="A194" s="1643"/>
      <c r="B194" s="1642"/>
    </row>
    <row r="195" spans="1:2" x14ac:dyDescent="0.35">
      <c r="A195" s="1643"/>
      <c r="B195" s="1642"/>
    </row>
    <row r="196" spans="1:2" x14ac:dyDescent="0.35">
      <c r="A196" s="1643"/>
      <c r="B196" s="1642"/>
    </row>
    <row r="197" spans="1:2" x14ac:dyDescent="0.35">
      <c r="A197" s="1643"/>
      <c r="B197" s="1642"/>
    </row>
    <row r="198" spans="1:2" x14ac:dyDescent="0.35">
      <c r="A198" s="1643"/>
      <c r="B198" s="1642"/>
    </row>
    <row r="199" spans="1:2" x14ac:dyDescent="0.35">
      <c r="A199" s="1643"/>
      <c r="B199" s="1642"/>
    </row>
    <row r="200" spans="1:2" x14ac:dyDescent="0.35">
      <c r="A200" s="1643"/>
      <c r="B200" s="1642"/>
    </row>
    <row r="201" spans="1:2" x14ac:dyDescent="0.35">
      <c r="A201" s="1643"/>
      <c r="B201" s="1642"/>
    </row>
    <row r="202" spans="1:2" x14ac:dyDescent="0.35">
      <c r="A202" s="1643"/>
      <c r="B202" s="1642"/>
    </row>
    <row r="203" spans="1:2" x14ac:dyDescent="0.35">
      <c r="A203" s="1643"/>
      <c r="B203" s="1642"/>
    </row>
    <row r="204" spans="1:2" x14ac:dyDescent="0.35">
      <c r="A204" s="1643"/>
      <c r="B204" s="1642"/>
    </row>
    <row r="205" spans="1:2" x14ac:dyDescent="0.35">
      <c r="A205" s="1643"/>
    </row>
    <row r="206" spans="1:2" x14ac:dyDescent="0.35">
      <c r="A206" s="1643"/>
    </row>
    <row r="207" spans="1:2" x14ac:dyDescent="0.35">
      <c r="A207" s="1643"/>
    </row>
    <row r="208" spans="1:2" x14ac:dyDescent="0.35">
      <c r="A208" s="1643"/>
    </row>
    <row r="209" spans="1:1" x14ac:dyDescent="0.35">
      <c r="A209" s="1643"/>
    </row>
    <row r="210" spans="1:1" x14ac:dyDescent="0.35">
      <c r="A210" s="1643"/>
    </row>
    <row r="211" spans="1:1" x14ac:dyDescent="0.35">
      <c r="A211" s="1643"/>
    </row>
    <row r="212" spans="1:1" x14ac:dyDescent="0.35">
      <c r="A212" s="1643"/>
    </row>
    <row r="213" spans="1:1" x14ac:dyDescent="0.35">
      <c r="A213" s="1643"/>
    </row>
    <row r="214" spans="1:1" x14ac:dyDescent="0.35">
      <c r="A214" s="1643"/>
    </row>
    <row r="215" spans="1:1" x14ac:dyDescent="0.35">
      <c r="A215" s="1643"/>
    </row>
    <row r="216" spans="1:1" x14ac:dyDescent="0.35">
      <c r="A216" s="1643"/>
    </row>
    <row r="217" spans="1:1" x14ac:dyDescent="0.35">
      <c r="A217" s="1643"/>
    </row>
    <row r="218" spans="1:1" x14ac:dyDescent="0.35">
      <c r="A218" s="1643"/>
    </row>
    <row r="219" spans="1:1" x14ac:dyDescent="0.35">
      <c r="A219" s="1643"/>
    </row>
    <row r="220" spans="1:1" x14ac:dyDescent="0.35">
      <c r="A220" s="1643"/>
    </row>
    <row r="221" spans="1:1" x14ac:dyDescent="0.35">
      <c r="A221" s="1643"/>
    </row>
    <row r="222" spans="1:1" x14ac:dyDescent="0.35">
      <c r="A222" s="1643"/>
    </row>
    <row r="223" spans="1:1" x14ac:dyDescent="0.35">
      <c r="A223" s="1643"/>
    </row>
    <row r="224" spans="1:1" x14ac:dyDescent="0.35">
      <c r="A224" s="1643"/>
    </row>
    <row r="225" spans="1:1" x14ac:dyDescent="0.35">
      <c r="A225" s="1643"/>
    </row>
    <row r="226" spans="1:1" x14ac:dyDescent="0.35">
      <c r="A226" s="1643"/>
    </row>
    <row r="227" spans="1:1" x14ac:dyDescent="0.35">
      <c r="A227" s="1643"/>
    </row>
    <row r="228" spans="1:1" x14ac:dyDescent="0.35">
      <c r="A228" s="1643"/>
    </row>
    <row r="229" spans="1:1" x14ac:dyDescent="0.35">
      <c r="A229" s="1643"/>
    </row>
    <row r="230" spans="1:1" x14ac:dyDescent="0.35">
      <c r="A230" s="1643"/>
    </row>
    <row r="231" spans="1:1" x14ac:dyDescent="0.35">
      <c r="A231" s="1643"/>
    </row>
    <row r="232" spans="1:1" x14ac:dyDescent="0.35">
      <c r="A232" s="1643"/>
    </row>
    <row r="233" spans="1:1" x14ac:dyDescent="0.35">
      <c r="A233" s="1643"/>
    </row>
    <row r="234" spans="1:1" x14ac:dyDescent="0.35">
      <c r="A234" s="1643"/>
    </row>
    <row r="235" spans="1:1" x14ac:dyDescent="0.35">
      <c r="A235" s="1643"/>
    </row>
    <row r="236" spans="1:1" x14ac:dyDescent="0.35">
      <c r="A236" s="1643"/>
    </row>
    <row r="237" spans="1:1" x14ac:dyDescent="0.35">
      <c r="A237" s="1643"/>
    </row>
    <row r="238" spans="1:1" x14ac:dyDescent="0.35">
      <c r="A238" s="1643"/>
    </row>
    <row r="239" spans="1:1" x14ac:dyDescent="0.35">
      <c r="A239" s="1643"/>
    </row>
    <row r="240" spans="1:1" x14ac:dyDescent="0.35">
      <c r="A240" s="1643"/>
    </row>
    <row r="241" spans="1:1" x14ac:dyDescent="0.35">
      <c r="A241" s="1643"/>
    </row>
    <row r="242" spans="1:1" x14ac:dyDescent="0.35">
      <c r="A242" s="1643"/>
    </row>
    <row r="243" spans="1:1" x14ac:dyDescent="0.35">
      <c r="A243" s="1643"/>
    </row>
    <row r="244" spans="1:1" x14ac:dyDescent="0.35">
      <c r="A244" s="1643"/>
    </row>
    <row r="245" spans="1:1" x14ac:dyDescent="0.35">
      <c r="A245" s="1643"/>
    </row>
    <row r="246" spans="1:1" x14ac:dyDescent="0.35">
      <c r="A246" s="1643"/>
    </row>
    <row r="247" spans="1:1" x14ac:dyDescent="0.35">
      <c r="A247" s="1643"/>
    </row>
    <row r="248" spans="1:1" x14ac:dyDescent="0.35">
      <c r="A248" s="1643"/>
    </row>
    <row r="249" spans="1:1" x14ac:dyDescent="0.35">
      <c r="A249" s="1643"/>
    </row>
    <row r="250" spans="1:1" x14ac:dyDescent="0.35">
      <c r="A250" s="1643"/>
    </row>
    <row r="251" spans="1:1" x14ac:dyDescent="0.35">
      <c r="A251" s="1643"/>
    </row>
    <row r="252" spans="1:1" x14ac:dyDescent="0.35">
      <c r="A252" s="1643"/>
    </row>
    <row r="253" spans="1:1" x14ac:dyDescent="0.35">
      <c r="A253" s="1643"/>
    </row>
    <row r="254" spans="1:1" x14ac:dyDescent="0.35">
      <c r="A254" s="1643"/>
    </row>
    <row r="255" spans="1:1" x14ac:dyDescent="0.35">
      <c r="A255" s="1643"/>
    </row>
    <row r="256" spans="1:1" x14ac:dyDescent="0.35">
      <c r="A256" s="1643"/>
    </row>
    <row r="257" spans="1:1" x14ac:dyDescent="0.35">
      <c r="A257" s="1643"/>
    </row>
    <row r="258" spans="1:1" x14ac:dyDescent="0.35">
      <c r="A258" s="1643"/>
    </row>
    <row r="259" spans="1:1" x14ac:dyDescent="0.35">
      <c r="A259" s="1643"/>
    </row>
    <row r="260" spans="1:1" x14ac:dyDescent="0.35">
      <c r="A260" s="1643"/>
    </row>
    <row r="261" spans="1:1" x14ac:dyDescent="0.35">
      <c r="A261" s="1643"/>
    </row>
    <row r="262" spans="1:1" x14ac:dyDescent="0.35">
      <c r="A262" s="1643"/>
    </row>
    <row r="263" spans="1:1" x14ac:dyDescent="0.35">
      <c r="A263" s="1643"/>
    </row>
    <row r="264" spans="1:1" x14ac:dyDescent="0.35">
      <c r="A264" s="1643"/>
    </row>
    <row r="265" spans="1:1" x14ac:dyDescent="0.35">
      <c r="A265" s="1643"/>
    </row>
    <row r="266" spans="1:1" x14ac:dyDescent="0.35">
      <c r="A266" s="1643"/>
    </row>
    <row r="267" spans="1:1" x14ac:dyDescent="0.35">
      <c r="A267" s="1643"/>
    </row>
    <row r="268" spans="1:1" x14ac:dyDescent="0.35">
      <c r="A268" s="1643"/>
    </row>
    <row r="269" spans="1:1" x14ac:dyDescent="0.35">
      <c r="A269" s="1643"/>
    </row>
    <row r="270" spans="1:1" x14ac:dyDescent="0.35">
      <c r="A270" s="1643"/>
    </row>
    <row r="271" spans="1:1" x14ac:dyDescent="0.35">
      <c r="A271" s="1643"/>
    </row>
    <row r="272" spans="1:1" x14ac:dyDescent="0.35">
      <c r="A272" s="1643"/>
    </row>
    <row r="273" spans="1:1" x14ac:dyDescent="0.35">
      <c r="A273" s="1643"/>
    </row>
    <row r="274" spans="1:1" x14ac:dyDescent="0.35">
      <c r="A274" s="1643"/>
    </row>
    <row r="275" spans="1:1" x14ac:dyDescent="0.35">
      <c r="A275" s="1643"/>
    </row>
    <row r="276" spans="1:1" x14ac:dyDescent="0.35">
      <c r="A276" s="1643"/>
    </row>
    <row r="277" spans="1:1" x14ac:dyDescent="0.35">
      <c r="A277" s="1643"/>
    </row>
    <row r="278" spans="1:1" x14ac:dyDescent="0.35">
      <c r="A278" s="1643"/>
    </row>
    <row r="279" spans="1:1" x14ac:dyDescent="0.35">
      <c r="A279" s="1643"/>
    </row>
    <row r="280" spans="1:1" x14ac:dyDescent="0.35">
      <c r="A280" s="1643"/>
    </row>
    <row r="281" spans="1:1" x14ac:dyDescent="0.35">
      <c r="A281" s="1643"/>
    </row>
    <row r="282" spans="1:1" x14ac:dyDescent="0.35">
      <c r="A282" s="1643"/>
    </row>
    <row r="283" spans="1:1" x14ac:dyDescent="0.35">
      <c r="A283" s="1643"/>
    </row>
    <row r="284" spans="1:1" x14ac:dyDescent="0.35">
      <c r="A284" s="1643"/>
    </row>
    <row r="285" spans="1:1" x14ac:dyDescent="0.35">
      <c r="A285" s="1643"/>
    </row>
    <row r="286" spans="1:1" x14ac:dyDescent="0.35">
      <c r="A286" s="1643"/>
    </row>
    <row r="287" spans="1:1" x14ac:dyDescent="0.35">
      <c r="A287" s="1643"/>
    </row>
    <row r="288" spans="1:1" x14ac:dyDescent="0.35">
      <c r="A288" s="1643"/>
    </row>
    <row r="289" spans="1:1" x14ac:dyDescent="0.35">
      <c r="A289" s="1643"/>
    </row>
    <row r="290" spans="1:1" x14ac:dyDescent="0.35">
      <c r="A290" s="1643"/>
    </row>
    <row r="291" spans="1:1" x14ac:dyDescent="0.35">
      <c r="A291" s="1643"/>
    </row>
    <row r="292" spans="1:1" x14ac:dyDescent="0.35">
      <c r="A292" s="1643"/>
    </row>
    <row r="293" spans="1:1" x14ac:dyDescent="0.35">
      <c r="A293" s="1643"/>
    </row>
    <row r="294" spans="1:1" x14ac:dyDescent="0.35">
      <c r="A294" s="1643"/>
    </row>
    <row r="295" spans="1:1" x14ac:dyDescent="0.35">
      <c r="A295" s="1643"/>
    </row>
    <row r="296" spans="1:1" x14ac:dyDescent="0.35">
      <c r="A296" s="1643"/>
    </row>
    <row r="297" spans="1:1" x14ac:dyDescent="0.35">
      <c r="A297" s="1643"/>
    </row>
    <row r="298" spans="1:1" x14ac:dyDescent="0.35">
      <c r="A298" s="1643"/>
    </row>
    <row r="299" spans="1:1" x14ac:dyDescent="0.35">
      <c r="A299" s="1643"/>
    </row>
    <row r="300" spans="1:1" x14ac:dyDescent="0.35">
      <c r="A300" s="1643"/>
    </row>
    <row r="301" spans="1:1" x14ac:dyDescent="0.35">
      <c r="A301" s="1643"/>
    </row>
    <row r="302" spans="1:1" x14ac:dyDescent="0.35">
      <c r="A302" s="1643"/>
    </row>
    <row r="303" spans="1:1" x14ac:dyDescent="0.35">
      <c r="A303" s="1643"/>
    </row>
    <row r="304" spans="1:1" x14ac:dyDescent="0.35">
      <c r="A304" s="1643"/>
    </row>
    <row r="305" spans="1:1" x14ac:dyDescent="0.35">
      <c r="A305" s="1643"/>
    </row>
    <row r="306" spans="1:1" x14ac:dyDescent="0.35">
      <c r="A306" s="1643"/>
    </row>
    <row r="307" spans="1:1" x14ac:dyDescent="0.35">
      <c r="A307" s="1643"/>
    </row>
    <row r="308" spans="1:1" x14ac:dyDescent="0.35">
      <c r="A308" s="1643"/>
    </row>
    <row r="309" spans="1:1" x14ac:dyDescent="0.35">
      <c r="A309" s="1643"/>
    </row>
    <row r="310" spans="1:1" x14ac:dyDescent="0.35">
      <c r="A310" s="1643"/>
    </row>
    <row r="311" spans="1:1" x14ac:dyDescent="0.35">
      <c r="A311" s="1643"/>
    </row>
  </sheetData>
  <sheetProtection password="B262" sheet="1" objects="1" scenarios="1"/>
  <mergeCells count="1">
    <mergeCell ref="B1:B181"/>
  </mergeCells>
  <phoneticPr fontId="61" type="noConversion"/>
  <pageMargins left="0.70866141732283472" right="0.70866141732283472" top="0.74803149606299213" bottom="0.74803149606299213" header="0.31496062992125984" footer="0.31496062992125984"/>
  <pageSetup paperSize="9" scale="53" fitToHeight="2" orientation="portrait" r:id="rId1"/>
  <headerFooter>
    <oddHeader xml:space="preserve">&amp;CLincolnshire County Council 
</oddHeader>
    <oddFooter>&amp;C2021/22 Special School Budget Share Calculation
ISB Weightings</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pageSetUpPr fitToPage="1"/>
  </sheetPr>
  <dimension ref="A1:M117"/>
  <sheetViews>
    <sheetView zoomScale="85" zoomScaleNormal="85" workbookViewId="0">
      <selection activeCell="D4" sqref="D4"/>
    </sheetView>
  </sheetViews>
  <sheetFormatPr defaultColWidth="9.1796875" defaultRowHeight="15.5" x14ac:dyDescent="0.35"/>
  <cols>
    <col min="1" max="7" width="22.7265625" style="1738" customWidth="1"/>
    <col min="8" max="8" width="8.1796875" style="1828" customWidth="1"/>
    <col min="9" max="9" width="22.7265625" style="1738" customWidth="1"/>
    <col min="10" max="16384" width="9.1796875" style="1738"/>
  </cols>
  <sheetData>
    <row r="1" spans="1:13" x14ac:dyDescent="0.35">
      <c r="A1" s="1649" t="s">
        <v>998</v>
      </c>
      <c r="B1" s="1649"/>
      <c r="C1" s="1650"/>
      <c r="D1" s="1650"/>
      <c r="E1" s="1649"/>
      <c r="F1" s="1650"/>
      <c r="G1" s="1651"/>
      <c r="H1" s="1652"/>
      <c r="I1" s="1822"/>
      <c r="J1" s="1822"/>
      <c r="K1" s="1822"/>
      <c r="L1" s="1822"/>
      <c r="M1" s="1822"/>
    </row>
    <row r="2" spans="1:13" ht="15" customHeight="1" x14ac:dyDescent="0.35">
      <c r="A2" s="1649"/>
      <c r="B2" s="1649"/>
      <c r="C2" s="1650"/>
      <c r="D2" s="1650"/>
      <c r="E2" s="1649"/>
      <c r="F2" s="1650"/>
      <c r="G2" s="1651"/>
      <c r="H2" s="1652"/>
      <c r="I2" s="1822"/>
      <c r="J2" s="1822"/>
      <c r="K2" s="1822"/>
      <c r="L2" s="1822"/>
      <c r="M2" s="1822"/>
    </row>
    <row r="3" spans="1:13" x14ac:dyDescent="0.35">
      <c r="A3" s="1649" t="s">
        <v>198</v>
      </c>
      <c r="B3" s="1630"/>
      <c r="C3" s="1650"/>
      <c r="D3" s="1650"/>
      <c r="E3" s="1650"/>
      <c r="F3" s="1650"/>
      <c r="G3" s="1653"/>
      <c r="H3" s="1652"/>
      <c r="I3" s="1822"/>
      <c r="J3" s="1822"/>
      <c r="K3" s="1823"/>
      <c r="L3" s="1822"/>
      <c r="M3" s="1824"/>
    </row>
    <row r="4" spans="1:13" x14ac:dyDescent="0.35">
      <c r="A4" s="1649"/>
      <c r="B4" s="1630"/>
      <c r="C4" s="1656" t="s">
        <v>197</v>
      </c>
      <c r="D4" s="1657"/>
      <c r="E4" s="1658"/>
      <c r="F4" s="1659" t="e">
        <f>VLOOKUP(D4,'2021 Funding Detail'!A4:AQ23,2,FALSE)</f>
        <v>#N/A</v>
      </c>
      <c r="G4" s="1660"/>
      <c r="H4" s="1652"/>
      <c r="I4" s="1822"/>
      <c r="J4" s="1822"/>
      <c r="K4" s="1823"/>
      <c r="L4" s="1822"/>
      <c r="M4" s="1822"/>
    </row>
    <row r="5" spans="1:13" x14ac:dyDescent="0.35">
      <c r="A5" s="1649"/>
      <c r="B5" s="1656"/>
      <c r="C5" s="1661"/>
      <c r="D5" s="1644"/>
      <c r="E5" s="1658"/>
      <c r="F5" s="1659"/>
      <c r="G5" s="1660"/>
      <c r="H5" s="1652"/>
      <c r="I5" s="1822"/>
      <c r="J5" s="1822"/>
      <c r="K5" s="1823"/>
      <c r="L5" s="1822"/>
      <c r="M5" s="1822"/>
    </row>
    <row r="6" spans="1:13" x14ac:dyDescent="0.35">
      <c r="A6" s="1650"/>
      <c r="B6" s="1650"/>
      <c r="C6" s="1650"/>
      <c r="D6" s="1650"/>
      <c r="E6" s="1662" t="s">
        <v>138</v>
      </c>
      <c r="F6" s="1662" t="s">
        <v>195</v>
      </c>
      <c r="G6" s="1662" t="s">
        <v>202</v>
      </c>
      <c r="H6" s="1652"/>
      <c r="I6" s="1822"/>
      <c r="J6" s="1825"/>
      <c r="K6" s="1822"/>
      <c r="L6" s="1822"/>
      <c r="M6" s="1822"/>
    </row>
    <row r="7" spans="1:13" x14ac:dyDescent="0.35">
      <c r="A7" s="1644" t="s">
        <v>999</v>
      </c>
      <c r="B7" s="1644"/>
      <c r="C7" s="1644"/>
      <c r="D7" s="1644"/>
      <c r="E7" s="1664" t="e">
        <f>VLOOKUP($D$4,'2122 Band Calculations'!A6:Q23,11,FALSE)</f>
        <v>#N/A</v>
      </c>
      <c r="F7" s="1645">
        <f>10000*(5/12)</f>
        <v>4166.666666666667</v>
      </c>
      <c r="G7" s="1645" t="e">
        <f>VLOOKUP(D4,'2122 Band Calculations'!A6:S23,15,FALSE)</f>
        <v>#N/A</v>
      </c>
      <c r="H7" s="1665"/>
      <c r="I7" s="1821"/>
      <c r="J7" s="1825"/>
      <c r="K7" s="1822"/>
      <c r="L7" s="1822"/>
      <c r="M7" s="1822"/>
    </row>
    <row r="8" spans="1:13" x14ac:dyDescent="0.35">
      <c r="A8" s="1644" t="s">
        <v>1000</v>
      </c>
      <c r="B8" s="1644"/>
      <c r="C8" s="1644"/>
      <c r="D8" s="1644"/>
      <c r="E8" s="1664" t="e">
        <f>VLOOKUP(D4,'2122 Band Calculations'!A50:Q67,11,FALSE)</f>
        <v>#N/A</v>
      </c>
      <c r="F8" s="1645">
        <f>10000*(7/12)</f>
        <v>5833.3333333333339</v>
      </c>
      <c r="G8" s="1645" t="e">
        <f>VLOOKUP(D4,'2122 Band Calculations'!A50:S67,15,FALSE)</f>
        <v>#N/A</v>
      </c>
      <c r="H8" s="1665"/>
      <c r="I8" s="1821"/>
      <c r="J8" s="1825"/>
      <c r="K8" s="1822"/>
      <c r="L8" s="1822"/>
      <c r="M8" s="1822"/>
    </row>
    <row r="9" spans="1:13" x14ac:dyDescent="0.35">
      <c r="A9" s="1644"/>
      <c r="B9" s="1644"/>
      <c r="C9" s="1644"/>
      <c r="D9" s="1644"/>
      <c r="E9" s="1664"/>
      <c r="F9" s="1666">
        <f>SUM(F7:F8)</f>
        <v>10000</v>
      </c>
      <c r="G9" s="1666" t="e">
        <f>VLOOKUP(D4,'2122 Band Calculations'!A112:AK129,22,FALSE)</f>
        <v>#N/A</v>
      </c>
      <c r="H9" s="1665"/>
      <c r="I9" s="1821"/>
      <c r="J9" s="1825"/>
      <c r="K9" s="1822"/>
      <c r="L9" s="1822"/>
      <c r="M9" s="1822"/>
    </row>
    <row r="10" spans="1:13" x14ac:dyDescent="0.35">
      <c r="A10" s="1644"/>
      <c r="B10" s="1644"/>
      <c r="C10" s="1644"/>
      <c r="D10" s="1644"/>
      <c r="E10" s="1644"/>
      <c r="F10" s="1667"/>
      <c r="G10" s="1667"/>
      <c r="H10" s="1667">
        <v>1</v>
      </c>
      <c r="I10" s="1822"/>
      <c r="J10" s="1825"/>
      <c r="K10" s="1822"/>
      <c r="L10" s="1822"/>
      <c r="M10" s="1822"/>
    </row>
    <row r="11" spans="1:13" x14ac:dyDescent="0.35">
      <c r="A11" s="1644" t="s">
        <v>1001</v>
      </c>
      <c r="B11" s="1644"/>
      <c r="C11" s="1644"/>
      <c r="D11" s="1644"/>
      <c r="E11" s="1644" t="e">
        <f>VLOOKUP(D4,'2122 Band Calculations'!A28:N45,11,FALSE)</f>
        <v>#N/A</v>
      </c>
      <c r="F11" s="1668">
        <f>10000*(4/12)</f>
        <v>3333.333333333333</v>
      </c>
      <c r="G11" s="1668" t="e">
        <f>VLOOKUP(D4,'2122 Band Calculations'!A28:P45,15,FALSE)</f>
        <v>#N/A</v>
      </c>
      <c r="H11" s="1665"/>
      <c r="I11" s="1821"/>
      <c r="J11" s="1825"/>
      <c r="K11" s="1822"/>
      <c r="L11" s="1822"/>
      <c r="M11" s="1822"/>
    </row>
    <row r="12" spans="1:13" x14ac:dyDescent="0.35">
      <c r="A12" s="1644" t="s">
        <v>1002</v>
      </c>
      <c r="B12" s="1644"/>
      <c r="C12" s="1644"/>
      <c r="D12" s="1644"/>
      <c r="E12" s="1644" t="e">
        <f>VLOOKUP(D4,'2122 Band Calculations'!A72:N89,11,FALSE)</f>
        <v>#N/A</v>
      </c>
      <c r="F12" s="1668">
        <f>10000*(8/12)</f>
        <v>6666.6666666666661</v>
      </c>
      <c r="G12" s="1668" t="e">
        <f>VLOOKUP(D4,'2122 Band Calculations'!A72:P89,15,FALSE)</f>
        <v>#N/A</v>
      </c>
      <c r="H12" s="1665"/>
      <c r="I12" s="1821"/>
      <c r="J12" s="1825"/>
      <c r="K12" s="1822"/>
      <c r="L12" s="1822"/>
      <c r="M12" s="1822"/>
    </row>
    <row r="13" spans="1:13" x14ac:dyDescent="0.35">
      <c r="A13" s="1659"/>
      <c r="B13" s="1644"/>
      <c r="C13" s="1644"/>
      <c r="D13" s="1644"/>
      <c r="E13" s="1644"/>
      <c r="F13" s="1666">
        <f>SUM(F11:F12)</f>
        <v>10000</v>
      </c>
      <c r="G13" s="1669" t="e">
        <f>VLOOKUP(D4,'2122 Band Calculations'!A112:AK129,23,FALSE)</f>
        <v>#N/A</v>
      </c>
      <c r="H13" s="1670"/>
      <c r="I13" s="1822"/>
      <c r="J13" s="1825"/>
      <c r="K13" s="1822"/>
      <c r="L13" s="1822"/>
      <c r="M13" s="1822"/>
    </row>
    <row r="14" spans="1:13" x14ac:dyDescent="0.35">
      <c r="A14" s="1659"/>
      <c r="B14" s="1644"/>
      <c r="C14" s="1644"/>
      <c r="D14" s="1644"/>
      <c r="E14" s="1644"/>
      <c r="F14" s="1645"/>
      <c r="G14" s="1671"/>
      <c r="H14" s="1670"/>
      <c r="I14" s="1822"/>
      <c r="J14" s="1825"/>
      <c r="K14" s="1822"/>
      <c r="L14" s="1822"/>
      <c r="M14" s="1822"/>
    </row>
    <row r="15" spans="1:13" x14ac:dyDescent="0.35">
      <c r="A15" s="1644"/>
      <c r="B15" s="1644"/>
      <c r="C15" s="1644"/>
      <c r="D15" s="1644" t="s">
        <v>468</v>
      </c>
      <c r="E15" s="1665" t="e">
        <f>VLOOKUP(D4,'2122 Band Calculations'!A112:AK129,19,FALSE)</f>
        <v>#N/A</v>
      </c>
      <c r="F15" s="1644" t="s">
        <v>205</v>
      </c>
      <c r="G15" s="1672" t="e">
        <f>VLOOKUP(D4,'2122 Band Calculations'!A112:AK129,24,FALSE)</f>
        <v>#N/A</v>
      </c>
      <c r="H15" s="1670">
        <v>2</v>
      </c>
      <c r="I15" s="1822"/>
      <c r="J15" s="1825"/>
      <c r="K15" s="1822"/>
      <c r="L15" s="1822"/>
      <c r="M15" s="1822"/>
    </row>
    <row r="16" spans="1:13" ht="16" thickBot="1" x14ac:dyDescent="0.4">
      <c r="A16" s="1644"/>
      <c r="B16" s="1644"/>
      <c r="C16" s="1644"/>
      <c r="D16" s="1644"/>
      <c r="E16" s="1644"/>
      <c r="F16" s="1644"/>
      <c r="G16" s="1671"/>
      <c r="H16" s="1670"/>
      <c r="I16" s="1822"/>
      <c r="J16" s="1825"/>
      <c r="K16" s="1822"/>
      <c r="L16" s="1822"/>
      <c r="M16" s="1822"/>
    </row>
    <row r="17" spans="1:13" ht="16" thickBot="1" x14ac:dyDescent="0.4">
      <c r="A17" s="1644" t="s">
        <v>1003</v>
      </c>
      <c r="B17" s="1644"/>
      <c r="C17" s="1673" t="e">
        <f>VLOOKUP(D4,'2122 Funding Detail'!A4:Y21,23,FALSE)</f>
        <v>#N/A</v>
      </c>
      <c r="D17" s="1667" t="s">
        <v>199</v>
      </c>
      <c r="E17" s="1667"/>
      <c r="F17" s="1667"/>
      <c r="G17" s="1662"/>
      <c r="H17" s="1670">
        <v>3</v>
      </c>
      <c r="I17" s="1822"/>
      <c r="J17" s="1825"/>
      <c r="K17" s="1822"/>
      <c r="L17" s="1822"/>
      <c r="M17" s="1822"/>
    </row>
    <row r="18" spans="1:13" ht="16" thickBot="1" x14ac:dyDescent="0.4">
      <c r="A18" s="1644"/>
      <c r="B18" s="1644"/>
      <c r="C18" s="1674"/>
      <c r="D18" s="1667"/>
      <c r="E18" s="1667"/>
      <c r="F18" s="1667"/>
      <c r="G18" s="1662"/>
      <c r="H18" s="1670"/>
      <c r="I18" s="1822"/>
      <c r="J18" s="1825"/>
      <c r="K18" s="1822"/>
      <c r="L18" s="1822"/>
      <c r="M18" s="1822"/>
    </row>
    <row r="19" spans="1:13" ht="16" thickBot="1" x14ac:dyDescent="0.4">
      <c r="A19" s="1644"/>
      <c r="B19" s="1644"/>
      <c r="C19" s="1674"/>
      <c r="D19" s="1644" t="s">
        <v>203</v>
      </c>
      <c r="E19" s="1673" t="e">
        <f>VLOOKUP(D4,'2122 Funding Detail'!A4:Y21,21,FALSE)</f>
        <v>#N/A</v>
      </c>
      <c r="F19" s="1644" t="s">
        <v>199</v>
      </c>
      <c r="G19" s="1662"/>
      <c r="H19" s="1670">
        <v>4</v>
      </c>
      <c r="I19" s="1822"/>
      <c r="J19" s="1825"/>
      <c r="K19" s="1822"/>
      <c r="L19" s="1822"/>
      <c r="M19" s="1822"/>
    </row>
    <row r="20" spans="1:13" x14ac:dyDescent="0.35">
      <c r="A20" s="1644"/>
      <c r="B20" s="1644"/>
      <c r="C20" s="1675"/>
      <c r="D20" s="1644"/>
      <c r="E20" s="1675"/>
      <c r="F20" s="1644"/>
      <c r="G20" s="1662"/>
      <c r="H20" s="1670"/>
      <c r="I20" s="1822"/>
      <c r="J20" s="1825"/>
      <c r="K20" s="1822"/>
      <c r="L20" s="1822"/>
      <c r="M20" s="1822"/>
    </row>
    <row r="21" spans="1:13" x14ac:dyDescent="0.35">
      <c r="A21" s="1644"/>
      <c r="B21" s="1644"/>
      <c r="C21" s="1644"/>
      <c r="D21" s="1644"/>
      <c r="E21" s="1644" t="s">
        <v>204</v>
      </c>
      <c r="F21" s="1644" t="s">
        <v>347</v>
      </c>
      <c r="G21" s="1662" t="s">
        <v>310</v>
      </c>
      <c r="H21" s="1670"/>
      <c r="I21" s="1822"/>
      <c r="J21" s="1825"/>
      <c r="K21" s="1822"/>
      <c r="L21" s="1822"/>
      <c r="M21" s="1822"/>
    </row>
    <row r="22" spans="1:13" x14ac:dyDescent="0.35">
      <c r="A22" s="1644" t="s">
        <v>1004</v>
      </c>
      <c r="B22" s="1644"/>
      <c r="C22" s="1644"/>
      <c r="D22" s="1644"/>
      <c r="E22" s="1664" t="e">
        <f>VLOOKUP($D$4,'2122 Band Calculations'!A6:Q23,11,FALSE)</f>
        <v>#N/A</v>
      </c>
      <c r="F22" s="1676" t="e">
        <f>C17*(5/12)</f>
        <v>#N/A</v>
      </c>
      <c r="G22" s="1671" t="e">
        <f>VLOOKUP(D4,'2122 Band Calculations'!A6:S23,16,FALSE)</f>
        <v>#N/A</v>
      </c>
      <c r="H22" s="1670"/>
      <c r="I22" s="1827"/>
      <c r="J22" s="1825"/>
      <c r="K22" s="1822"/>
      <c r="L22" s="1822"/>
      <c r="M22" s="1822"/>
    </row>
    <row r="23" spans="1:13" x14ac:dyDescent="0.35">
      <c r="A23" s="1644" t="s">
        <v>1005</v>
      </c>
      <c r="B23" s="1644"/>
      <c r="C23" s="1644"/>
      <c r="D23" s="1644"/>
      <c r="E23" s="1667" t="e">
        <f>VLOOKUP(D4,'2122 Band Calculations'!A50:Q67,11,FALSE)</f>
        <v>#N/A</v>
      </c>
      <c r="F23" s="1676" t="e">
        <f>C17*(7/12)</f>
        <v>#N/A</v>
      </c>
      <c r="G23" s="1671" t="e">
        <f>VLOOKUP(D4,'2122 Band Calculations'!A50:S67,16,FALSE)</f>
        <v>#N/A</v>
      </c>
      <c r="H23" s="1670"/>
      <c r="I23" s="1827"/>
      <c r="J23" s="1825"/>
      <c r="K23" s="1822"/>
      <c r="L23" s="1822"/>
      <c r="M23" s="1822"/>
    </row>
    <row r="24" spans="1:13" x14ac:dyDescent="0.35">
      <c r="A24" s="1667"/>
      <c r="B24" s="1644"/>
      <c r="C24" s="1644"/>
      <c r="D24" s="1644"/>
      <c r="E24" s="1644"/>
      <c r="F24" s="1669" t="e">
        <f>SUM(F22:F23)</f>
        <v>#N/A</v>
      </c>
      <c r="G24" s="1669" t="e">
        <f>VLOOKUP(D4,'2122 Band Calculations'!A112:AK129,29,FALSE)</f>
        <v>#N/A</v>
      </c>
      <c r="H24" s="1670">
        <v>5</v>
      </c>
      <c r="I24" s="1822"/>
      <c r="J24" s="1825"/>
      <c r="K24" s="1822"/>
      <c r="L24" s="1822"/>
      <c r="M24" s="1822"/>
    </row>
    <row r="25" spans="1:13" x14ac:dyDescent="0.35">
      <c r="A25" s="1667"/>
      <c r="B25" s="1644"/>
      <c r="C25" s="1644"/>
      <c r="D25" s="1644"/>
      <c r="E25" s="1644"/>
      <c r="F25" s="1671"/>
      <c r="G25" s="1671"/>
      <c r="H25" s="1670"/>
      <c r="I25" s="1822"/>
      <c r="J25" s="1825"/>
      <c r="K25" s="1822"/>
      <c r="L25" s="1822"/>
      <c r="M25" s="1822"/>
    </row>
    <row r="26" spans="1:13" x14ac:dyDescent="0.35">
      <c r="A26" s="1644" t="s">
        <v>1006</v>
      </c>
      <c r="B26" s="1644"/>
      <c r="C26" s="1644"/>
      <c r="D26" s="1644"/>
      <c r="E26" s="1644" t="e">
        <f>VLOOKUP(D4,'2122 Band Calculations'!A28:N45,11,FALSE)</f>
        <v>#N/A</v>
      </c>
      <c r="F26" s="1676" t="e">
        <f>C17*(4/12)</f>
        <v>#N/A</v>
      </c>
      <c r="G26" s="1676" t="e">
        <f>VLOOKUP(D4,'2122 Band Calculations'!A28:P45,16,FALSE)</f>
        <v>#N/A</v>
      </c>
      <c r="H26" s="1670"/>
      <c r="I26" s="1827"/>
      <c r="J26" s="1825"/>
      <c r="K26" s="1822"/>
      <c r="L26" s="1822"/>
      <c r="M26" s="1822"/>
    </row>
    <row r="27" spans="1:13" x14ac:dyDescent="0.35">
      <c r="A27" s="1644" t="s">
        <v>1007</v>
      </c>
      <c r="B27" s="1667"/>
      <c r="C27" s="1667"/>
      <c r="D27" s="1667"/>
      <c r="E27" s="1644" t="e">
        <f>VLOOKUP(D4,'2122 Band Calculations'!A72:N89,11,FALSE)</f>
        <v>#N/A</v>
      </c>
      <c r="F27" s="1676" t="e">
        <f>(8/12)*C17</f>
        <v>#N/A</v>
      </c>
      <c r="G27" s="1676" t="e">
        <f>VLOOKUP(D4,'2122 Band Calculations'!A72:P89,16,FALSE)</f>
        <v>#N/A</v>
      </c>
      <c r="H27" s="1677"/>
      <c r="I27" s="1827"/>
    </row>
    <row r="28" spans="1:13" x14ac:dyDescent="0.35">
      <c r="A28" s="1667"/>
      <c r="B28" s="1667"/>
      <c r="C28" s="1667"/>
      <c r="D28" s="1667"/>
      <c r="E28" s="1667"/>
      <c r="F28" s="1666" t="e">
        <f>SUM(F26:F27)</f>
        <v>#N/A</v>
      </c>
      <c r="G28" s="1666" t="e">
        <f>VLOOKUP(D4,'2122 Band Calculations'!A112:AK129,32,FALSE)</f>
        <v>#N/A</v>
      </c>
      <c r="H28" s="1677">
        <v>6</v>
      </c>
    </row>
    <row r="29" spans="1:13" x14ac:dyDescent="0.35">
      <c r="A29" s="1667"/>
      <c r="B29" s="1667"/>
      <c r="C29" s="1667"/>
      <c r="D29" s="1667"/>
      <c r="E29" s="1667"/>
      <c r="F29" s="1645"/>
      <c r="G29" s="1645"/>
      <c r="H29" s="1677"/>
    </row>
    <row r="30" spans="1:13" x14ac:dyDescent="0.35">
      <c r="A30" s="1667"/>
      <c r="B30" s="1667"/>
      <c r="C30" s="1667"/>
      <c r="D30" s="1667"/>
      <c r="E30" s="1667"/>
      <c r="F30" s="1645" t="s">
        <v>200</v>
      </c>
      <c r="G30" s="1672" t="e">
        <f>VLOOKUP(D4,'2122 Band Calculations'!A112:AK129,33,FALSE)</f>
        <v>#N/A</v>
      </c>
      <c r="H30" s="1677">
        <v>7</v>
      </c>
    </row>
    <row r="31" spans="1:13" x14ac:dyDescent="0.35">
      <c r="A31" s="1667"/>
      <c r="B31" s="1667"/>
      <c r="C31" s="1667"/>
      <c r="D31" s="1667"/>
      <c r="E31" s="1667"/>
      <c r="F31" s="1645"/>
      <c r="G31" s="1664"/>
      <c r="H31" s="1677"/>
    </row>
    <row r="32" spans="1:13" ht="16" thickBot="1" x14ac:dyDescent="0.4">
      <c r="A32" s="1667"/>
      <c r="B32" s="1667"/>
      <c r="C32" s="1667"/>
      <c r="D32" s="1667"/>
      <c r="E32" s="1972" t="s">
        <v>1341</v>
      </c>
      <c r="F32" s="1972"/>
      <c r="G32" s="1678" t="e">
        <f>VLOOKUP(D4,'2122 Band Calculations'!A112:AK129,35,FALSE)</f>
        <v>#N/A</v>
      </c>
      <c r="H32" s="1677">
        <v>8</v>
      </c>
    </row>
    <row r="33" spans="1:8" ht="16.5" thickTop="1" thickBot="1" x14ac:dyDescent="0.4">
      <c r="A33" s="1667"/>
      <c r="B33" s="1667"/>
      <c r="C33" s="1667"/>
      <c r="D33" s="1667"/>
      <c r="E33" s="1667"/>
      <c r="F33" s="1645"/>
      <c r="G33" s="1664"/>
      <c r="H33" s="1677"/>
    </row>
    <row r="34" spans="1:8" ht="16" thickBot="1" x14ac:dyDescent="0.4">
      <c r="A34" s="1667" t="s">
        <v>230</v>
      </c>
      <c r="B34" s="1667"/>
      <c r="C34" s="1667"/>
      <c r="D34" s="1679" t="e">
        <f>VLOOKUP(D4,'2122 Funding Detail'!A4:P21,16,FALSE)</f>
        <v>#N/A</v>
      </c>
      <c r="E34" s="1667"/>
      <c r="F34" s="1667"/>
      <c r="G34" s="1667"/>
      <c r="H34" s="1677">
        <v>9</v>
      </c>
    </row>
    <row r="35" spans="1:8" x14ac:dyDescent="0.35">
      <c r="A35" s="1667"/>
      <c r="B35" s="1667"/>
      <c r="C35" s="1667"/>
      <c r="D35" s="1667"/>
      <c r="E35" s="1667"/>
      <c r="F35" s="1667"/>
      <c r="G35" s="1667"/>
      <c r="H35" s="1677"/>
    </row>
    <row r="36" spans="1:8" x14ac:dyDescent="0.35">
      <c r="A36" s="1680" t="s">
        <v>319</v>
      </c>
      <c r="B36" s="1667"/>
      <c r="C36" s="1667"/>
      <c r="D36" s="1667"/>
      <c r="E36" s="1667"/>
      <c r="F36" s="1668"/>
      <c r="G36" s="1667"/>
      <c r="H36" s="1677"/>
    </row>
    <row r="37" spans="1:8" x14ac:dyDescent="0.35">
      <c r="A37" s="1681" t="s">
        <v>322</v>
      </c>
      <c r="B37" s="1667"/>
      <c r="C37" s="1667"/>
      <c r="D37" s="1667"/>
      <c r="E37" s="1667"/>
      <c r="F37" s="1668"/>
      <c r="G37" s="1667"/>
      <c r="H37" s="1677"/>
    </row>
    <row r="38" spans="1:8" x14ac:dyDescent="0.35">
      <c r="A38" s="1645" t="s">
        <v>323</v>
      </c>
      <c r="B38" s="1667"/>
      <c r="C38" s="1667"/>
      <c r="D38" s="1668" t="e">
        <f>VLOOKUP(D4,'2122 Funding Detail'!A4:AB21,6,FALSE)</f>
        <v>#N/A</v>
      </c>
      <c r="E38" s="1667"/>
      <c r="F38" s="1668"/>
      <c r="G38" s="1667"/>
      <c r="H38" s="1677"/>
    </row>
    <row r="39" spans="1:8" x14ac:dyDescent="0.35">
      <c r="A39" s="1645" t="s">
        <v>589</v>
      </c>
      <c r="B39" s="1667"/>
      <c r="C39" s="1667"/>
      <c r="D39" s="1668" t="e">
        <f>VLOOKUP(D4,'2122 Funding Detail'!A4:AB21,7,FALSE)</f>
        <v>#N/A</v>
      </c>
      <c r="E39" s="1667"/>
      <c r="F39" s="1668"/>
      <c r="G39" s="1667"/>
      <c r="H39" s="1677"/>
    </row>
    <row r="40" spans="1:8" x14ac:dyDescent="0.35">
      <c r="A40" s="1645"/>
      <c r="B40" s="1667"/>
      <c r="C40" s="1667"/>
      <c r="D40" s="1668"/>
      <c r="E40" s="1667"/>
      <c r="F40" s="1668"/>
      <c r="G40" s="1667"/>
      <c r="H40" s="1677"/>
    </row>
    <row r="41" spans="1:8" x14ac:dyDescent="0.35">
      <c r="A41" s="1681" t="s">
        <v>321</v>
      </c>
      <c r="B41" s="1667"/>
      <c r="C41" s="1667"/>
      <c r="D41" s="1668"/>
      <c r="E41" s="1664"/>
      <c r="F41" s="1645"/>
      <c r="G41" s="1646"/>
      <c r="H41" s="1682">
        <v>10</v>
      </c>
    </row>
    <row r="42" spans="1:8" x14ac:dyDescent="0.35">
      <c r="A42" s="1645" t="s">
        <v>183</v>
      </c>
      <c r="B42" s="1667"/>
      <c r="C42" s="1667"/>
      <c r="D42" s="1668" t="e">
        <f>VLOOKUP(D4,'2122 Other Funding'!A7:BO26,64,FALSE)</f>
        <v>#N/A</v>
      </c>
      <c r="E42" s="1664"/>
      <c r="F42" s="1664"/>
      <c r="G42" s="1664"/>
      <c r="H42" s="1682"/>
    </row>
    <row r="43" spans="1:8" x14ac:dyDescent="0.35">
      <c r="A43" s="1645" t="s">
        <v>506</v>
      </c>
      <c r="B43" s="1667"/>
      <c r="C43" s="1667"/>
      <c r="D43" s="1668" t="e">
        <f>VLOOKUP(D4,'2122 Other Funding'!A7:BO26,65,FALSE)</f>
        <v>#N/A</v>
      </c>
      <c r="E43" s="1973"/>
      <c r="F43" s="1973"/>
      <c r="G43" s="1646"/>
      <c r="H43" s="1682"/>
    </row>
    <row r="44" spans="1:8" x14ac:dyDescent="0.35">
      <c r="A44" s="1645" t="s">
        <v>184</v>
      </c>
      <c r="B44" s="1667"/>
      <c r="C44" s="1667"/>
      <c r="D44" s="1668" t="e">
        <f>VLOOKUP(D4,'2122 Other Funding'!A7:BO26,66,FALSE)</f>
        <v>#N/A</v>
      </c>
      <c r="E44" s="1667"/>
      <c r="F44" s="1667"/>
      <c r="G44" s="1667"/>
      <c r="H44" s="1677"/>
    </row>
    <row r="45" spans="1:8" x14ac:dyDescent="0.35">
      <c r="A45" s="1645"/>
      <c r="B45" s="1667"/>
      <c r="C45" s="1667"/>
      <c r="D45" s="1668"/>
      <c r="E45" s="1667"/>
      <c r="F45" s="1667"/>
      <c r="G45" s="1667"/>
      <c r="H45" s="1677"/>
    </row>
    <row r="46" spans="1:8" x14ac:dyDescent="0.35">
      <c r="A46" s="1646" t="s">
        <v>324</v>
      </c>
      <c r="B46" s="1661"/>
      <c r="C46" s="1661"/>
      <c r="D46" s="1683" t="e">
        <f>SUM(D38:D44)</f>
        <v>#N/A</v>
      </c>
      <c r="E46" s="1667"/>
      <c r="F46" s="1667"/>
      <c r="G46" s="1667"/>
      <c r="H46" s="1677"/>
    </row>
    <row r="47" spans="1:8" x14ac:dyDescent="0.35">
      <c r="A47" s="1646"/>
      <c r="B47" s="1661"/>
      <c r="C47" s="1661"/>
      <c r="D47" s="1646"/>
      <c r="E47" s="1667"/>
      <c r="F47" s="1667"/>
      <c r="G47" s="1667"/>
      <c r="H47" s="1677"/>
    </row>
    <row r="48" spans="1:8" x14ac:dyDescent="0.35">
      <c r="A48" s="1667"/>
      <c r="B48" s="1667"/>
      <c r="C48" s="1667"/>
      <c r="D48" s="1667"/>
      <c r="E48" s="1646" t="s">
        <v>982</v>
      </c>
      <c r="F48" s="1667"/>
      <c r="G48" s="1684" t="e">
        <f>G32+D46</f>
        <v>#N/A</v>
      </c>
      <c r="H48" s="1677">
        <v>11</v>
      </c>
    </row>
    <row r="49" spans="1:9" x14ac:dyDescent="0.35">
      <c r="A49" s="1667"/>
      <c r="B49" s="1667"/>
      <c r="C49" s="1667"/>
      <c r="D49" s="1667"/>
      <c r="E49" s="1646"/>
      <c r="F49" s="1667"/>
      <c r="G49" s="1684"/>
      <c r="H49" s="1677"/>
    </row>
    <row r="50" spans="1:9" x14ac:dyDescent="0.35">
      <c r="A50" s="1667"/>
      <c r="B50" s="1667"/>
      <c r="C50" s="1667"/>
      <c r="D50" s="1667"/>
      <c r="E50" s="1646"/>
      <c r="F50" s="1667"/>
      <c r="G50" s="1684"/>
      <c r="H50" s="1677"/>
    </row>
    <row r="51" spans="1:9" x14ac:dyDescent="0.35">
      <c r="A51" s="1667"/>
      <c r="B51" s="1667"/>
      <c r="C51" s="1667"/>
      <c r="D51" s="1667"/>
      <c r="E51" s="1646"/>
      <c r="F51" s="1667"/>
      <c r="G51" s="1684"/>
      <c r="H51" s="1677"/>
    </row>
    <row r="52" spans="1:9" x14ac:dyDescent="0.35">
      <c r="A52" s="1667"/>
      <c r="B52" s="1667"/>
      <c r="C52" s="1667"/>
      <c r="D52" s="1667"/>
      <c r="E52" s="1646"/>
      <c r="F52" s="1667"/>
      <c r="G52" s="1684"/>
      <c r="H52" s="1677"/>
    </row>
    <row r="53" spans="1:9" x14ac:dyDescent="0.35">
      <c r="A53" s="1667"/>
      <c r="B53" s="1667"/>
      <c r="C53" s="1667"/>
      <c r="D53" s="1667"/>
      <c r="E53" s="1646"/>
      <c r="F53" s="1667"/>
      <c r="G53" s="1684"/>
      <c r="H53" s="1677"/>
    </row>
    <row r="54" spans="1:9" x14ac:dyDescent="0.35">
      <c r="A54" s="1667"/>
      <c r="B54" s="1667"/>
      <c r="C54" s="1667"/>
      <c r="D54" s="1667"/>
      <c r="E54" s="1646"/>
      <c r="F54" s="1667"/>
      <c r="G54" s="1684"/>
      <c r="H54" s="1677"/>
    </row>
    <row r="55" spans="1:9" x14ac:dyDescent="0.35">
      <c r="A55" s="1667"/>
      <c r="B55" s="1667"/>
      <c r="C55" s="1667"/>
      <c r="D55" s="1667"/>
      <c r="E55" s="1646"/>
      <c r="F55" s="1667"/>
      <c r="G55" s="1684"/>
      <c r="H55" s="1677"/>
    </row>
    <row r="56" spans="1:9" x14ac:dyDescent="0.35">
      <c r="A56" s="1667"/>
      <c r="B56" s="1667"/>
      <c r="C56" s="1667"/>
      <c r="D56" s="1667"/>
      <c r="E56" s="1646"/>
      <c r="F56" s="1667"/>
      <c r="G56" s="1684"/>
      <c r="H56" s="1677"/>
    </row>
    <row r="57" spans="1:9" x14ac:dyDescent="0.35">
      <c r="A57" s="1667"/>
      <c r="B57" s="1667"/>
      <c r="C57" s="1667"/>
      <c r="D57" s="1667"/>
      <c r="E57" s="1646"/>
      <c r="F57" s="1667"/>
      <c r="G57" s="1684"/>
      <c r="H57" s="1677"/>
    </row>
    <row r="58" spans="1:9" x14ac:dyDescent="0.35">
      <c r="A58" s="1667"/>
      <c r="B58" s="1667"/>
      <c r="C58" s="1667"/>
      <c r="D58" s="1667"/>
      <c r="E58" s="1646"/>
      <c r="F58" s="1667"/>
      <c r="G58" s="1684"/>
      <c r="H58" s="1677"/>
    </row>
    <row r="59" spans="1:9" x14ac:dyDescent="0.35">
      <c r="A59" s="1971" t="s">
        <v>945</v>
      </c>
      <c r="B59" s="1971"/>
      <c r="C59" s="1971"/>
      <c r="D59" s="1971"/>
      <c r="E59" s="1971"/>
      <c r="F59" s="1971"/>
      <c r="G59" s="1971"/>
      <c r="H59" s="1971"/>
    </row>
    <row r="60" spans="1:9" x14ac:dyDescent="0.35">
      <c r="A60" s="1971"/>
      <c r="B60" s="1971"/>
      <c r="C60" s="1971"/>
      <c r="D60" s="1971"/>
      <c r="E60" s="1971"/>
      <c r="F60" s="1971"/>
      <c r="G60" s="1971"/>
      <c r="H60" s="1971"/>
    </row>
    <row r="61" spans="1:9" x14ac:dyDescent="0.35">
      <c r="A61" s="1971"/>
      <c r="B61" s="1971"/>
      <c r="C61" s="1971"/>
      <c r="D61" s="1971"/>
      <c r="E61" s="1971"/>
      <c r="F61" s="1971"/>
      <c r="G61" s="1971"/>
      <c r="H61" s="1971"/>
    </row>
    <row r="62" spans="1:9" ht="12.75" customHeight="1" x14ac:dyDescent="0.35">
      <c r="A62" s="1971" t="s">
        <v>1338</v>
      </c>
      <c r="B62" s="1971"/>
      <c r="C62" s="1971"/>
      <c r="D62" s="1971"/>
      <c r="E62" s="1971"/>
      <c r="F62" s="1971"/>
      <c r="G62" s="1971"/>
      <c r="H62" s="1971"/>
      <c r="I62" s="1826"/>
    </row>
    <row r="63" spans="1:9" ht="12.75" customHeight="1" x14ac:dyDescent="0.35">
      <c r="A63" s="1971"/>
      <c r="B63" s="1971"/>
      <c r="C63" s="1971"/>
      <c r="D63" s="1971"/>
      <c r="E63" s="1971"/>
      <c r="F63" s="1971"/>
      <c r="G63" s="1971"/>
      <c r="H63" s="1971"/>
      <c r="I63" s="1826"/>
    </row>
    <row r="64" spans="1:9" ht="12.75" customHeight="1" x14ac:dyDescent="0.35">
      <c r="A64" s="1971"/>
      <c r="B64" s="1971"/>
      <c r="C64" s="1971"/>
      <c r="D64" s="1971"/>
      <c r="E64" s="1971"/>
      <c r="F64" s="1971"/>
      <c r="G64" s="1971"/>
      <c r="H64" s="1971"/>
      <c r="I64" s="1826"/>
    </row>
    <row r="65" spans="1:9" x14ac:dyDescent="0.35">
      <c r="A65" s="1971"/>
      <c r="B65" s="1971"/>
      <c r="C65" s="1971"/>
      <c r="D65" s="1971"/>
      <c r="E65" s="1971"/>
      <c r="F65" s="1971"/>
      <c r="G65" s="1971"/>
      <c r="H65" s="1971"/>
      <c r="I65" s="1826"/>
    </row>
    <row r="66" spans="1:9" x14ac:dyDescent="0.35">
      <c r="A66" s="1971"/>
      <c r="B66" s="1971"/>
      <c r="C66" s="1971"/>
      <c r="D66" s="1971"/>
      <c r="E66" s="1971"/>
      <c r="F66" s="1971"/>
      <c r="G66" s="1971"/>
      <c r="H66" s="1971"/>
      <c r="I66" s="1826"/>
    </row>
    <row r="67" spans="1:9" x14ac:dyDescent="0.35">
      <c r="A67" s="1971"/>
      <c r="B67" s="1971"/>
      <c r="C67" s="1971"/>
      <c r="D67" s="1971"/>
      <c r="E67" s="1971"/>
      <c r="F67" s="1971"/>
      <c r="G67" s="1971"/>
      <c r="H67" s="1971"/>
      <c r="I67" s="1826"/>
    </row>
    <row r="68" spans="1:9" x14ac:dyDescent="0.35">
      <c r="A68" s="1971"/>
      <c r="B68" s="1971"/>
      <c r="C68" s="1971"/>
      <c r="D68" s="1971"/>
      <c r="E68" s="1971"/>
      <c r="F68" s="1971"/>
      <c r="G68" s="1971"/>
      <c r="H68" s="1971"/>
      <c r="I68" s="1826"/>
    </row>
    <row r="69" spans="1:9" x14ac:dyDescent="0.35">
      <c r="A69" s="1971"/>
      <c r="B69" s="1971"/>
      <c r="C69" s="1971"/>
      <c r="D69" s="1971"/>
      <c r="E69" s="1971"/>
      <c r="F69" s="1971"/>
      <c r="G69" s="1971"/>
      <c r="H69" s="1971"/>
      <c r="I69" s="1826"/>
    </row>
    <row r="70" spans="1:9" x14ac:dyDescent="0.35">
      <c r="A70" s="1648"/>
      <c r="B70" s="1648"/>
      <c r="C70" s="1648"/>
      <c r="D70" s="1648"/>
      <c r="E70" s="1648"/>
      <c r="F70" s="1648"/>
      <c r="G70" s="1648"/>
      <c r="H70" s="1648"/>
      <c r="I70" s="1826"/>
    </row>
    <row r="71" spans="1:9" x14ac:dyDescent="0.35">
      <c r="A71" s="1971" t="s">
        <v>1339</v>
      </c>
      <c r="B71" s="1971"/>
      <c r="C71" s="1971"/>
      <c r="D71" s="1971"/>
      <c r="E71" s="1971"/>
      <c r="F71" s="1971"/>
      <c r="G71" s="1971"/>
      <c r="H71" s="1971"/>
      <c r="I71" s="1826"/>
    </row>
    <row r="72" spans="1:9" ht="12.75" customHeight="1" x14ac:dyDescent="0.35">
      <c r="A72" s="1971"/>
      <c r="B72" s="1971"/>
      <c r="C72" s="1971"/>
      <c r="D72" s="1971"/>
      <c r="E72" s="1971"/>
      <c r="F72" s="1971"/>
      <c r="G72" s="1971"/>
      <c r="H72" s="1971"/>
      <c r="I72" s="1826"/>
    </row>
    <row r="73" spans="1:9" x14ac:dyDescent="0.35">
      <c r="A73" s="1971"/>
      <c r="B73" s="1971"/>
      <c r="C73" s="1971"/>
      <c r="D73" s="1971"/>
      <c r="E73" s="1971"/>
      <c r="F73" s="1971"/>
      <c r="G73" s="1971"/>
      <c r="H73" s="1971"/>
      <c r="I73" s="1826"/>
    </row>
    <row r="74" spans="1:9" x14ac:dyDescent="0.35">
      <c r="A74" s="1971"/>
      <c r="B74" s="1971"/>
      <c r="C74" s="1971"/>
      <c r="D74" s="1971"/>
      <c r="E74" s="1971"/>
      <c r="F74" s="1971"/>
      <c r="G74" s="1971"/>
      <c r="H74" s="1971"/>
      <c r="I74" s="1826"/>
    </row>
    <row r="75" spans="1:9" x14ac:dyDescent="0.35">
      <c r="A75" s="1630"/>
      <c r="B75" s="1630"/>
      <c r="C75" s="1630"/>
      <c r="D75" s="1630"/>
      <c r="E75" s="1630"/>
      <c r="F75" s="1630"/>
      <c r="G75" s="1630"/>
      <c r="H75" s="1685"/>
      <c r="I75" s="1826"/>
    </row>
    <row r="76" spans="1:9" ht="12.75" customHeight="1" x14ac:dyDescent="0.35">
      <c r="A76" s="1971" t="s">
        <v>1340</v>
      </c>
      <c r="B76" s="1971"/>
      <c r="C76" s="1971"/>
      <c r="D76" s="1971"/>
      <c r="E76" s="1971"/>
      <c r="F76" s="1971"/>
      <c r="G76" s="1971"/>
      <c r="H76" s="1971"/>
      <c r="I76" s="1826"/>
    </row>
    <row r="77" spans="1:9" x14ac:dyDescent="0.35">
      <c r="A77" s="1971"/>
      <c r="B77" s="1971"/>
      <c r="C77" s="1971"/>
      <c r="D77" s="1971"/>
      <c r="E77" s="1971"/>
      <c r="F77" s="1971"/>
      <c r="G77" s="1971"/>
      <c r="H77" s="1971"/>
      <c r="I77" s="1826"/>
    </row>
    <row r="78" spans="1:9" x14ac:dyDescent="0.35">
      <c r="A78" s="1971"/>
      <c r="B78" s="1971"/>
      <c r="C78" s="1971"/>
      <c r="D78" s="1971"/>
      <c r="E78" s="1971"/>
      <c r="F78" s="1971"/>
      <c r="G78" s="1971"/>
      <c r="H78" s="1971"/>
      <c r="I78" s="1826"/>
    </row>
    <row r="79" spans="1:9" x14ac:dyDescent="0.35">
      <c r="A79" s="1971"/>
      <c r="B79" s="1971"/>
      <c r="C79" s="1971"/>
      <c r="D79" s="1971"/>
      <c r="E79" s="1971"/>
      <c r="F79" s="1971"/>
      <c r="G79" s="1971"/>
      <c r="H79" s="1971"/>
      <c r="I79" s="1826"/>
    </row>
    <row r="80" spans="1:9" x14ac:dyDescent="0.35">
      <c r="A80" s="1971"/>
      <c r="B80" s="1971"/>
      <c r="C80" s="1971"/>
      <c r="D80" s="1971"/>
      <c r="E80" s="1971"/>
      <c r="F80" s="1971"/>
      <c r="G80" s="1971"/>
      <c r="H80" s="1971"/>
      <c r="I80" s="1826"/>
    </row>
    <row r="81" spans="1:9" x14ac:dyDescent="0.35">
      <c r="A81" s="1971"/>
      <c r="B81" s="1971"/>
      <c r="C81" s="1971"/>
      <c r="D81" s="1971"/>
      <c r="E81" s="1971"/>
      <c r="F81" s="1971"/>
      <c r="G81" s="1971"/>
      <c r="H81" s="1971"/>
      <c r="I81" s="1826"/>
    </row>
    <row r="82" spans="1:9" ht="47.5" customHeight="1" x14ac:dyDescent="0.35">
      <c r="A82" s="1971"/>
      <c r="B82" s="1971"/>
      <c r="C82" s="1971"/>
      <c r="D82" s="1971"/>
      <c r="E82" s="1971"/>
      <c r="F82" s="1971"/>
      <c r="G82" s="1971"/>
      <c r="H82" s="1971"/>
      <c r="I82" s="1826"/>
    </row>
    <row r="83" spans="1:9" x14ac:dyDescent="0.35">
      <c r="A83" s="1648"/>
      <c r="B83" s="1648"/>
      <c r="C83" s="1648"/>
      <c r="D83" s="1648"/>
      <c r="E83" s="1648"/>
      <c r="F83" s="1648"/>
      <c r="G83" s="1648"/>
      <c r="H83" s="1648"/>
      <c r="I83" s="1826"/>
    </row>
    <row r="84" spans="1:9" ht="12.75" customHeight="1" x14ac:dyDescent="0.35">
      <c r="A84" s="1971" t="s">
        <v>496</v>
      </c>
      <c r="B84" s="1971"/>
      <c r="C84" s="1971"/>
      <c r="D84" s="1971"/>
      <c r="E84" s="1971"/>
      <c r="F84" s="1971"/>
      <c r="G84" s="1971"/>
      <c r="H84" s="1971"/>
      <c r="I84" s="1826"/>
    </row>
    <row r="85" spans="1:9" x14ac:dyDescent="0.35">
      <c r="A85" s="1971"/>
      <c r="B85" s="1971"/>
      <c r="C85" s="1971"/>
      <c r="D85" s="1971"/>
      <c r="E85" s="1971"/>
      <c r="F85" s="1971"/>
      <c r="G85" s="1971"/>
      <c r="H85" s="1971"/>
      <c r="I85" s="1826"/>
    </row>
    <row r="86" spans="1:9" x14ac:dyDescent="0.35">
      <c r="A86" s="1971"/>
      <c r="B86" s="1971"/>
      <c r="C86" s="1971"/>
      <c r="D86" s="1971"/>
      <c r="E86" s="1971"/>
      <c r="F86" s="1971"/>
      <c r="G86" s="1971"/>
      <c r="H86" s="1971"/>
      <c r="I86" s="1826"/>
    </row>
    <row r="87" spans="1:9" x14ac:dyDescent="0.35">
      <c r="A87" s="1630"/>
      <c r="B87" s="1630"/>
      <c r="C87" s="1630"/>
      <c r="D87" s="1630"/>
      <c r="E87" s="1630"/>
      <c r="F87" s="1630"/>
      <c r="G87" s="1630"/>
      <c r="H87" s="1685"/>
      <c r="I87" s="1826"/>
    </row>
    <row r="88" spans="1:9" ht="12.75" customHeight="1" x14ac:dyDescent="0.35">
      <c r="A88" s="1971" t="s">
        <v>591</v>
      </c>
      <c r="B88" s="1971"/>
      <c r="C88" s="1971"/>
      <c r="D88" s="1971"/>
      <c r="E88" s="1971"/>
      <c r="F88" s="1971"/>
      <c r="G88" s="1971"/>
      <c r="H88" s="1971"/>
      <c r="I88" s="1826"/>
    </row>
    <row r="89" spans="1:9" x14ac:dyDescent="0.35">
      <c r="A89" s="1971"/>
      <c r="B89" s="1971"/>
      <c r="C89" s="1971"/>
      <c r="D89" s="1971"/>
      <c r="E89" s="1971"/>
      <c r="F89" s="1971"/>
      <c r="G89" s="1971"/>
      <c r="H89" s="1971"/>
      <c r="I89" s="1826"/>
    </row>
    <row r="90" spans="1:9" x14ac:dyDescent="0.35">
      <c r="A90" s="1971"/>
      <c r="B90" s="1971"/>
      <c r="C90" s="1971"/>
      <c r="D90" s="1971"/>
      <c r="E90" s="1971"/>
      <c r="F90" s="1971"/>
      <c r="G90" s="1971"/>
      <c r="H90" s="1971"/>
      <c r="I90" s="1826"/>
    </row>
    <row r="91" spans="1:9" x14ac:dyDescent="0.35">
      <c r="A91" s="1971"/>
      <c r="B91" s="1971"/>
      <c r="C91" s="1971"/>
      <c r="D91" s="1971"/>
      <c r="E91" s="1971"/>
      <c r="F91" s="1971"/>
      <c r="G91" s="1971"/>
      <c r="H91" s="1971"/>
      <c r="I91" s="1826"/>
    </row>
    <row r="92" spans="1:9" x14ac:dyDescent="0.35">
      <c r="A92" s="1630"/>
      <c r="B92" s="1630"/>
      <c r="C92" s="1630"/>
      <c r="D92" s="1630"/>
      <c r="E92" s="1630"/>
      <c r="F92" s="1630"/>
      <c r="G92" s="1630"/>
      <c r="H92" s="1685"/>
      <c r="I92" s="1826"/>
    </row>
    <row r="93" spans="1:9" x14ac:dyDescent="0.35">
      <c r="A93" s="1974" t="s">
        <v>487</v>
      </c>
      <c r="B93" s="1974"/>
      <c r="C93" s="1974"/>
      <c r="D93" s="1974"/>
      <c r="E93" s="1974"/>
      <c r="F93" s="1974"/>
      <c r="G93" s="1974"/>
      <c r="H93" s="1974"/>
      <c r="I93" s="1826"/>
    </row>
    <row r="94" spans="1:9" x14ac:dyDescent="0.35">
      <c r="A94" s="1974"/>
      <c r="B94" s="1974"/>
      <c r="C94" s="1974"/>
      <c r="D94" s="1974"/>
      <c r="E94" s="1974"/>
      <c r="F94" s="1974"/>
      <c r="G94" s="1974"/>
      <c r="H94" s="1974"/>
      <c r="I94" s="1826"/>
    </row>
    <row r="95" spans="1:9" x14ac:dyDescent="0.35">
      <c r="A95" s="1630"/>
      <c r="B95" s="1630"/>
      <c r="C95" s="1630"/>
      <c r="D95" s="1630"/>
      <c r="E95" s="1630"/>
      <c r="F95" s="1630"/>
      <c r="G95" s="1630"/>
      <c r="H95" s="1685"/>
      <c r="I95" s="1826"/>
    </row>
    <row r="96" spans="1:9" x14ac:dyDescent="0.35">
      <c r="A96" s="1974" t="s">
        <v>1360</v>
      </c>
      <c r="B96" s="1974"/>
      <c r="C96" s="1974"/>
      <c r="D96" s="1974"/>
      <c r="E96" s="1974"/>
      <c r="F96" s="1974"/>
      <c r="G96" s="1974"/>
      <c r="H96" s="1974"/>
      <c r="I96" s="1826"/>
    </row>
    <row r="97" spans="1:9" x14ac:dyDescent="0.35">
      <c r="A97" s="1974"/>
      <c r="B97" s="1974"/>
      <c r="C97" s="1974"/>
      <c r="D97" s="1974"/>
      <c r="E97" s="1974"/>
      <c r="F97" s="1974"/>
      <c r="G97" s="1974"/>
      <c r="H97" s="1974"/>
      <c r="I97" s="1826"/>
    </row>
    <row r="98" spans="1:9" x14ac:dyDescent="0.35">
      <c r="A98" s="1630"/>
      <c r="B98" s="1630"/>
      <c r="C98" s="1630"/>
      <c r="D98" s="1630"/>
      <c r="E98" s="1630"/>
      <c r="F98" s="1630"/>
      <c r="G98" s="1630"/>
      <c r="H98" s="1685"/>
      <c r="I98" s="1826"/>
    </row>
    <row r="99" spans="1:9" ht="12.75" customHeight="1" x14ac:dyDescent="0.35">
      <c r="A99" s="1971" t="s">
        <v>912</v>
      </c>
      <c r="B99" s="1971"/>
      <c r="C99" s="1971"/>
      <c r="D99" s="1971"/>
      <c r="E99" s="1971"/>
      <c r="F99" s="1971"/>
      <c r="G99" s="1971"/>
      <c r="H99" s="1971"/>
      <c r="I99" s="1826"/>
    </row>
    <row r="100" spans="1:9" x14ac:dyDescent="0.35">
      <c r="A100" s="1971"/>
      <c r="B100" s="1971"/>
      <c r="C100" s="1971"/>
      <c r="D100" s="1971"/>
      <c r="E100" s="1971"/>
      <c r="F100" s="1971"/>
      <c r="G100" s="1971"/>
      <c r="H100" s="1971"/>
      <c r="I100" s="1826"/>
    </row>
    <row r="101" spans="1:9" x14ac:dyDescent="0.35">
      <c r="A101" s="1971"/>
      <c r="B101" s="1971"/>
      <c r="C101" s="1971"/>
      <c r="D101" s="1971"/>
      <c r="E101" s="1971"/>
      <c r="F101" s="1971"/>
      <c r="G101" s="1971"/>
      <c r="H101" s="1971"/>
      <c r="I101" s="1826"/>
    </row>
    <row r="102" spans="1:9" x14ac:dyDescent="0.35">
      <c r="A102" s="1971"/>
      <c r="B102" s="1971"/>
      <c r="C102" s="1971"/>
      <c r="D102" s="1971"/>
      <c r="E102" s="1971"/>
      <c r="F102" s="1971"/>
      <c r="G102" s="1971"/>
      <c r="H102" s="1971"/>
      <c r="I102" s="1826"/>
    </row>
    <row r="103" spans="1:9" x14ac:dyDescent="0.35">
      <c r="A103" s="1971"/>
      <c r="B103" s="1971"/>
      <c r="C103" s="1971"/>
      <c r="D103" s="1971"/>
      <c r="E103" s="1971"/>
      <c r="F103" s="1971"/>
      <c r="G103" s="1971"/>
      <c r="H103" s="1971"/>
      <c r="I103" s="1826"/>
    </row>
    <row r="104" spans="1:9" x14ac:dyDescent="0.35">
      <c r="A104" s="1971"/>
      <c r="B104" s="1971"/>
      <c r="C104" s="1971"/>
      <c r="D104" s="1971"/>
      <c r="E104" s="1971"/>
      <c r="F104" s="1971"/>
      <c r="G104" s="1971"/>
      <c r="H104" s="1971"/>
      <c r="I104" s="1826"/>
    </row>
    <row r="105" spans="1:9" x14ac:dyDescent="0.35">
      <c r="A105" s="1971"/>
      <c r="B105" s="1971"/>
      <c r="C105" s="1971"/>
      <c r="D105" s="1971"/>
      <c r="E105" s="1971"/>
      <c r="F105" s="1971"/>
      <c r="G105" s="1971"/>
      <c r="H105" s="1971"/>
      <c r="I105" s="1826"/>
    </row>
    <row r="106" spans="1:9" ht="12.75" customHeight="1" x14ac:dyDescent="0.35">
      <c r="A106" s="1971"/>
      <c r="B106" s="1971"/>
      <c r="C106" s="1971"/>
      <c r="D106" s="1971"/>
      <c r="E106" s="1971"/>
      <c r="F106" s="1971"/>
      <c r="G106" s="1971"/>
      <c r="H106" s="1971"/>
      <c r="I106" s="1826"/>
    </row>
    <row r="107" spans="1:9" x14ac:dyDescent="0.35">
      <c r="A107" s="1971"/>
      <c r="B107" s="1971"/>
      <c r="C107" s="1971"/>
      <c r="D107" s="1971"/>
      <c r="E107" s="1971"/>
      <c r="F107" s="1971"/>
      <c r="G107" s="1971"/>
      <c r="H107" s="1971"/>
      <c r="I107" s="1826"/>
    </row>
    <row r="108" spans="1:9" x14ac:dyDescent="0.35">
      <c r="A108" s="1971"/>
      <c r="B108" s="1971"/>
      <c r="C108" s="1971"/>
      <c r="D108" s="1971"/>
      <c r="E108" s="1971"/>
      <c r="F108" s="1971"/>
      <c r="G108" s="1971"/>
      <c r="H108" s="1971"/>
      <c r="I108" s="1826"/>
    </row>
    <row r="109" spans="1:9" x14ac:dyDescent="0.35">
      <c r="A109" s="1648"/>
      <c r="B109" s="1648"/>
      <c r="C109" s="1648"/>
      <c r="D109" s="1648"/>
      <c r="E109" s="1648"/>
      <c r="F109" s="1648"/>
      <c r="G109" s="1648"/>
      <c r="H109" s="1648"/>
      <c r="I109" s="1826"/>
    </row>
    <row r="110" spans="1:9" ht="12.75" customHeight="1" x14ac:dyDescent="0.35">
      <c r="A110" s="1971" t="s">
        <v>1361</v>
      </c>
      <c r="B110" s="1971"/>
      <c r="C110" s="1971"/>
      <c r="D110" s="1971"/>
      <c r="E110" s="1971"/>
      <c r="F110" s="1971"/>
      <c r="G110" s="1971"/>
      <c r="H110" s="1971"/>
      <c r="I110" s="1826"/>
    </row>
    <row r="111" spans="1:9" x14ac:dyDescent="0.35">
      <c r="A111" s="1971"/>
      <c r="B111" s="1971"/>
      <c r="C111" s="1971"/>
      <c r="D111" s="1971"/>
      <c r="E111" s="1971"/>
      <c r="F111" s="1971"/>
      <c r="G111" s="1971"/>
      <c r="H111" s="1971"/>
      <c r="I111" s="1826"/>
    </row>
    <row r="112" spans="1:9" ht="12.75" customHeight="1" x14ac:dyDescent="0.35">
      <c r="A112" s="1971"/>
      <c r="B112" s="1971"/>
      <c r="C112" s="1971"/>
      <c r="D112" s="1971"/>
      <c r="E112" s="1971"/>
      <c r="F112" s="1971"/>
      <c r="G112" s="1971"/>
      <c r="H112" s="1971"/>
      <c r="I112" s="1826"/>
    </row>
    <row r="113" spans="1:9" ht="12.75" customHeight="1" x14ac:dyDescent="0.35">
      <c r="A113" s="1648"/>
      <c r="B113" s="1648"/>
      <c r="C113" s="1648"/>
      <c r="D113" s="1648"/>
      <c r="E113" s="1648"/>
      <c r="F113" s="1648"/>
      <c r="G113" s="1648"/>
      <c r="H113" s="1648"/>
      <c r="I113" s="1826"/>
    </row>
    <row r="114" spans="1:9" ht="12.75" customHeight="1" x14ac:dyDescent="0.35">
      <c r="A114" s="1971" t="s">
        <v>1362</v>
      </c>
      <c r="B114" s="1971"/>
      <c r="C114" s="1971"/>
      <c r="D114" s="1971"/>
      <c r="E114" s="1971"/>
      <c r="F114" s="1971"/>
      <c r="G114" s="1971"/>
      <c r="H114" s="1971"/>
      <c r="I114" s="1826"/>
    </row>
    <row r="115" spans="1:9" x14ac:dyDescent="0.35">
      <c r="A115" s="1971"/>
      <c r="B115" s="1971"/>
      <c r="C115" s="1971"/>
      <c r="D115" s="1971"/>
      <c r="E115" s="1971"/>
      <c r="F115" s="1971"/>
      <c r="G115" s="1971"/>
      <c r="H115" s="1971"/>
      <c r="I115" s="1826"/>
    </row>
    <row r="116" spans="1:9" x14ac:dyDescent="0.35">
      <c r="H116" s="1738"/>
      <c r="I116" s="1826"/>
    </row>
    <row r="117" spans="1:9" x14ac:dyDescent="0.35">
      <c r="A117" s="1647"/>
      <c r="B117" s="1647"/>
      <c r="C117" s="1647"/>
      <c r="D117" s="1647"/>
      <c r="E117" s="1647"/>
      <c r="F117" s="1647"/>
      <c r="G117" s="1647"/>
      <c r="H117" s="1647"/>
    </row>
  </sheetData>
  <sheetProtection password="B262" sheet="1" objects="1" scenarios="1"/>
  <mergeCells count="13">
    <mergeCell ref="A99:H108"/>
    <mergeCell ref="A110:H112"/>
    <mergeCell ref="A114:H115"/>
    <mergeCell ref="E32:F32"/>
    <mergeCell ref="E43:F43"/>
    <mergeCell ref="A59:H61"/>
    <mergeCell ref="A96:H97"/>
    <mergeCell ref="A76:H82"/>
    <mergeCell ref="A84:H86"/>
    <mergeCell ref="A88:H91"/>
    <mergeCell ref="A93:H94"/>
    <mergeCell ref="A62:H69"/>
    <mergeCell ref="A71:H74"/>
  </mergeCells>
  <phoneticPr fontId="61" type="noConversion"/>
  <pageMargins left="0.70866141732283472" right="0.70866141732283472" top="0.74803149606299213" bottom="0.74803149606299213" header="0.31496062992125984" footer="0.31496062992125984"/>
  <pageSetup paperSize="9" scale="56" fitToHeight="2" orientation="landscape" r:id="rId1"/>
  <headerFooter>
    <oddHeader xml:space="preserve">&amp;CLincolnshire County Council </oddHeader>
    <oddFooter>&amp;C2021/22 Special School Budget Share Calculation 
Budget Shares</oddFooter>
  </headerFooter>
  <ignoredErrors>
    <ignoredError sqref="G48 D35:D37 D45:D46 D40:D41" evalError="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96"/>
  <sheetViews>
    <sheetView zoomScale="85" zoomScaleNormal="85" workbookViewId="0">
      <selection activeCell="G19" sqref="G19:G27"/>
    </sheetView>
  </sheetViews>
  <sheetFormatPr defaultColWidth="9.1796875" defaultRowHeight="12.5" x14ac:dyDescent="0.25"/>
  <cols>
    <col min="1" max="1" width="49" style="276" customWidth="1"/>
    <col min="2" max="2" width="30.7265625" style="276" customWidth="1"/>
    <col min="3" max="3" width="2.1796875" style="276" bestFit="1" customWidth="1"/>
    <col min="4" max="4" width="30.7265625" style="269" customWidth="1"/>
    <col min="5" max="5" width="8" style="269" customWidth="1"/>
    <col min="6" max="6" width="1.453125" style="269" customWidth="1"/>
    <col min="7" max="7" width="47.26953125" style="269" customWidth="1"/>
    <col min="8" max="8" width="30.81640625" style="269" customWidth="1"/>
    <col min="9" max="9" width="30.7265625" style="269" customWidth="1"/>
    <col min="10" max="10" width="3" style="269" customWidth="1"/>
    <col min="11" max="16384" width="9.1796875" style="276"/>
  </cols>
  <sheetData>
    <row r="1" spans="1:14" ht="18" x14ac:dyDescent="0.4">
      <c r="A1" s="271" t="s">
        <v>350</v>
      </c>
      <c r="B1" s="272"/>
      <c r="C1" s="272"/>
      <c r="D1" s="270"/>
      <c r="E1" s="273"/>
      <c r="F1" s="273"/>
      <c r="G1" s="270"/>
      <c r="H1" s="274"/>
      <c r="I1" s="274"/>
      <c r="J1" s="274"/>
      <c r="K1" s="275"/>
      <c r="L1" s="275"/>
      <c r="M1" s="275"/>
      <c r="N1" s="274"/>
    </row>
    <row r="2" spans="1:14" ht="15" customHeight="1" x14ac:dyDescent="0.4">
      <c r="A2" s="271"/>
      <c r="B2" s="272"/>
      <c r="C2" s="272"/>
      <c r="D2" s="270"/>
      <c r="E2" s="273"/>
      <c r="F2" s="273"/>
      <c r="G2" s="270"/>
      <c r="H2" s="274"/>
      <c r="I2" s="274"/>
      <c r="J2" s="274"/>
      <c r="K2" s="275"/>
      <c r="L2" s="275"/>
      <c r="M2" s="275"/>
      <c r="N2" s="274"/>
    </row>
    <row r="3" spans="1:14" ht="14" x14ac:dyDescent="0.3">
      <c r="A3" s="277" t="s">
        <v>198</v>
      </c>
      <c r="D3" s="270"/>
      <c r="E3" s="270"/>
      <c r="F3" s="270"/>
      <c r="G3" s="270"/>
      <c r="H3" s="278"/>
      <c r="I3" s="274"/>
      <c r="J3" s="274"/>
      <c r="K3" s="275"/>
      <c r="L3" s="279"/>
      <c r="M3" s="275"/>
      <c r="N3" s="280"/>
    </row>
    <row r="4" spans="1:14" ht="13" x14ac:dyDescent="0.3">
      <c r="A4" s="272"/>
      <c r="H4" s="281"/>
      <c r="I4" s="274"/>
      <c r="J4" s="274"/>
      <c r="K4" s="275"/>
      <c r="L4" s="282"/>
      <c r="M4" s="275"/>
      <c r="N4" s="274"/>
    </row>
    <row r="5" spans="1:14" ht="13" x14ac:dyDescent="0.3">
      <c r="A5" s="283" t="s">
        <v>197</v>
      </c>
      <c r="B5" s="673">
        <v>9257016</v>
      </c>
      <c r="C5" s="284"/>
      <c r="D5" s="304" t="str">
        <f>VLOOKUP(B5,'2014-15 Funding Detail'!A3:AH23,2,FALSE)</f>
        <v xml:space="preserve">Lincoln St Francis </v>
      </c>
      <c r="E5" s="286"/>
      <c r="F5" s="286"/>
      <c r="G5" s="285"/>
      <c r="H5" s="281"/>
      <c r="I5" s="274"/>
      <c r="J5" s="274"/>
      <c r="K5" s="275"/>
      <c r="L5" s="282"/>
      <c r="M5" s="275"/>
      <c r="N5" s="274"/>
    </row>
    <row r="6" spans="1:14" ht="13" x14ac:dyDescent="0.3">
      <c r="A6" s="283"/>
      <c r="B6" s="284"/>
      <c r="C6" s="284"/>
      <c r="D6" s="285"/>
      <c r="E6" s="286"/>
      <c r="F6" s="286"/>
      <c r="G6" s="285"/>
      <c r="H6" s="281"/>
      <c r="I6" s="274"/>
      <c r="J6" s="274"/>
      <c r="K6" s="275"/>
      <c r="L6" s="282"/>
      <c r="M6" s="275"/>
      <c r="N6" s="274"/>
    </row>
    <row r="7" spans="1:14" s="301" customFormat="1" ht="13" x14ac:dyDescent="0.3">
      <c r="A7" s="295"/>
      <c r="B7" s="1858" t="s">
        <v>317</v>
      </c>
      <c r="C7" s="1858"/>
      <c r="D7" s="1858"/>
      <c r="E7" s="297"/>
      <c r="F7" s="297"/>
      <c r="G7" s="1859" t="s">
        <v>623</v>
      </c>
      <c r="H7" s="1859"/>
      <c r="I7" s="297"/>
      <c r="J7" s="297"/>
      <c r="K7" s="299"/>
      <c r="L7" s="300"/>
      <c r="M7" s="300"/>
      <c r="N7" s="297"/>
    </row>
    <row r="8" spans="1:14" s="301" customFormat="1" ht="13" x14ac:dyDescent="0.3">
      <c r="A8" s="295"/>
      <c r="B8" s="648"/>
      <c r="C8" s="648"/>
      <c r="D8" s="648"/>
      <c r="E8" s="297"/>
      <c r="F8" s="297"/>
      <c r="G8" s="297"/>
      <c r="H8" s="297"/>
      <c r="I8" s="297"/>
      <c r="J8" s="297"/>
      <c r="K8" s="299"/>
      <c r="L8" s="300"/>
      <c r="M8" s="300"/>
      <c r="N8" s="297"/>
    </row>
    <row r="9" spans="1:14" s="301" customFormat="1" ht="13" x14ac:dyDescent="0.3">
      <c r="A9" s="302" t="s">
        <v>320</v>
      </c>
      <c r="B9" s="648" t="s">
        <v>618</v>
      </c>
      <c r="C9" s="303"/>
      <c r="D9" s="304" t="s">
        <v>619</v>
      </c>
      <c r="E9" s="297"/>
      <c r="F9" s="297"/>
      <c r="G9" s="302" t="s">
        <v>320</v>
      </c>
      <c r="H9" s="649" t="s">
        <v>624</v>
      </c>
      <c r="I9" s="297"/>
      <c r="J9" s="297"/>
      <c r="K9" s="299"/>
      <c r="L9" s="300"/>
      <c r="M9" s="300"/>
      <c r="N9" s="297"/>
    </row>
    <row r="10" spans="1:14" s="301" customFormat="1" x14ac:dyDescent="0.25">
      <c r="A10" s="295" t="s">
        <v>20</v>
      </c>
      <c r="B10" s="294">
        <f>VLOOKUP($B$5,'2016-17 Funding Detail'!$A$4:$X$23,4,FALSE)</f>
        <v>493762.11190507573</v>
      </c>
      <c r="C10" s="294"/>
      <c r="D10" s="400">
        <f>VLOOKUP($B$5,'2017-18 Funding Detail'!$A$4:$AK$23,4,FALSE)</f>
        <v>493762.11190507573</v>
      </c>
      <c r="E10" s="402"/>
      <c r="F10" s="402"/>
      <c r="G10" s="428" t="s">
        <v>20</v>
      </c>
      <c r="H10" s="400">
        <f>VLOOKUP($B$5,'2017-18 Funding Detail'!$A$4:$AK$23,4,FALSE)</f>
        <v>493762.11190507573</v>
      </c>
      <c r="I10" s="446"/>
      <c r="J10" s="303"/>
      <c r="K10" s="299"/>
      <c r="L10" s="300"/>
      <c r="M10" s="300"/>
      <c r="N10" s="297"/>
    </row>
    <row r="11" spans="1:14" s="301" customFormat="1" x14ac:dyDescent="0.25">
      <c r="A11" s="295" t="s">
        <v>21</v>
      </c>
      <c r="B11" s="294">
        <f>VLOOKUP($B$5,'2016-17 Funding Detail'!$A$4:$X$23,5,FALSE)</f>
        <v>131719.7894229154</v>
      </c>
      <c r="C11" s="294"/>
      <c r="D11" s="400">
        <f>VLOOKUP($B$5,'2017-18 Funding Detail'!$A$4:$AK$23,5,FALSE)</f>
        <v>131719.7894229154</v>
      </c>
      <c r="E11" s="402"/>
      <c r="F11" s="402"/>
      <c r="G11" s="428" t="s">
        <v>21</v>
      </c>
      <c r="H11" s="400">
        <f>VLOOKUP($B$5,'2017-18 Funding Detail'!$A$4:$AK$23,5,FALSE)</f>
        <v>131719.7894229154</v>
      </c>
      <c r="I11" s="446"/>
      <c r="J11" s="303"/>
      <c r="K11" s="299"/>
      <c r="L11" s="300"/>
      <c r="M11" s="300"/>
      <c r="N11" s="297"/>
    </row>
    <row r="12" spans="1:14" s="301" customFormat="1" x14ac:dyDescent="0.25">
      <c r="A12" s="295" t="s">
        <v>102</v>
      </c>
      <c r="B12" s="294">
        <f>VLOOKUP($B$5,'2016-17 Funding Detail'!$A$4:$X$23,8,FALSE)+VLOOKUP(B5,'2016-17 Funding Detail'!A4:AD23,9,FALSE)</f>
        <v>1451942.8180361402</v>
      </c>
      <c r="C12" s="294"/>
      <c r="D12" s="400">
        <f>VLOOKUP($B$5,'2017-18 Funding Detail'!$A$4:$AK$23,9,FALSE)</f>
        <v>1500846.8153915969</v>
      </c>
      <c r="E12" s="442">
        <v>2</v>
      </c>
      <c r="F12" s="432"/>
      <c r="G12" s="428" t="s">
        <v>102</v>
      </c>
      <c r="H12" s="400">
        <f>VLOOKUP($B$5,'2017-18 Funding Detail'!$A$4:$AK$23,9,FALSE)</f>
        <v>1500846.8153915969</v>
      </c>
      <c r="I12" s="446"/>
      <c r="J12" s="303"/>
      <c r="K12" s="299"/>
      <c r="L12" s="300"/>
      <c r="M12" s="300"/>
      <c r="N12" s="297"/>
    </row>
    <row r="13" spans="1:14" s="301" customFormat="1" x14ac:dyDescent="0.25">
      <c r="A13" s="295" t="s">
        <v>400</v>
      </c>
      <c r="B13" s="294">
        <f>VLOOKUP($B$5,'2016-17 Funding Detail'!$A$4:$X$23,10,FALSE)</f>
        <v>0</v>
      </c>
      <c r="C13" s="294"/>
      <c r="D13" s="400">
        <f>VLOOKUP($B$5,'2017-18 Funding Detail'!$A$4:$AK$23,10,FALSE)</f>
        <v>0</v>
      </c>
      <c r="E13" s="432"/>
      <c r="F13" s="432"/>
      <c r="G13" s="428" t="s">
        <v>400</v>
      </c>
      <c r="H13" s="400">
        <f>VLOOKUP($B$5,'2017-18 Funding Detail'!$A$4:$AK$23,10,FALSE)</f>
        <v>0</v>
      </c>
      <c r="I13" s="446"/>
      <c r="J13" s="303"/>
      <c r="K13" s="299"/>
      <c r="L13" s="300"/>
      <c r="M13" s="300"/>
      <c r="N13" s="297"/>
    </row>
    <row r="14" spans="1:14" s="301" customFormat="1" x14ac:dyDescent="0.25">
      <c r="A14" s="295" t="s">
        <v>85</v>
      </c>
      <c r="B14" s="294">
        <f>VLOOKUP($B$5,'2016-17 Funding Detail'!$A$4:$X$23,11,FALSE)</f>
        <v>12948.5</v>
      </c>
      <c r="C14" s="294"/>
      <c r="D14" s="400">
        <f>VLOOKUP($B$5,'2017-18 Funding Detail'!$A$4:$AK$23,11,FALSE)</f>
        <v>12948.5</v>
      </c>
      <c r="E14" s="432"/>
      <c r="F14" s="432"/>
      <c r="G14" s="428" t="s">
        <v>85</v>
      </c>
      <c r="H14" s="400">
        <f>VLOOKUP($B$5,'2017-18 Funding Detail'!$A$4:$AK$23,11,FALSE)</f>
        <v>12948.5</v>
      </c>
      <c r="I14" s="446"/>
      <c r="J14" s="297"/>
      <c r="K14" s="299"/>
      <c r="L14" s="300"/>
      <c r="M14" s="300"/>
      <c r="N14" s="297"/>
    </row>
    <row r="15" spans="1:14" s="301" customFormat="1" x14ac:dyDescent="0.25">
      <c r="A15" s="295" t="s">
        <v>232</v>
      </c>
      <c r="B15" s="294">
        <f>VLOOKUP($B$5,'2016-17 Funding Detail'!$A$4:$X$23,12,FALSE)</f>
        <v>832.00642333232065</v>
      </c>
      <c r="C15" s="294"/>
      <c r="D15" s="400">
        <f>VLOOKUP($B$5,'2017-18 Funding Detail'!$A$4:$AK$23,12,FALSE)</f>
        <v>832.00642333232065</v>
      </c>
      <c r="E15" s="432"/>
      <c r="F15" s="432"/>
      <c r="G15" s="428" t="s">
        <v>232</v>
      </c>
      <c r="H15" s="400">
        <f>VLOOKUP($B$5,'2017-18 Funding Detail'!$A$4:$AK$23,12,FALSE)</f>
        <v>832.00642333232065</v>
      </c>
      <c r="I15" s="446"/>
      <c r="J15" s="297"/>
      <c r="K15" s="299"/>
      <c r="L15" s="300"/>
      <c r="M15" s="300"/>
      <c r="N15" s="297"/>
    </row>
    <row r="16" spans="1:14" s="301" customFormat="1" x14ac:dyDescent="0.25">
      <c r="A16" s="295" t="s">
        <v>325</v>
      </c>
      <c r="B16" s="294">
        <f>VLOOKUP($B$5,'2016-17 Funding Detail'!$A$4:$X$23,23,FALSE)</f>
        <v>256019.10999994536</v>
      </c>
      <c r="C16" s="305"/>
      <c r="D16" s="382"/>
      <c r="E16" s="432"/>
      <c r="F16" s="432"/>
      <c r="G16" s="428" t="s">
        <v>325</v>
      </c>
      <c r="H16" s="400">
        <f>VLOOKUP($B$5,'2017-18 Funding Detail'!$A$4:$AK$23,31,FALSE)</f>
        <v>238395.30799729325</v>
      </c>
      <c r="I16" s="446"/>
      <c r="J16" s="297"/>
      <c r="K16" s="299"/>
      <c r="L16" s="300"/>
      <c r="M16" s="300"/>
      <c r="N16" s="297"/>
    </row>
    <row r="17" spans="1:14" s="301" customFormat="1" x14ac:dyDescent="0.25">
      <c r="A17" s="295" t="s">
        <v>351</v>
      </c>
      <c r="B17" s="429">
        <f>VLOOKUP(B5,'2016-17 Funding Detail'!A4:AO23,24,FALSE)</f>
        <v>2347224.335787409</v>
      </c>
      <c r="C17" s="307">
        <v>1</v>
      </c>
      <c r="D17" s="430">
        <f>VLOOKUP(B5,'2017-18 Funding Detail'!A4:AF24,14,FALSE)</f>
        <v>2140109.2231429205</v>
      </c>
      <c r="E17" s="442">
        <v>3</v>
      </c>
      <c r="F17" s="432"/>
      <c r="G17" s="428" t="s">
        <v>318</v>
      </c>
      <c r="H17" s="429">
        <f>VLOOKUP($B$5,'2017-18 Funding Detail'!$A$4:$AK$23,32,FALSE)</f>
        <v>2378504.5311402138</v>
      </c>
      <c r="I17" s="442">
        <v>9</v>
      </c>
      <c r="J17" s="297"/>
      <c r="K17" s="299"/>
      <c r="L17" s="300"/>
      <c r="M17" s="300"/>
      <c r="N17" s="297"/>
    </row>
    <row r="18" spans="1:14" s="301" customFormat="1" x14ac:dyDescent="0.25">
      <c r="A18" s="295"/>
      <c r="B18" s="294"/>
      <c r="C18" s="305"/>
      <c r="D18" s="294"/>
      <c r="E18" s="442"/>
      <c r="F18" s="432"/>
      <c r="G18" s="400"/>
      <c r="H18" s="328"/>
      <c r="I18" s="328"/>
      <c r="J18" s="297"/>
      <c r="K18" s="299"/>
      <c r="L18" s="300"/>
      <c r="M18" s="300"/>
      <c r="N18" s="297"/>
    </row>
    <row r="19" spans="1:14" s="301" customFormat="1" ht="13" x14ac:dyDescent="0.3">
      <c r="A19" s="564" t="s">
        <v>659</v>
      </c>
      <c r="B19" s="445">
        <f>VLOOKUP(B5,'2016-17 Funding Detail'!A4:AD23,28,FALSE)</f>
        <v>1720910.4280360858</v>
      </c>
      <c r="C19" s="305"/>
      <c r="D19" s="294">
        <f>VLOOKUP(B5,'2017-18 Funding Detail'!A4:AK23,17,FALSE)</f>
        <v>1513795.3153915973</v>
      </c>
      <c r="E19" s="442">
        <v>4</v>
      </c>
      <c r="F19" s="432"/>
      <c r="G19" s="435" t="s">
        <v>319</v>
      </c>
      <c r="H19" s="328"/>
      <c r="I19" s="432"/>
      <c r="J19" s="297"/>
      <c r="K19" s="299"/>
      <c r="L19" s="300"/>
      <c r="M19" s="300"/>
      <c r="N19" s="297"/>
    </row>
    <row r="20" spans="1:14" s="301" customFormat="1" ht="13" x14ac:dyDescent="0.3">
      <c r="A20" s="295"/>
      <c r="B20" s="294"/>
      <c r="C20" s="305"/>
      <c r="D20" s="294"/>
      <c r="E20" s="442"/>
      <c r="F20" s="432"/>
      <c r="G20" s="436" t="s">
        <v>322</v>
      </c>
      <c r="H20" s="328"/>
      <c r="I20" s="447"/>
      <c r="J20" s="297"/>
      <c r="K20" s="299"/>
      <c r="L20" s="300"/>
      <c r="M20" s="300"/>
      <c r="N20" s="297"/>
    </row>
    <row r="21" spans="1:14" s="301" customFormat="1" ht="13" x14ac:dyDescent="0.3">
      <c r="A21" s="295"/>
      <c r="B21" s="434" t="s">
        <v>620</v>
      </c>
      <c r="C21" s="305"/>
      <c r="D21" s="734" t="s">
        <v>652</v>
      </c>
      <c r="E21" s="442"/>
      <c r="F21" s="432"/>
      <c r="G21" s="437" t="s">
        <v>323</v>
      </c>
      <c r="H21" s="328">
        <f>VLOOKUP(B5,'2017-18 Funding Detail'!A4:AL23,6,FALSE)</f>
        <v>0</v>
      </c>
      <c r="I21" s="448">
        <v>10</v>
      </c>
      <c r="J21" s="297"/>
      <c r="K21" s="299"/>
      <c r="L21" s="300"/>
      <c r="M21" s="300"/>
      <c r="N21" s="297"/>
    </row>
    <row r="22" spans="1:14" s="301" customFormat="1" x14ac:dyDescent="0.25">
      <c r="A22" s="295" t="s">
        <v>233</v>
      </c>
      <c r="B22" s="443">
        <f>VLOOKUP(B5,'2016-17 Funding Detail'!A4:AD23,15,FALSE)</f>
        <v>143.5</v>
      </c>
      <c r="C22" s="309"/>
      <c r="D22" s="443">
        <f>VLOOKUP(B5,'2017-18 Funding Detail'!A4:AK23,15,FALSE)</f>
        <v>148.33333333333334</v>
      </c>
      <c r="E22" s="442">
        <v>5</v>
      </c>
      <c r="F22" s="432"/>
      <c r="G22" s="569" t="s">
        <v>589</v>
      </c>
      <c r="H22" s="328">
        <f>VLOOKUP(B5,'2017-18 Funding Detail'!A4:AL23,7,FALSE)</f>
        <v>0</v>
      </c>
      <c r="I22" s="448">
        <v>11</v>
      </c>
      <c r="J22" s="297"/>
      <c r="K22" s="299"/>
      <c r="L22" s="300"/>
      <c r="M22" s="300"/>
      <c r="N22" s="297"/>
    </row>
    <row r="23" spans="1:14" s="301" customFormat="1" x14ac:dyDescent="0.25">
      <c r="A23" s="295"/>
      <c r="B23" s="444"/>
      <c r="C23" s="305"/>
      <c r="D23" s="294"/>
      <c r="E23" s="442"/>
      <c r="F23" s="432"/>
      <c r="J23" s="297"/>
      <c r="K23" s="299"/>
      <c r="L23" s="300"/>
      <c r="M23" s="300"/>
      <c r="N23" s="297"/>
    </row>
    <row r="24" spans="1:14" s="301" customFormat="1" ht="13" x14ac:dyDescent="0.3">
      <c r="A24" s="564" t="s">
        <v>662</v>
      </c>
      <c r="B24" s="445">
        <f>VLOOKUP(B5,'2016-17 Funding Detail'!A4:AD23,29,FALSE)</f>
        <v>11992.407164014536</v>
      </c>
      <c r="C24" s="305"/>
      <c r="D24" s="294">
        <f>VLOOKUP(B5,'2017-18 Funding Detail'!A4:AK23,18,FALSE)</f>
        <v>10205.361676797285</v>
      </c>
      <c r="E24" s="442">
        <v>6</v>
      </c>
      <c r="F24" s="432"/>
      <c r="G24" s="436" t="s">
        <v>321</v>
      </c>
      <c r="H24" s="328"/>
      <c r="I24" s="431"/>
      <c r="J24" s="297"/>
      <c r="K24" s="299"/>
      <c r="L24" s="300"/>
      <c r="M24" s="300"/>
      <c r="N24" s="297"/>
    </row>
    <row r="25" spans="1:14" s="301" customFormat="1" ht="13" x14ac:dyDescent="0.3">
      <c r="A25" s="295"/>
      <c r="B25" s="445"/>
      <c r="C25" s="305"/>
      <c r="D25" s="294"/>
      <c r="E25" s="442"/>
      <c r="F25" s="432"/>
      <c r="G25" s="437" t="s">
        <v>183</v>
      </c>
      <c r="H25" s="328">
        <f>VLOOKUP(B5,'2017-18 Other Funding'!A7:AS25,40,FALSE)</f>
        <v>0</v>
      </c>
      <c r="I25" s="448">
        <v>12</v>
      </c>
      <c r="J25" s="297"/>
      <c r="K25" s="299"/>
      <c r="L25" s="300"/>
      <c r="M25" s="300"/>
      <c r="N25" s="297"/>
    </row>
    <row r="26" spans="1:14" s="301" customFormat="1" ht="13" x14ac:dyDescent="0.3">
      <c r="A26" s="564" t="s">
        <v>663</v>
      </c>
      <c r="B26" s="445">
        <f>VLOOKUP(B5,'2016-17 Funding Detail'!A4:AD23,30,FALSE)</f>
        <v>11812.521056554318</v>
      </c>
      <c r="C26" s="307">
        <v>7</v>
      </c>
      <c r="D26" s="294"/>
      <c r="E26" s="442"/>
      <c r="F26" s="432"/>
      <c r="G26" s="569" t="s">
        <v>506</v>
      </c>
      <c r="H26" s="328">
        <f>VLOOKUP(B5,'2017-18 Other Funding'!A7:AS25,42,FALSE)</f>
        <v>140436</v>
      </c>
      <c r="I26" s="448">
        <v>13</v>
      </c>
      <c r="J26" s="297"/>
      <c r="K26" s="299"/>
      <c r="L26" s="300"/>
      <c r="M26" s="300"/>
      <c r="N26" s="297"/>
    </row>
    <row r="27" spans="1:14" s="301" customFormat="1" ht="13" x14ac:dyDescent="0.3">
      <c r="A27" s="295"/>
      <c r="B27" s="445"/>
      <c r="C27" s="307"/>
      <c r="D27" s="294"/>
      <c r="E27" s="442"/>
      <c r="F27" s="432"/>
      <c r="G27" s="438" t="s">
        <v>184</v>
      </c>
      <c r="H27" s="328">
        <f>VLOOKUP(B5,'2017-18 Other Funding'!A7:AS25,44,FALSE)</f>
        <v>582568</v>
      </c>
      <c r="I27" s="448">
        <v>14</v>
      </c>
      <c r="J27" s="297"/>
      <c r="K27" s="299"/>
      <c r="L27" s="300"/>
      <c r="M27" s="300"/>
      <c r="N27" s="297"/>
    </row>
    <row r="28" spans="1:14" s="301" customFormat="1" ht="13" x14ac:dyDescent="0.3">
      <c r="A28" s="564" t="s">
        <v>621</v>
      </c>
      <c r="B28" s="445">
        <f>VLOOKUP(B5,'2017-18 Funding Detail'!A4:AK23,31,FALSE)</f>
        <v>238395.30799729325</v>
      </c>
      <c r="C28" s="307">
        <v>8</v>
      </c>
      <c r="D28" s="294"/>
      <c r="E28" s="442"/>
      <c r="F28" s="432"/>
      <c r="G28" s="439"/>
      <c r="H28" s="330"/>
      <c r="I28" s="442"/>
      <c r="J28" s="297"/>
      <c r="K28" s="299"/>
      <c r="L28" s="300"/>
      <c r="M28" s="300"/>
      <c r="N28" s="297"/>
    </row>
    <row r="29" spans="1:14" s="301" customFormat="1" ht="13" x14ac:dyDescent="0.3">
      <c r="A29" s="295"/>
      <c r="B29" s="310"/>
      <c r="C29" s="305"/>
      <c r="D29" s="294"/>
      <c r="E29" s="442"/>
      <c r="F29" s="432"/>
      <c r="G29" s="437" t="s">
        <v>324</v>
      </c>
      <c r="H29" s="430">
        <f>SUM(H21:H27)</f>
        <v>723004</v>
      </c>
      <c r="I29" s="442">
        <v>15</v>
      </c>
      <c r="J29" s="297"/>
      <c r="K29" s="299"/>
      <c r="L29" s="300"/>
      <c r="M29" s="300"/>
      <c r="N29" s="297"/>
    </row>
    <row r="30" spans="1:14" s="301" customFormat="1" ht="13" x14ac:dyDescent="0.3">
      <c r="A30" s="564"/>
      <c r="B30" s="310"/>
      <c r="C30" s="305"/>
      <c r="D30" s="294"/>
      <c r="E30" s="442"/>
      <c r="F30" s="432"/>
      <c r="G30" s="400"/>
      <c r="H30" s="328"/>
      <c r="I30" s="442"/>
      <c r="J30" s="297"/>
      <c r="K30" s="299"/>
      <c r="L30" s="300"/>
      <c r="M30" s="300"/>
      <c r="N30" s="297"/>
    </row>
    <row r="31" spans="1:14" s="301" customFormat="1" ht="13" x14ac:dyDescent="0.3">
      <c r="A31" s="295"/>
      <c r="B31" s="310"/>
      <c r="C31" s="305"/>
      <c r="D31" s="294"/>
      <c r="E31" s="442"/>
      <c r="F31" s="432"/>
      <c r="G31" s="440" t="s">
        <v>626</v>
      </c>
      <c r="H31" s="433">
        <f>H17+H29</f>
        <v>3101508.5311402138</v>
      </c>
      <c r="I31" s="442">
        <v>16</v>
      </c>
      <c r="J31" s="297"/>
      <c r="K31" s="299"/>
      <c r="L31" s="300"/>
      <c r="M31" s="300"/>
      <c r="N31" s="297"/>
    </row>
    <row r="32" spans="1:14" s="301" customFormat="1" ht="13.5" thickBot="1" x14ac:dyDescent="0.35">
      <c r="A32" s="295"/>
      <c r="B32" s="305"/>
      <c r="C32" s="305"/>
      <c r="D32" s="305"/>
      <c r="E32" s="442"/>
      <c r="F32" s="432"/>
      <c r="G32" s="440"/>
      <c r="H32" s="433"/>
      <c r="I32" s="442"/>
      <c r="J32" s="297"/>
      <c r="K32" s="299"/>
      <c r="L32" s="300"/>
      <c r="M32" s="300"/>
      <c r="N32" s="297"/>
    </row>
    <row r="33" spans="1:14" s="301" customFormat="1" ht="13" x14ac:dyDescent="0.3">
      <c r="B33" s="468" t="s">
        <v>239</v>
      </c>
      <c r="C33" s="469"/>
      <c r="D33" s="470" t="s">
        <v>240</v>
      </c>
      <c r="E33" s="442">
        <v>17</v>
      </c>
      <c r="F33" s="432"/>
      <c r="G33" s="312" t="s">
        <v>629</v>
      </c>
      <c r="H33" s="449" t="s">
        <v>138</v>
      </c>
      <c r="I33" s="450"/>
      <c r="J33" s="297"/>
      <c r="K33" s="299"/>
      <c r="L33" s="300"/>
      <c r="M33" s="300"/>
      <c r="N33" s="297"/>
    </row>
    <row r="34" spans="1:14" s="301" customFormat="1" ht="13" x14ac:dyDescent="0.3">
      <c r="A34" s="295"/>
      <c r="B34" s="471" t="s">
        <v>2</v>
      </c>
      <c r="C34" s="472"/>
      <c r="D34" s="473">
        <f>VLOOKUP(B5,'Band Calculations 1718'!A6:H23,4,FALSE)</f>
        <v>0.50370370370370365</v>
      </c>
      <c r="E34" s="442"/>
      <c r="F34" s="432"/>
      <c r="G34" s="567" t="s">
        <v>636</v>
      </c>
      <c r="H34" s="455">
        <f>VLOOKUP(B5,'Band Calculations 1718'!A6:K23,10,FALSE)</f>
        <v>97</v>
      </c>
      <c r="I34" s="442">
        <v>19</v>
      </c>
      <c r="J34" s="297"/>
      <c r="K34" s="299"/>
      <c r="L34" s="300"/>
      <c r="M34" s="300"/>
      <c r="N34" s="297"/>
    </row>
    <row r="35" spans="1:14" s="301" customFormat="1" ht="13" x14ac:dyDescent="0.3">
      <c r="A35" s="295"/>
      <c r="B35" s="471" t="s">
        <v>3</v>
      </c>
      <c r="C35" s="472"/>
      <c r="D35" s="473">
        <f>VLOOKUP(B5,'Band Calculations 1718'!A6:H23,5,FALSE)</f>
        <v>0</v>
      </c>
      <c r="E35" s="442"/>
      <c r="F35" s="432"/>
      <c r="G35" s="567" t="s">
        <v>637</v>
      </c>
      <c r="H35" s="455">
        <f>VLOOKUP(B5,'Band Calculations 1718'!A50:K67,10,FALSE)</f>
        <v>89</v>
      </c>
      <c r="I35" s="442"/>
      <c r="J35" s="297"/>
      <c r="K35" s="299"/>
      <c r="L35" s="300"/>
      <c r="M35" s="300"/>
      <c r="N35" s="297"/>
    </row>
    <row r="36" spans="1:14" s="301" customFormat="1" ht="13" x14ac:dyDescent="0.3">
      <c r="A36" s="295"/>
      <c r="B36" s="471" t="s">
        <v>5</v>
      </c>
      <c r="C36" s="472"/>
      <c r="D36" s="473">
        <f>VLOOKUP(B5,'Band Calculations 1718'!A6:H23,6,FALSE)</f>
        <v>0.28888888888888886</v>
      </c>
      <c r="E36" s="442"/>
      <c r="F36" s="432"/>
      <c r="G36" s="454"/>
      <c r="H36" s="455"/>
      <c r="I36" s="442"/>
      <c r="J36" s="297"/>
      <c r="K36" s="299"/>
      <c r="L36" s="300"/>
      <c r="M36" s="300"/>
      <c r="N36" s="297"/>
    </row>
    <row r="37" spans="1:14" s="301" customFormat="1" ht="13" x14ac:dyDescent="0.3">
      <c r="A37" s="295"/>
      <c r="B37" s="471" t="s">
        <v>7</v>
      </c>
      <c r="C37" s="472"/>
      <c r="D37" s="473">
        <f>VLOOKUP(B5,'Band Calculations 1718'!A6:H23,7,FALSE)</f>
        <v>0.2074074074074074</v>
      </c>
      <c r="E37" s="442"/>
      <c r="F37" s="432"/>
      <c r="G37" s="567" t="s">
        <v>638</v>
      </c>
      <c r="H37" s="455">
        <f>VLOOKUP(B5,'Band Calculations 1718'!A28:I45,9,FALSE)</f>
        <v>54</v>
      </c>
      <c r="I37" s="442">
        <v>20</v>
      </c>
      <c r="J37" s="297"/>
      <c r="K37" s="299"/>
      <c r="L37" s="300"/>
      <c r="M37" s="300"/>
      <c r="N37" s="297"/>
    </row>
    <row r="38" spans="1:14" s="301" customFormat="1" ht="13.5" thickBot="1" x14ac:dyDescent="0.35">
      <c r="A38" s="295"/>
      <c r="B38" s="722" t="s">
        <v>631</v>
      </c>
      <c r="C38" s="721"/>
      <c r="D38" s="735">
        <v>0</v>
      </c>
      <c r="E38" s="442"/>
      <c r="F38" s="432"/>
      <c r="G38" s="568" t="s">
        <v>639</v>
      </c>
      <c r="H38" s="457">
        <f>VLOOKUP(B5,'Band Calculations 1718'!A72:I89,9,FALSE)</f>
        <v>57</v>
      </c>
      <c r="I38" s="442"/>
      <c r="J38" s="297"/>
      <c r="K38" s="299"/>
      <c r="L38" s="300"/>
      <c r="M38" s="300"/>
      <c r="N38" s="297"/>
    </row>
    <row r="39" spans="1:14" s="301" customFormat="1" ht="13.5" thickBot="1" x14ac:dyDescent="0.35">
      <c r="A39" s="295"/>
      <c r="B39" s="474" t="s">
        <v>8</v>
      </c>
      <c r="C39" s="475"/>
      <c r="D39" s="634">
        <f>VLOOKUP(B5,'Band Calculations 1718'!A6:H23,8,FALSE)</f>
        <v>0</v>
      </c>
      <c r="E39" s="442"/>
      <c r="F39" s="432"/>
      <c r="I39" s="442"/>
      <c r="J39" s="297"/>
      <c r="K39" s="299"/>
      <c r="L39" s="300"/>
      <c r="M39" s="300"/>
      <c r="N39" s="297"/>
    </row>
    <row r="40" spans="1:14" s="301" customFormat="1" ht="12.75" customHeight="1" thickBot="1" x14ac:dyDescent="0.35">
      <c r="A40" s="295"/>
      <c r="B40" s="476"/>
      <c r="C40" s="328"/>
      <c r="D40" s="477"/>
      <c r="E40" s="442"/>
      <c r="F40" s="432"/>
      <c r="I40" s="442"/>
      <c r="J40" s="297"/>
      <c r="K40" s="299"/>
      <c r="L40" s="300"/>
      <c r="M40" s="300"/>
      <c r="N40" s="297"/>
    </row>
    <row r="41" spans="1:14" s="301" customFormat="1" ht="13" x14ac:dyDescent="0.3">
      <c r="A41" s="295"/>
      <c r="B41" s="478" t="s">
        <v>327</v>
      </c>
      <c r="C41" s="469"/>
      <c r="D41" s="479" t="s">
        <v>148</v>
      </c>
      <c r="E41" s="442"/>
      <c r="F41" s="432"/>
      <c r="I41" s="442"/>
      <c r="J41" s="297"/>
      <c r="K41" s="299"/>
      <c r="L41" s="300"/>
      <c r="M41" s="300"/>
      <c r="N41" s="297"/>
    </row>
    <row r="42" spans="1:14" s="301" customFormat="1" ht="13.5" thickBot="1" x14ac:dyDescent="0.35">
      <c r="A42" s="295"/>
      <c r="B42" s="474" t="s">
        <v>326</v>
      </c>
      <c r="C42" s="475"/>
      <c r="D42" s="480">
        <f>VLOOKUP(B5,'Band Calculations 1718'!A108:W125,23,FALSE)</f>
        <v>10118.068418370316</v>
      </c>
      <c r="E42" s="442">
        <v>18</v>
      </c>
      <c r="F42" s="432"/>
      <c r="I42" s="442"/>
      <c r="J42" s="297"/>
      <c r="K42" s="299"/>
      <c r="L42" s="300"/>
      <c r="M42" s="300"/>
      <c r="N42" s="297"/>
    </row>
    <row r="43" spans="1:14" s="301" customFormat="1" ht="13" thickBot="1" x14ac:dyDescent="0.3">
      <c r="A43" s="407"/>
      <c r="B43" s="481"/>
      <c r="C43" s="481"/>
      <c r="D43" s="294"/>
      <c r="E43" s="442"/>
      <c r="F43" s="432"/>
      <c r="G43" s="432"/>
      <c r="H43" s="328"/>
      <c r="I43" s="395"/>
      <c r="J43" s="315"/>
    </row>
    <row r="44" spans="1:14" s="301" customFormat="1" ht="13" x14ac:dyDescent="0.3">
      <c r="A44" s="404" t="s">
        <v>630</v>
      </c>
      <c r="B44" s="482"/>
      <c r="C44" s="482"/>
      <c r="D44" s="483"/>
      <c r="E44" s="715"/>
      <c r="F44" s="716"/>
      <c r="G44" s="716"/>
      <c r="H44" s="717"/>
      <c r="I44" s="399">
        <v>21</v>
      </c>
      <c r="J44" s="306"/>
    </row>
    <row r="45" spans="1:14" s="301" customFormat="1" ht="13" x14ac:dyDescent="0.3">
      <c r="A45" s="405" t="s">
        <v>235</v>
      </c>
      <c r="B45" s="484" t="s">
        <v>1</v>
      </c>
      <c r="C45" s="485"/>
      <c r="D45" s="484" t="s">
        <v>57</v>
      </c>
      <c r="E45" s="709" t="s">
        <v>484</v>
      </c>
      <c r="F45" s="710"/>
      <c r="G45" s="710"/>
      <c r="H45" s="711"/>
      <c r="I45" s="398"/>
      <c r="J45" s="306"/>
    </row>
    <row r="46" spans="1:14" s="301" customFormat="1" x14ac:dyDescent="0.25">
      <c r="A46" s="406"/>
      <c r="B46" s="486"/>
      <c r="C46" s="485"/>
      <c r="D46" s="487"/>
      <c r="E46" s="712"/>
      <c r="F46" s="713"/>
      <c r="G46" s="713"/>
      <c r="H46" s="714"/>
      <c r="I46" s="400"/>
      <c r="J46" s="306"/>
    </row>
    <row r="47" spans="1:14" s="301" customFormat="1" x14ac:dyDescent="0.25">
      <c r="A47" s="318" t="s">
        <v>2</v>
      </c>
      <c r="B47" s="488" t="s">
        <v>50</v>
      </c>
      <c r="C47" s="489"/>
      <c r="D47" s="490">
        <v>11692.020638096787</v>
      </c>
      <c r="E47" s="700" t="s">
        <v>480</v>
      </c>
      <c r="F47" s="701"/>
      <c r="G47" s="701"/>
      <c r="H47" s="702"/>
      <c r="I47" s="400"/>
      <c r="J47" s="306"/>
    </row>
    <row r="48" spans="1:14" s="301" customFormat="1" x14ac:dyDescent="0.25">
      <c r="A48" s="319"/>
      <c r="B48" s="491"/>
      <c r="C48" s="489"/>
      <c r="D48" s="490"/>
      <c r="E48" s="703"/>
      <c r="F48" s="704"/>
      <c r="G48" s="704"/>
      <c r="H48" s="705"/>
      <c r="I48" s="400"/>
      <c r="J48" s="306"/>
    </row>
    <row r="49" spans="1:10" s="301" customFormat="1" x14ac:dyDescent="0.25">
      <c r="A49" s="318" t="s">
        <v>3</v>
      </c>
      <c r="B49" s="491" t="s">
        <v>4</v>
      </c>
      <c r="C49" s="489"/>
      <c r="D49" s="490">
        <v>7350.1419469065795</v>
      </c>
      <c r="E49" s="700" t="s">
        <v>481</v>
      </c>
      <c r="F49" s="701"/>
      <c r="G49" s="701"/>
      <c r="H49" s="702"/>
      <c r="I49" s="400"/>
      <c r="J49" s="306"/>
    </row>
    <row r="50" spans="1:10" s="301" customFormat="1" x14ac:dyDescent="0.25">
      <c r="A50" s="319"/>
      <c r="B50" s="491"/>
      <c r="C50" s="489"/>
      <c r="D50" s="490"/>
      <c r="E50" s="718"/>
      <c r="F50" s="719"/>
      <c r="G50" s="719"/>
      <c r="H50" s="720"/>
      <c r="I50" s="401"/>
      <c r="J50" s="306"/>
    </row>
    <row r="51" spans="1:10" s="301" customFormat="1" x14ac:dyDescent="0.25">
      <c r="A51" s="318" t="s">
        <v>5</v>
      </c>
      <c r="B51" s="491" t="s">
        <v>6</v>
      </c>
      <c r="C51" s="489"/>
      <c r="D51" s="490">
        <v>6243.7244928897762</v>
      </c>
      <c r="E51" s="700" t="s">
        <v>482</v>
      </c>
      <c r="F51" s="701"/>
      <c r="G51" s="701"/>
      <c r="H51" s="702"/>
      <c r="I51" s="401"/>
      <c r="J51" s="306"/>
    </row>
    <row r="52" spans="1:10" s="301" customFormat="1" x14ac:dyDescent="0.25">
      <c r="A52" s="319"/>
      <c r="B52" s="491"/>
      <c r="C52" s="489"/>
      <c r="D52" s="490"/>
      <c r="E52" s="703"/>
      <c r="F52" s="704"/>
      <c r="G52" s="704"/>
      <c r="H52" s="705"/>
      <c r="I52" s="397"/>
      <c r="J52" s="306"/>
    </row>
    <row r="53" spans="1:10" s="301" customFormat="1" ht="12" customHeight="1" x14ac:dyDescent="0.25">
      <c r="A53" s="318" t="s">
        <v>7</v>
      </c>
      <c r="B53" s="491" t="s">
        <v>50</v>
      </c>
      <c r="C53" s="489"/>
      <c r="D53" s="490">
        <v>11692.020638096787</v>
      </c>
      <c r="E53" s="700" t="s">
        <v>480</v>
      </c>
      <c r="F53" s="701"/>
      <c r="G53" s="701"/>
      <c r="H53" s="702"/>
      <c r="I53" s="397"/>
      <c r="J53" s="306"/>
    </row>
    <row r="54" spans="1:10" s="301" customFormat="1" ht="12" customHeight="1" x14ac:dyDescent="0.25">
      <c r="A54" s="319"/>
      <c r="B54" s="491"/>
      <c r="C54" s="489"/>
      <c r="D54" s="490"/>
      <c r="E54" s="703"/>
      <c r="F54" s="704"/>
      <c r="G54" s="704"/>
      <c r="H54" s="705"/>
      <c r="I54" s="397"/>
      <c r="J54" s="306"/>
    </row>
    <row r="55" spans="1:10" s="301" customFormat="1" ht="12" customHeight="1" x14ac:dyDescent="0.25">
      <c r="A55" s="319" t="s">
        <v>631</v>
      </c>
      <c r="B55" s="491" t="s">
        <v>632</v>
      </c>
      <c r="C55" s="489"/>
      <c r="D55" s="728">
        <v>22143</v>
      </c>
      <c r="E55" s="731" t="s">
        <v>653</v>
      </c>
      <c r="F55" s="732"/>
      <c r="G55" s="732"/>
      <c r="H55" s="733"/>
      <c r="I55" s="397"/>
      <c r="J55" s="306"/>
    </row>
    <row r="56" spans="1:10" s="301" customFormat="1" ht="12" customHeight="1" x14ac:dyDescent="0.25">
      <c r="A56" s="319"/>
      <c r="B56" s="491"/>
      <c r="C56" s="489"/>
      <c r="D56" s="490"/>
      <c r="E56" s="674"/>
      <c r="F56" s="675"/>
      <c r="G56" s="675"/>
      <c r="H56" s="676"/>
      <c r="I56" s="397"/>
      <c r="J56" s="306"/>
    </row>
    <row r="57" spans="1:10" s="301" customFormat="1" ht="12" customHeight="1" x14ac:dyDescent="0.25">
      <c r="A57" s="318" t="s">
        <v>8</v>
      </c>
      <c r="B57" s="492" t="s">
        <v>50</v>
      </c>
      <c r="C57" s="489"/>
      <c r="D57" s="490">
        <v>11692.020638096787</v>
      </c>
      <c r="E57" s="700" t="s">
        <v>480</v>
      </c>
      <c r="F57" s="701"/>
      <c r="G57" s="701"/>
      <c r="H57" s="702"/>
      <c r="I57" s="397"/>
      <c r="J57" s="306"/>
    </row>
    <row r="58" spans="1:10" s="301" customFormat="1" ht="12" customHeight="1" x14ac:dyDescent="0.25">
      <c r="A58" s="319"/>
      <c r="B58" s="492"/>
      <c r="C58" s="489"/>
      <c r="D58" s="490"/>
      <c r="E58" s="703"/>
      <c r="F58" s="704"/>
      <c r="G58" s="704"/>
      <c r="H58" s="705"/>
      <c r="I58" s="397"/>
      <c r="J58" s="306"/>
    </row>
    <row r="59" spans="1:10" s="301" customFormat="1" ht="12" customHeight="1" thickBot="1" x14ac:dyDescent="0.3">
      <c r="A59" s="403" t="s">
        <v>8</v>
      </c>
      <c r="B59" s="493" t="s">
        <v>107</v>
      </c>
      <c r="C59" s="494"/>
      <c r="D59" s="495">
        <v>2635.0478891670464</v>
      </c>
      <c r="E59" s="706" t="s">
        <v>483</v>
      </c>
      <c r="F59" s="707"/>
      <c r="G59" s="707"/>
      <c r="H59" s="708"/>
      <c r="I59" s="397"/>
      <c r="J59" s="306"/>
    </row>
    <row r="60" spans="1:10" s="301" customFormat="1" ht="12" customHeight="1" thickBot="1" x14ac:dyDescent="0.3">
      <c r="A60" s="315"/>
      <c r="B60" s="402"/>
      <c r="C60" s="496"/>
      <c r="D60" s="402"/>
      <c r="E60" s="459"/>
      <c r="F60" s="329"/>
      <c r="G60" s="402"/>
      <c r="H60" s="402"/>
      <c r="I60" s="402"/>
      <c r="J60" s="306"/>
    </row>
    <row r="61" spans="1:10" s="301" customFormat="1" ht="12" customHeight="1" x14ac:dyDescent="0.3">
      <c r="A61" s="313" t="s">
        <v>45</v>
      </c>
      <c r="B61" s="497"/>
      <c r="C61" s="497"/>
      <c r="D61" s="460"/>
      <c r="E61" s="650"/>
      <c r="F61" s="460"/>
      <c r="G61" s="460"/>
      <c r="H61" s="461"/>
      <c r="I61" s="402"/>
      <c r="J61" s="306"/>
    </row>
    <row r="62" spans="1:10" s="301" customFormat="1" ht="12" customHeight="1" x14ac:dyDescent="0.3">
      <c r="A62" s="316" t="s">
        <v>19</v>
      </c>
      <c r="B62" s="498" t="s">
        <v>20</v>
      </c>
      <c r="C62" s="489"/>
      <c r="D62" s="499" t="s">
        <v>21</v>
      </c>
      <c r="E62" s="399">
        <v>22</v>
      </c>
      <c r="F62" s="402"/>
      <c r="G62" s="462" t="s">
        <v>46</v>
      </c>
      <c r="H62" s="408" t="s">
        <v>64</v>
      </c>
      <c r="I62" s="399"/>
      <c r="J62" s="306"/>
    </row>
    <row r="63" spans="1:10" s="301" customFormat="1" ht="12" customHeight="1" x14ac:dyDescent="0.25">
      <c r="A63" s="317" t="s">
        <v>15</v>
      </c>
      <c r="B63" s="490">
        <v>314686.51772419503</v>
      </c>
      <c r="C63" s="489"/>
      <c r="D63" s="490">
        <v>69201.680689977453</v>
      </c>
      <c r="E63" s="399"/>
      <c r="F63" s="402"/>
      <c r="G63" s="661" t="s">
        <v>81</v>
      </c>
      <c r="H63" s="463">
        <f>'2017-18 Funding Detail'!$F$17</f>
        <v>170753.69</v>
      </c>
      <c r="I63" s="402"/>
      <c r="J63" s="306"/>
    </row>
    <row r="64" spans="1:10" s="301" customFormat="1" ht="12" customHeight="1" x14ac:dyDescent="0.25">
      <c r="A64" s="317" t="s">
        <v>16</v>
      </c>
      <c r="B64" s="490">
        <v>405763.82046267512</v>
      </c>
      <c r="C64" s="489"/>
      <c r="D64" s="490">
        <v>88790.687513148558</v>
      </c>
      <c r="E64" s="399"/>
      <c r="F64" s="402"/>
      <c r="G64" s="661" t="s">
        <v>84</v>
      </c>
      <c r="H64" s="463">
        <f>'2017-18 Funding Detail'!$F$18</f>
        <v>241540.96</v>
      </c>
      <c r="I64" s="402"/>
      <c r="J64" s="306"/>
    </row>
    <row r="65" spans="1:12" s="301" customFormat="1" ht="12" customHeight="1" x14ac:dyDescent="0.25">
      <c r="A65" s="317" t="s">
        <v>17</v>
      </c>
      <c r="B65" s="490">
        <v>418723.18610831723</v>
      </c>
      <c r="C65" s="489"/>
      <c r="D65" s="490">
        <v>117027.3922528728</v>
      </c>
      <c r="E65" s="399"/>
      <c r="F65" s="402"/>
      <c r="G65" s="661" t="s">
        <v>82</v>
      </c>
      <c r="H65" s="463">
        <f>'2017-18 Funding Detail'!$F$19</f>
        <v>214408.47</v>
      </c>
      <c r="I65" s="402"/>
      <c r="J65" s="306"/>
    </row>
    <row r="66" spans="1:12" s="301" customFormat="1" ht="12" customHeight="1" x14ac:dyDescent="0.25">
      <c r="A66" s="383" t="s">
        <v>464</v>
      </c>
      <c r="B66" s="490">
        <v>493762.11190507573</v>
      </c>
      <c r="C66" s="489"/>
      <c r="D66" s="490">
        <v>131719.7894229154</v>
      </c>
      <c r="E66" s="399"/>
      <c r="F66" s="402"/>
      <c r="G66" s="661" t="s">
        <v>83</v>
      </c>
      <c r="H66" s="463">
        <f>'2017-18 Funding Detail'!$F$20</f>
        <v>263272.73</v>
      </c>
      <c r="I66" s="402"/>
      <c r="J66" s="306"/>
    </row>
    <row r="67" spans="1:12" s="301" customFormat="1" ht="12" customHeight="1" x14ac:dyDescent="0.25">
      <c r="A67" s="320" t="s">
        <v>49</v>
      </c>
      <c r="B67" s="500">
        <v>280697.16623783787</v>
      </c>
      <c r="C67" s="489"/>
      <c r="D67" s="500">
        <v>55663.058379368813</v>
      </c>
      <c r="E67" s="399"/>
      <c r="F67" s="402"/>
      <c r="G67" s="402"/>
      <c r="H67" s="464"/>
      <c r="I67" s="402"/>
      <c r="J67" s="306"/>
    </row>
    <row r="68" spans="1:12" s="301" customFormat="1" ht="12" customHeight="1" thickBot="1" x14ac:dyDescent="0.3">
      <c r="A68" s="409" t="s">
        <v>22</v>
      </c>
      <c r="B68" s="501">
        <v>360067.26321081078</v>
      </c>
      <c r="C68" s="494"/>
      <c r="D68" s="501">
        <v>58044.118057617408</v>
      </c>
      <c r="E68" s="465"/>
      <c r="F68" s="466"/>
      <c r="G68" s="466"/>
      <c r="H68" s="467"/>
      <c r="I68" s="402"/>
      <c r="J68" s="306"/>
    </row>
    <row r="69" spans="1:12" s="301" customFormat="1" ht="12" customHeight="1" x14ac:dyDescent="0.25">
      <c r="A69" s="396"/>
      <c r="B69" s="321"/>
      <c r="C69" s="321"/>
      <c r="D69" s="306"/>
      <c r="E69" s="314"/>
      <c r="F69" s="311"/>
      <c r="G69" s="306"/>
      <c r="H69" s="306"/>
      <c r="I69" s="306"/>
      <c r="J69" s="306"/>
    </row>
    <row r="70" spans="1:12" s="301" customFormat="1" ht="12" customHeight="1" x14ac:dyDescent="0.25">
      <c r="A70" s="396"/>
      <c r="B70" s="321"/>
      <c r="C70" s="321"/>
      <c r="D70" s="306"/>
      <c r="E70" s="314"/>
      <c r="F70" s="311"/>
      <c r="G70" s="306"/>
      <c r="H70" s="306"/>
      <c r="I70" s="306"/>
      <c r="J70" s="306"/>
    </row>
    <row r="71" spans="1:12" s="301" customFormat="1" ht="2.25" customHeight="1" x14ac:dyDescent="0.25">
      <c r="A71" s="315"/>
      <c r="B71" s="306"/>
      <c r="C71" s="315"/>
      <c r="D71" s="306"/>
      <c r="E71" s="314"/>
      <c r="F71" s="311"/>
      <c r="G71" s="306"/>
      <c r="H71" s="306"/>
      <c r="I71" s="306"/>
      <c r="J71" s="306"/>
    </row>
    <row r="72" spans="1:12" s="301" customFormat="1" ht="22.5" customHeight="1" x14ac:dyDescent="0.25">
      <c r="D72" s="311"/>
      <c r="E72" s="311"/>
      <c r="F72" s="311"/>
      <c r="G72" s="311"/>
      <c r="H72" s="311"/>
      <c r="I72" s="306"/>
      <c r="J72" s="326"/>
      <c r="K72" s="326"/>
    </row>
    <row r="73" spans="1:12" s="301" customFormat="1" x14ac:dyDescent="0.25">
      <c r="A73" s="1875" t="s">
        <v>655</v>
      </c>
      <c r="B73" s="1875"/>
      <c r="C73" s="1875"/>
      <c r="D73" s="1875"/>
      <c r="E73" s="654"/>
      <c r="F73" s="311"/>
      <c r="G73" s="1875" t="s">
        <v>664</v>
      </c>
      <c r="H73" s="1875"/>
      <c r="I73" s="1875"/>
      <c r="J73" s="326"/>
      <c r="K73" s="326"/>
    </row>
    <row r="74" spans="1:12" s="301" customFormat="1" ht="12" customHeight="1" x14ac:dyDescent="0.25">
      <c r="A74" s="1875"/>
      <c r="B74" s="1875"/>
      <c r="C74" s="1875"/>
      <c r="D74" s="1875"/>
      <c r="E74" s="654"/>
      <c r="F74" s="311"/>
      <c r="G74" s="1875"/>
      <c r="H74" s="1875"/>
      <c r="I74" s="1875"/>
      <c r="J74" s="311"/>
    </row>
    <row r="75" spans="1:12" s="301" customFormat="1" ht="10.5" customHeight="1" x14ac:dyDescent="0.25">
      <c r="A75" s="640"/>
      <c r="B75" s="640"/>
      <c r="C75" s="640"/>
      <c r="D75" s="640"/>
      <c r="E75" s="654"/>
      <c r="F75" s="311"/>
      <c r="G75" s="1875"/>
      <c r="H75" s="1875"/>
      <c r="I75" s="1875"/>
      <c r="J75" s="311"/>
    </row>
    <row r="76" spans="1:12" s="301" customFormat="1" ht="12.75" customHeight="1" x14ac:dyDescent="0.25">
      <c r="A76" s="640"/>
      <c r="B76" s="640"/>
      <c r="C76" s="640"/>
      <c r="D76" s="640"/>
      <c r="E76" s="654"/>
      <c r="F76" s="311"/>
      <c r="G76" s="1875"/>
      <c r="H76" s="1875"/>
      <c r="I76" s="1875"/>
      <c r="J76" s="311"/>
    </row>
    <row r="77" spans="1:12" s="301" customFormat="1" ht="12.75" customHeight="1" x14ac:dyDescent="0.25">
      <c r="A77" s="1975" t="s">
        <v>656</v>
      </c>
      <c r="B77" s="1975"/>
      <c r="C77" s="1975"/>
      <c r="D77" s="1975"/>
      <c r="E77" s="643"/>
      <c r="F77" s="311"/>
      <c r="G77" s="326"/>
      <c r="H77" s="326"/>
      <c r="I77" s="326"/>
      <c r="J77" s="329"/>
    </row>
    <row r="78" spans="1:12" s="301" customFormat="1" ht="12" customHeight="1" x14ac:dyDescent="0.25">
      <c r="A78" s="1975"/>
      <c r="B78" s="1975"/>
      <c r="C78" s="1975"/>
      <c r="D78" s="1975"/>
      <c r="E78" s="653"/>
      <c r="F78" s="311"/>
      <c r="G78" s="1875" t="s">
        <v>666</v>
      </c>
      <c r="H78" s="1875"/>
      <c r="I78" s="1875"/>
      <c r="J78" s="329"/>
    </row>
    <row r="79" spans="1:12" s="301" customFormat="1" ht="12" customHeight="1" x14ac:dyDescent="0.25">
      <c r="A79" s="1975"/>
      <c r="B79" s="1975"/>
      <c r="C79" s="1975"/>
      <c r="D79" s="1975"/>
      <c r="E79" s="653"/>
      <c r="F79" s="323"/>
      <c r="G79" s="1875"/>
      <c r="H79" s="1875"/>
      <c r="I79" s="1875"/>
      <c r="J79" s="329"/>
      <c r="L79" s="641"/>
    </row>
    <row r="80" spans="1:12" s="301" customFormat="1" ht="12" customHeight="1" x14ac:dyDescent="0.25">
      <c r="A80" s="1975"/>
      <c r="B80" s="1975"/>
      <c r="C80" s="1975"/>
      <c r="D80" s="1975"/>
      <c r="E80" s="653"/>
      <c r="F80" s="323"/>
      <c r="G80" s="1875"/>
      <c r="H80" s="1875"/>
      <c r="I80" s="1875"/>
      <c r="J80" s="329"/>
    </row>
    <row r="81" spans="1:10" s="301" customFormat="1" ht="12" customHeight="1" x14ac:dyDescent="0.25">
      <c r="A81" s="1975"/>
      <c r="B81" s="1975"/>
      <c r="C81" s="1975"/>
      <c r="D81" s="1975"/>
      <c r="E81" s="653"/>
      <c r="F81" s="323"/>
      <c r="G81" s="1875"/>
      <c r="H81" s="1875"/>
      <c r="I81" s="1875"/>
      <c r="J81" s="329"/>
    </row>
    <row r="82" spans="1:10" s="301" customFormat="1" ht="12" customHeight="1" x14ac:dyDescent="0.25">
      <c r="A82" s="1975"/>
      <c r="B82" s="1975"/>
      <c r="C82" s="1975"/>
      <c r="D82" s="1975"/>
      <c r="E82" s="653"/>
      <c r="F82" s="323"/>
      <c r="G82" s="1875"/>
      <c r="H82" s="1875"/>
      <c r="I82" s="1875"/>
      <c r="J82" s="329"/>
    </row>
    <row r="83" spans="1:10" s="301" customFormat="1" ht="12" customHeight="1" x14ac:dyDescent="0.25">
      <c r="A83" s="1975"/>
      <c r="B83" s="1975"/>
      <c r="C83" s="1975"/>
      <c r="D83" s="1975"/>
      <c r="E83" s="653"/>
      <c r="F83" s="323"/>
      <c r="H83" s="698"/>
      <c r="I83" s="698"/>
      <c r="J83" s="329"/>
    </row>
    <row r="84" spans="1:10" s="301" customFormat="1" ht="12" customHeight="1" x14ac:dyDescent="0.25">
      <c r="A84" s="1975"/>
      <c r="B84" s="1975"/>
      <c r="C84" s="1975"/>
      <c r="D84" s="1975"/>
      <c r="E84" s="653"/>
      <c r="F84" s="323"/>
      <c r="G84" s="1875" t="s">
        <v>665</v>
      </c>
      <c r="H84" s="1875"/>
      <c r="I84" s="1875"/>
      <c r="J84" s="329"/>
    </row>
    <row r="85" spans="1:10" s="301" customFormat="1" ht="12" customHeight="1" x14ac:dyDescent="0.25">
      <c r="A85" s="1975"/>
      <c r="B85" s="1975"/>
      <c r="C85" s="1975"/>
      <c r="D85" s="1975"/>
      <c r="E85" s="653"/>
      <c r="F85" s="323"/>
      <c r="G85" s="1875"/>
      <c r="H85" s="1875"/>
      <c r="I85" s="1875"/>
      <c r="J85" s="329"/>
    </row>
    <row r="86" spans="1:10" s="301" customFormat="1" ht="12" customHeight="1" x14ac:dyDescent="0.25">
      <c r="A86" s="1975"/>
      <c r="B86" s="1975"/>
      <c r="C86" s="1975"/>
      <c r="D86" s="1975"/>
      <c r="E86" s="653"/>
      <c r="F86" s="323"/>
      <c r="G86" s="1875"/>
      <c r="H86" s="1875"/>
      <c r="I86" s="1875"/>
      <c r="J86" s="311"/>
    </row>
    <row r="87" spans="1:10" s="301" customFormat="1" ht="12" customHeight="1" x14ac:dyDescent="0.25">
      <c r="A87" s="1975"/>
      <c r="B87" s="1975"/>
      <c r="C87" s="1975"/>
      <c r="D87" s="1975"/>
      <c r="E87" s="653"/>
      <c r="F87" s="323"/>
      <c r="G87" s="640"/>
      <c r="H87" s="640"/>
      <c r="I87" s="640"/>
      <c r="J87" s="311"/>
    </row>
    <row r="88" spans="1:10" s="301" customFormat="1" ht="12" customHeight="1" x14ac:dyDescent="0.25">
      <c r="A88" s="1975"/>
      <c r="B88" s="1975"/>
      <c r="C88" s="1975"/>
      <c r="D88" s="1975"/>
      <c r="E88" s="653"/>
      <c r="F88" s="323"/>
      <c r="G88" s="1875" t="s">
        <v>667</v>
      </c>
      <c r="H88" s="1875"/>
      <c r="I88" s="1875"/>
      <c r="J88" s="311"/>
    </row>
    <row r="89" spans="1:10" s="301" customFormat="1" ht="12" customHeight="1" x14ac:dyDescent="0.25">
      <c r="A89" s="1975"/>
      <c r="B89" s="1975"/>
      <c r="C89" s="1975"/>
      <c r="D89" s="1975"/>
      <c r="E89" s="653"/>
      <c r="F89" s="323"/>
      <c r="G89" s="1875"/>
      <c r="H89" s="1875"/>
      <c r="I89" s="1875"/>
      <c r="J89" s="311"/>
    </row>
    <row r="90" spans="1:10" s="301" customFormat="1" ht="12" customHeight="1" x14ac:dyDescent="0.25">
      <c r="A90" s="1975"/>
      <c r="B90" s="1975"/>
      <c r="C90" s="1975"/>
      <c r="D90" s="1975"/>
      <c r="E90" s="653"/>
      <c r="F90" s="323"/>
      <c r="G90" s="1875"/>
      <c r="H90" s="1875"/>
      <c r="I90" s="1875"/>
      <c r="J90" s="311"/>
    </row>
    <row r="91" spans="1:10" s="301" customFormat="1" ht="12" customHeight="1" x14ac:dyDescent="0.25">
      <c r="A91" s="1975"/>
      <c r="B91" s="1975"/>
      <c r="C91" s="1975"/>
      <c r="D91" s="1975"/>
      <c r="E91" s="653"/>
      <c r="F91" s="323"/>
      <c r="G91" s="1875"/>
      <c r="H91" s="1875"/>
      <c r="I91" s="1875"/>
      <c r="J91" s="311"/>
    </row>
    <row r="92" spans="1:10" s="301" customFormat="1" ht="12" customHeight="1" x14ac:dyDescent="0.25">
      <c r="A92" s="1975"/>
      <c r="B92" s="1975"/>
      <c r="C92" s="1975"/>
      <c r="D92" s="1975"/>
      <c r="E92" s="653"/>
      <c r="F92" s="323"/>
      <c r="H92" s="639"/>
      <c r="I92" s="639"/>
    </row>
    <row r="93" spans="1:10" s="301" customFormat="1" ht="12" customHeight="1" x14ac:dyDescent="0.25">
      <c r="A93" s="1975"/>
      <c r="B93" s="1975"/>
      <c r="C93" s="1975"/>
      <c r="D93" s="1975"/>
      <c r="E93" s="653"/>
      <c r="F93" s="323"/>
      <c r="G93" s="1876" t="s">
        <v>668</v>
      </c>
      <c r="H93" s="1876"/>
      <c r="I93" s="1876"/>
    </row>
    <row r="94" spans="1:10" s="301" customFormat="1" ht="12" customHeight="1" x14ac:dyDescent="0.25">
      <c r="A94" s="1975"/>
      <c r="B94" s="1975"/>
      <c r="C94" s="1975"/>
      <c r="D94" s="1975"/>
      <c r="E94" s="653"/>
      <c r="F94" s="323"/>
      <c r="G94" s="1876"/>
      <c r="H94" s="1876"/>
      <c r="I94" s="1876"/>
      <c r="J94" s="311"/>
    </row>
    <row r="95" spans="1:10" s="301" customFormat="1" ht="12" customHeight="1" x14ac:dyDescent="0.25">
      <c r="A95" s="1975"/>
      <c r="B95" s="1975"/>
      <c r="C95" s="1975"/>
      <c r="D95" s="1975"/>
      <c r="E95" s="653"/>
      <c r="F95" s="323"/>
      <c r="G95" s="1876"/>
      <c r="H95" s="1876"/>
      <c r="I95" s="1876"/>
      <c r="J95" s="311"/>
    </row>
    <row r="96" spans="1:10" s="301" customFormat="1" ht="12" customHeight="1" x14ac:dyDescent="0.25">
      <c r="A96" s="1975"/>
      <c r="B96" s="1975"/>
      <c r="C96" s="1975"/>
      <c r="D96" s="1975"/>
      <c r="E96" s="653"/>
      <c r="F96" s="323"/>
      <c r="G96" s="1876"/>
      <c r="H96" s="1876"/>
      <c r="I96" s="1876"/>
      <c r="J96" s="311"/>
    </row>
    <row r="97" spans="1:10" s="301" customFormat="1" ht="12" customHeight="1" x14ac:dyDescent="0.25">
      <c r="A97" s="1975"/>
      <c r="B97" s="1975"/>
      <c r="C97" s="1975"/>
      <c r="D97" s="1975"/>
      <c r="E97" s="653"/>
      <c r="F97" s="323"/>
      <c r="H97" s="326"/>
      <c r="I97" s="326"/>
      <c r="J97" s="311"/>
    </row>
    <row r="98" spans="1:10" s="301" customFormat="1" ht="12" customHeight="1" x14ac:dyDescent="0.25">
      <c r="A98" s="1975"/>
      <c r="B98" s="1975"/>
      <c r="C98" s="1975"/>
      <c r="D98" s="1975"/>
      <c r="E98" s="653"/>
      <c r="F98" s="323"/>
      <c r="G98" s="1876" t="s">
        <v>669</v>
      </c>
      <c r="H98" s="1876"/>
      <c r="I98" s="1876"/>
      <c r="J98" s="311"/>
    </row>
    <row r="99" spans="1:10" s="301" customFormat="1" ht="12" customHeight="1" x14ac:dyDescent="0.25">
      <c r="A99" s="1975"/>
      <c r="B99" s="1975"/>
      <c r="C99" s="1975"/>
      <c r="D99" s="1975"/>
      <c r="E99" s="653"/>
      <c r="F99" s="323"/>
      <c r="G99" s="1876"/>
      <c r="H99" s="1876"/>
      <c r="I99" s="1876"/>
      <c r="J99" s="311"/>
    </row>
    <row r="100" spans="1:10" s="301" customFormat="1" ht="12" customHeight="1" x14ac:dyDescent="0.25">
      <c r="A100" s="1975"/>
      <c r="B100" s="1975"/>
      <c r="C100" s="1975"/>
      <c r="D100" s="1975"/>
      <c r="E100" s="653"/>
      <c r="F100" s="323"/>
      <c r="H100" s="311"/>
      <c r="I100" s="311"/>
      <c r="J100" s="311"/>
    </row>
    <row r="101" spans="1:10" s="301" customFormat="1" ht="12" customHeight="1" x14ac:dyDescent="0.25">
      <c r="A101" s="1975"/>
      <c r="B101" s="1975"/>
      <c r="C101" s="1975"/>
      <c r="D101" s="1975"/>
      <c r="E101" s="653"/>
      <c r="F101" s="323"/>
      <c r="G101" s="1875" t="s">
        <v>670</v>
      </c>
      <c r="H101" s="1875"/>
      <c r="I101" s="1875"/>
      <c r="J101" s="311"/>
    </row>
    <row r="102" spans="1:10" s="301" customFormat="1" ht="12" customHeight="1" x14ac:dyDescent="0.25">
      <c r="A102" s="1975"/>
      <c r="B102" s="1975"/>
      <c r="C102" s="1975"/>
      <c r="D102" s="1975"/>
      <c r="E102" s="653"/>
      <c r="F102" s="323"/>
      <c r="G102" s="1875"/>
      <c r="H102" s="1875"/>
      <c r="I102" s="1875"/>
      <c r="J102" s="311"/>
    </row>
    <row r="103" spans="1:10" s="301" customFormat="1" ht="12" customHeight="1" x14ac:dyDescent="0.25">
      <c r="A103" s="1975"/>
      <c r="B103" s="1975"/>
      <c r="C103" s="1975"/>
      <c r="D103" s="1975"/>
      <c r="E103" s="653"/>
      <c r="F103" s="323"/>
      <c r="G103" s="1875"/>
      <c r="H103" s="1875"/>
      <c r="I103" s="1875"/>
      <c r="J103" s="311"/>
    </row>
    <row r="104" spans="1:10" s="301" customFormat="1" ht="12" customHeight="1" x14ac:dyDescent="0.25">
      <c r="A104" s="1975"/>
      <c r="B104" s="1975"/>
      <c r="C104" s="1975"/>
      <c r="D104" s="1975"/>
      <c r="E104" s="653"/>
      <c r="F104" s="323"/>
      <c r="H104" s="322"/>
      <c r="I104" s="322"/>
      <c r="J104" s="311"/>
    </row>
    <row r="105" spans="1:10" s="301" customFormat="1" ht="12.75" customHeight="1" x14ac:dyDescent="0.25">
      <c r="A105" s="1975"/>
      <c r="B105" s="1975"/>
      <c r="C105" s="1975"/>
      <c r="D105" s="1975"/>
      <c r="E105" s="653"/>
      <c r="F105" s="323"/>
      <c r="G105" s="1875" t="s">
        <v>671</v>
      </c>
      <c r="H105" s="1875"/>
      <c r="I105" s="1875"/>
      <c r="J105" s="311"/>
    </row>
    <row r="106" spans="1:10" s="301" customFormat="1" x14ac:dyDescent="0.25">
      <c r="A106" s="1877" t="s">
        <v>498</v>
      </c>
      <c r="B106" s="1877"/>
      <c r="C106" s="1877"/>
      <c r="D106" s="1877"/>
      <c r="E106" s="653"/>
      <c r="F106" s="323"/>
      <c r="G106" s="1875"/>
      <c r="H106" s="1875"/>
      <c r="I106" s="1875"/>
      <c r="J106" s="311"/>
    </row>
    <row r="107" spans="1:10" s="301" customFormat="1" ht="12" customHeight="1" x14ac:dyDescent="0.25">
      <c r="A107" s="1877"/>
      <c r="B107" s="1877"/>
      <c r="C107" s="1877"/>
      <c r="D107" s="1877"/>
      <c r="E107" s="653"/>
      <c r="F107" s="323"/>
      <c r="G107" s="1875"/>
      <c r="H107" s="1875"/>
      <c r="I107" s="1875"/>
      <c r="J107" s="311"/>
    </row>
    <row r="108" spans="1:10" s="301" customFormat="1" ht="12.75" customHeight="1" x14ac:dyDescent="0.25">
      <c r="A108" s="1877"/>
      <c r="B108" s="1877"/>
      <c r="C108" s="1877"/>
      <c r="D108" s="1877"/>
      <c r="E108" s="652"/>
      <c r="F108" s="323"/>
      <c r="H108" s="640"/>
      <c r="I108" s="640"/>
      <c r="J108" s="311"/>
    </row>
    <row r="109" spans="1:10" s="301" customFormat="1" ht="12.75" customHeight="1" x14ac:dyDescent="0.25">
      <c r="A109" s="1877"/>
      <c r="B109" s="1877"/>
      <c r="C109" s="1877"/>
      <c r="D109" s="1877"/>
      <c r="E109" s="652"/>
      <c r="F109" s="323"/>
      <c r="G109" s="1876" t="s">
        <v>672</v>
      </c>
      <c r="H109" s="1876"/>
      <c r="I109" s="1876"/>
      <c r="J109" s="311"/>
    </row>
    <row r="110" spans="1:10" s="301" customFormat="1" ht="12.75" customHeight="1" x14ac:dyDescent="0.25">
      <c r="B110" s="644"/>
      <c r="C110" s="644"/>
      <c r="D110" s="644"/>
      <c r="E110" s="652"/>
      <c r="F110" s="323"/>
      <c r="G110" s="1876"/>
      <c r="H110" s="1876"/>
      <c r="I110" s="1876"/>
      <c r="J110" s="311"/>
    </row>
    <row r="111" spans="1:10" s="301" customFormat="1" ht="12.75" customHeight="1" x14ac:dyDescent="0.25">
      <c r="A111" s="1877" t="s">
        <v>625</v>
      </c>
      <c r="B111" s="1877"/>
      <c r="C111" s="1877"/>
      <c r="D111" s="1877"/>
      <c r="E111" s="644"/>
      <c r="F111" s="323"/>
      <c r="G111" s="1876"/>
      <c r="H111" s="1876"/>
      <c r="I111" s="1876"/>
      <c r="J111" s="311"/>
    </row>
    <row r="112" spans="1:10" s="301" customFormat="1" ht="12.75" customHeight="1" x14ac:dyDescent="0.25">
      <c r="A112" s="1877"/>
      <c r="B112" s="1877"/>
      <c r="C112" s="1877"/>
      <c r="D112" s="1877"/>
      <c r="E112" s="652"/>
      <c r="F112" s="323"/>
      <c r="G112" s="1876"/>
      <c r="H112" s="1876"/>
      <c r="I112" s="1876"/>
      <c r="J112" s="311"/>
    </row>
    <row r="113" spans="1:10" s="301" customFormat="1" ht="12.75" customHeight="1" x14ac:dyDescent="0.25">
      <c r="A113" s="1877"/>
      <c r="B113" s="1877"/>
      <c r="C113" s="1877"/>
      <c r="D113" s="1877"/>
      <c r="E113" s="681"/>
      <c r="F113" s="323"/>
      <c r="G113" s="640"/>
      <c r="H113" s="640"/>
      <c r="I113" s="640"/>
      <c r="J113" s="311"/>
    </row>
    <row r="114" spans="1:10" s="301" customFormat="1" ht="12.75" customHeight="1" x14ac:dyDescent="0.25">
      <c r="A114" s="681"/>
      <c r="B114" s="681"/>
      <c r="C114" s="681"/>
      <c r="D114" s="681"/>
      <c r="E114" s="681"/>
      <c r="F114" s="323"/>
      <c r="G114" s="1875" t="s">
        <v>673</v>
      </c>
      <c r="H114" s="1875"/>
      <c r="I114" s="1875"/>
      <c r="J114" s="311"/>
    </row>
    <row r="115" spans="1:10" s="301" customFormat="1" ht="12.75" customHeight="1" x14ac:dyDescent="0.25">
      <c r="A115" s="1877" t="s">
        <v>657</v>
      </c>
      <c r="B115" s="1877"/>
      <c r="C115" s="1877"/>
      <c r="D115" s="1877"/>
      <c r="E115" s="652"/>
      <c r="F115" s="323"/>
      <c r="G115" s="1875"/>
      <c r="H115" s="1875"/>
      <c r="I115" s="1875"/>
      <c r="J115" s="311"/>
    </row>
    <row r="116" spans="1:10" s="301" customFormat="1" ht="12.75" customHeight="1" x14ac:dyDescent="0.25">
      <c r="A116" s="1877"/>
      <c r="B116" s="1877"/>
      <c r="C116" s="1877"/>
      <c r="D116" s="1877"/>
      <c r="E116" s="644"/>
      <c r="F116" s="323"/>
      <c r="G116" s="1875"/>
      <c r="H116" s="1875"/>
      <c r="I116" s="1875"/>
      <c r="J116" s="311"/>
    </row>
    <row r="117" spans="1:10" s="301" customFormat="1" x14ac:dyDescent="0.25">
      <c r="A117" s="1877"/>
      <c r="B117" s="1877"/>
      <c r="C117" s="1877"/>
      <c r="D117" s="1877"/>
      <c r="E117" s="652"/>
      <c r="F117" s="323"/>
      <c r="G117" s="1875"/>
      <c r="H117" s="1875"/>
      <c r="I117" s="1875"/>
      <c r="J117" s="311"/>
    </row>
    <row r="118" spans="1:10" s="301" customFormat="1" x14ac:dyDescent="0.25">
      <c r="A118" s="1877"/>
      <c r="B118" s="1877"/>
      <c r="C118" s="1877"/>
      <c r="D118" s="1877"/>
      <c r="E118" s="652"/>
      <c r="F118" s="323"/>
      <c r="G118" s="1875"/>
      <c r="H118" s="1875"/>
      <c r="I118" s="1875"/>
      <c r="J118" s="311"/>
    </row>
    <row r="119" spans="1:10" s="301" customFormat="1" x14ac:dyDescent="0.25">
      <c r="A119" s="1877"/>
      <c r="B119" s="1877"/>
      <c r="C119" s="1877"/>
      <c r="D119" s="1877"/>
      <c r="E119" s="681"/>
      <c r="F119" s="323"/>
      <c r="G119" s="1875"/>
      <c r="H119" s="1875"/>
      <c r="I119" s="1875"/>
      <c r="J119" s="311"/>
    </row>
    <row r="120" spans="1:10" s="301" customFormat="1" x14ac:dyDescent="0.25">
      <c r="A120" s="1877"/>
      <c r="B120" s="1877"/>
      <c r="C120" s="1877"/>
      <c r="D120" s="1877"/>
      <c r="E120" s="681"/>
      <c r="F120" s="323"/>
      <c r="G120" s="1875"/>
      <c r="H120" s="1875"/>
      <c r="I120" s="1875"/>
      <c r="J120" s="311"/>
    </row>
    <row r="121" spans="1:10" s="301" customFormat="1" ht="12.75" customHeight="1" x14ac:dyDescent="0.25">
      <c r="A121" s="681"/>
      <c r="B121" s="681"/>
      <c r="C121" s="681"/>
      <c r="D121" s="681"/>
      <c r="E121" s="681"/>
      <c r="F121" s="323"/>
      <c r="G121" s="1875"/>
      <c r="H121" s="1875"/>
      <c r="I121" s="1875"/>
      <c r="J121" s="311"/>
    </row>
    <row r="122" spans="1:10" s="301" customFormat="1" ht="12.75" customHeight="1" x14ac:dyDescent="0.25">
      <c r="A122" s="1876" t="s">
        <v>658</v>
      </c>
      <c r="B122" s="1876"/>
      <c r="C122" s="1876"/>
      <c r="D122" s="1876"/>
      <c r="E122" s="652"/>
      <c r="F122" s="325"/>
      <c r="G122" s="699"/>
      <c r="H122" s="699"/>
      <c r="I122" s="699"/>
      <c r="J122" s="311"/>
    </row>
    <row r="123" spans="1:10" s="301" customFormat="1" ht="12.75" customHeight="1" x14ac:dyDescent="0.25">
      <c r="A123" s="1876"/>
      <c r="B123" s="1876"/>
      <c r="C123" s="1876"/>
      <c r="D123" s="1876"/>
      <c r="E123" s="652"/>
      <c r="F123" s="325"/>
      <c r="G123" s="1875" t="s">
        <v>674</v>
      </c>
      <c r="H123" s="1875"/>
      <c r="I123" s="1875"/>
      <c r="J123" s="311"/>
    </row>
    <row r="124" spans="1:10" s="301" customFormat="1" ht="12.75" customHeight="1" x14ac:dyDescent="0.25">
      <c r="A124" s="680"/>
      <c r="B124" s="680"/>
      <c r="C124" s="680"/>
      <c r="D124" s="680"/>
      <c r="E124" s="681"/>
      <c r="F124" s="325"/>
      <c r="G124" s="1875"/>
      <c r="H124" s="1875"/>
      <c r="I124" s="1875"/>
      <c r="J124" s="311"/>
    </row>
    <row r="125" spans="1:10" s="301" customFormat="1" ht="12.75" customHeight="1" x14ac:dyDescent="0.25">
      <c r="A125" s="1875" t="s">
        <v>661</v>
      </c>
      <c r="B125" s="1875"/>
      <c r="C125" s="1875"/>
      <c r="D125" s="1875"/>
      <c r="E125" s="651"/>
      <c r="F125" s="311"/>
      <c r="G125" s="1875"/>
      <c r="H125" s="1875"/>
      <c r="I125" s="1875"/>
      <c r="J125" s="311"/>
    </row>
    <row r="126" spans="1:10" s="301" customFormat="1" ht="12.75" customHeight="1" x14ac:dyDescent="0.25">
      <c r="A126" s="1875"/>
      <c r="B126" s="1875"/>
      <c r="C126" s="1875"/>
      <c r="D126" s="1875"/>
      <c r="E126" s="680"/>
      <c r="F126" s="311"/>
      <c r="G126" s="1875"/>
      <c r="H126" s="1875"/>
      <c r="I126" s="1875"/>
      <c r="J126" s="311"/>
    </row>
    <row r="127" spans="1:10" s="301" customFormat="1" ht="12.75" customHeight="1" x14ac:dyDescent="0.25">
      <c r="A127" s="1875"/>
      <c r="B127" s="1875"/>
      <c r="C127" s="1875"/>
      <c r="D127" s="1875"/>
      <c r="E127" s="680"/>
      <c r="F127" s="311"/>
      <c r="G127" s="1875"/>
      <c r="H127" s="1875"/>
      <c r="I127" s="1875"/>
      <c r="J127" s="311"/>
    </row>
    <row r="128" spans="1:10" s="301" customFormat="1" ht="12.75" customHeight="1" x14ac:dyDescent="0.25">
      <c r="A128" s="647"/>
      <c r="B128" s="647"/>
      <c r="C128" s="647"/>
      <c r="D128" s="647"/>
      <c r="E128" s="651"/>
      <c r="F128" s="311"/>
      <c r="G128" s="1875"/>
      <c r="H128" s="1875"/>
      <c r="I128" s="1875"/>
      <c r="J128" s="311"/>
    </row>
    <row r="129" spans="1:10" s="301" customFormat="1" ht="12.75" customHeight="1" x14ac:dyDescent="0.25">
      <c r="A129" s="1976" t="s">
        <v>660</v>
      </c>
      <c r="B129" s="1884"/>
      <c r="C129" s="1884"/>
      <c r="D129" s="1884"/>
      <c r="E129" s="326"/>
      <c r="F129" s="311"/>
      <c r="G129" s="640"/>
      <c r="H129" s="640"/>
      <c r="I129" s="640"/>
      <c r="J129" s="311"/>
    </row>
    <row r="130" spans="1:10" s="301" customFormat="1" ht="12.75" customHeight="1" x14ac:dyDescent="0.25">
      <c r="A130" s="1884"/>
      <c r="B130" s="1884"/>
      <c r="C130" s="1884"/>
      <c r="D130" s="1884"/>
      <c r="E130" s="647"/>
      <c r="F130" s="311"/>
      <c r="G130" s="1875" t="s">
        <v>675</v>
      </c>
      <c r="H130" s="1875"/>
      <c r="I130" s="1875"/>
      <c r="J130" s="311"/>
    </row>
    <row r="131" spans="1:10" s="301" customFormat="1" ht="12.75" customHeight="1" x14ac:dyDescent="0.25">
      <c r="A131" s="1884"/>
      <c r="B131" s="1884"/>
      <c r="C131" s="1884"/>
      <c r="D131" s="1884"/>
      <c r="E131" s="647"/>
      <c r="F131" s="311"/>
      <c r="G131" s="1875"/>
      <c r="H131" s="1875"/>
      <c r="I131" s="1875"/>
      <c r="J131" s="311"/>
    </row>
    <row r="132" spans="1:10" s="301" customFormat="1" ht="12.75" customHeight="1" x14ac:dyDescent="0.25">
      <c r="A132" s="683"/>
      <c r="B132" s="683"/>
      <c r="C132" s="683"/>
      <c r="D132" s="683"/>
      <c r="E132" s="682"/>
      <c r="F132" s="311"/>
      <c r="G132" s="1875"/>
      <c r="H132" s="1875"/>
      <c r="I132" s="1875"/>
      <c r="J132" s="311"/>
    </row>
    <row r="133" spans="1:10" s="301" customFormat="1" ht="12.75" customHeight="1" x14ac:dyDescent="0.25">
      <c r="A133" s="1875" t="s">
        <v>681</v>
      </c>
      <c r="B133" s="1875"/>
      <c r="C133" s="1875"/>
      <c r="D133" s="1875"/>
      <c r="E133" s="655"/>
      <c r="F133" s="322"/>
      <c r="G133" s="640"/>
      <c r="H133" s="640"/>
      <c r="I133" s="640"/>
      <c r="J133" s="311"/>
    </row>
    <row r="134" spans="1:10" s="301" customFormat="1" ht="12.75" customHeight="1" x14ac:dyDescent="0.25">
      <c r="A134" s="1875"/>
      <c r="B134" s="1875"/>
      <c r="C134" s="1875"/>
      <c r="D134" s="1875"/>
      <c r="E134" s="655"/>
      <c r="F134" s="322"/>
      <c r="G134" s="1876" t="s">
        <v>680</v>
      </c>
      <c r="H134" s="1876"/>
      <c r="I134" s="1876"/>
      <c r="J134" s="311"/>
    </row>
    <row r="135" spans="1:10" s="301" customFormat="1" ht="12.75" customHeight="1" x14ac:dyDescent="0.25">
      <c r="A135" s="1875"/>
      <c r="B135" s="1875"/>
      <c r="C135" s="1875"/>
      <c r="D135" s="1875"/>
      <c r="E135" s="655"/>
      <c r="F135" s="326"/>
      <c r="G135" s="1876"/>
      <c r="H135" s="1876"/>
      <c r="I135" s="1876"/>
      <c r="J135" s="311"/>
    </row>
    <row r="136" spans="1:10" s="301" customFormat="1" ht="12.75" customHeight="1" x14ac:dyDescent="0.25">
      <c r="A136" s="1875"/>
      <c r="B136" s="1875"/>
      <c r="C136" s="1875"/>
      <c r="D136" s="1875"/>
      <c r="E136" s="655"/>
      <c r="F136" s="647"/>
      <c r="G136" s="1876"/>
      <c r="H136" s="1876"/>
      <c r="I136" s="1876"/>
      <c r="J136" s="311"/>
    </row>
    <row r="137" spans="1:10" s="301" customFormat="1" ht="12.75" customHeight="1" x14ac:dyDescent="0.25">
      <c r="A137" s="1875"/>
      <c r="B137" s="1875"/>
      <c r="C137" s="1875"/>
      <c r="D137" s="1875"/>
      <c r="E137" s="647"/>
      <c r="F137" s="647"/>
      <c r="G137" s="1876"/>
      <c r="H137" s="1876"/>
      <c r="I137" s="1876"/>
      <c r="J137" s="311"/>
    </row>
    <row r="138" spans="1:10" s="301" customFormat="1" ht="12.75" customHeight="1" x14ac:dyDescent="0.25">
      <c r="A138" s="1875"/>
      <c r="B138" s="1875"/>
      <c r="C138" s="1875"/>
      <c r="D138" s="1875"/>
      <c r="E138" s="647"/>
      <c r="F138" s="647"/>
      <c r="G138" s="1876"/>
      <c r="H138" s="1876"/>
      <c r="I138" s="1876"/>
      <c r="J138" s="311"/>
    </row>
    <row r="139" spans="1:10" s="301" customFormat="1" ht="12.75" customHeight="1" x14ac:dyDescent="0.25">
      <c r="A139" s="1875"/>
      <c r="B139" s="1875"/>
      <c r="C139" s="1875"/>
      <c r="D139" s="1875"/>
      <c r="E139" s="647"/>
      <c r="F139" s="647"/>
      <c r="G139" s="1876"/>
      <c r="H139" s="1876"/>
      <c r="I139" s="1876"/>
      <c r="J139" s="311"/>
    </row>
    <row r="140" spans="1:10" s="301" customFormat="1" ht="12.75" customHeight="1" x14ac:dyDescent="0.25">
      <c r="A140" s="697"/>
      <c r="B140" s="697"/>
      <c r="C140" s="697"/>
      <c r="D140" s="697"/>
      <c r="E140" s="647"/>
      <c r="F140" s="311"/>
      <c r="G140" s="640"/>
      <c r="H140" s="640"/>
      <c r="I140" s="640"/>
      <c r="J140" s="311"/>
    </row>
    <row r="141" spans="1:10" s="301" customFormat="1" ht="12.75" customHeight="1" x14ac:dyDescent="0.25">
      <c r="A141" s="697"/>
      <c r="B141" s="697"/>
      <c r="C141" s="697"/>
      <c r="D141" s="697"/>
      <c r="E141" s="647"/>
      <c r="F141" s="311"/>
      <c r="G141" s="1875" t="s">
        <v>676</v>
      </c>
      <c r="H141" s="1875"/>
      <c r="I141" s="1875"/>
      <c r="J141" s="311"/>
    </row>
    <row r="142" spans="1:10" s="301" customFormat="1" x14ac:dyDescent="0.25">
      <c r="A142" s="697"/>
      <c r="B142" s="697"/>
      <c r="C142" s="697"/>
      <c r="D142" s="697"/>
      <c r="E142" s="647"/>
      <c r="F142" s="311"/>
      <c r="G142" s="1875"/>
      <c r="H142" s="1875"/>
      <c r="I142" s="1875"/>
      <c r="J142" s="311"/>
    </row>
    <row r="143" spans="1:10" s="301" customFormat="1" ht="12.75" customHeight="1" x14ac:dyDescent="0.25">
      <c r="A143" s="697"/>
      <c r="B143" s="697"/>
      <c r="C143" s="697"/>
      <c r="D143" s="697"/>
      <c r="E143" s="647"/>
      <c r="F143" s="311"/>
      <c r="H143" s="647"/>
      <c r="I143" s="647"/>
      <c r="J143" s="311"/>
    </row>
    <row r="144" spans="1:10" s="301" customFormat="1" x14ac:dyDescent="0.25">
      <c r="A144" s="697"/>
      <c r="B144" s="697"/>
      <c r="C144" s="697"/>
      <c r="D144" s="697"/>
      <c r="E144" s="647"/>
      <c r="F144" s="311"/>
      <c r="H144" s="640"/>
      <c r="I144" s="640"/>
      <c r="J144" s="311"/>
    </row>
    <row r="145" spans="1:10" s="301" customFormat="1" ht="12.75" customHeight="1" x14ac:dyDescent="0.25">
      <c r="A145" s="647"/>
      <c r="B145" s="647"/>
      <c r="C145" s="647"/>
      <c r="D145" s="647"/>
      <c r="E145" s="647"/>
      <c r="F145" s="311"/>
      <c r="G145" s="640"/>
      <c r="H145" s="640"/>
      <c r="I145" s="640"/>
      <c r="J145" s="311"/>
    </row>
    <row r="146" spans="1:10" s="301" customFormat="1" ht="12.75" customHeight="1" x14ac:dyDescent="0.25">
      <c r="B146" s="326"/>
      <c r="C146" s="326"/>
      <c r="D146" s="326"/>
      <c r="E146" s="647"/>
      <c r="F146" s="311"/>
      <c r="J146" s="311"/>
    </row>
    <row r="147" spans="1:10" s="301" customFormat="1" ht="12.75" customHeight="1" x14ac:dyDescent="0.25">
      <c r="A147" s="326"/>
      <c r="B147" s="326"/>
      <c r="C147" s="326"/>
      <c r="D147" s="326"/>
      <c r="F147" s="311"/>
      <c r="J147" s="311"/>
    </row>
    <row r="148" spans="1:10" s="301" customFormat="1" x14ac:dyDescent="0.25">
      <c r="A148" s="326"/>
      <c r="B148" s="326"/>
      <c r="C148" s="326"/>
      <c r="D148" s="326"/>
      <c r="E148" s="647"/>
      <c r="F148" s="311"/>
      <c r="G148" s="647"/>
      <c r="H148" s="647"/>
      <c r="I148" s="647"/>
      <c r="J148" s="311"/>
    </row>
    <row r="149" spans="1:10" s="301" customFormat="1" ht="12.75" customHeight="1" x14ac:dyDescent="0.25">
      <c r="A149" s="326"/>
      <c r="B149" s="326"/>
      <c r="C149" s="326"/>
      <c r="D149" s="326"/>
      <c r="E149" s="647"/>
      <c r="F149" s="311"/>
      <c r="J149" s="311"/>
    </row>
    <row r="150" spans="1:10" s="301" customFormat="1" ht="12.75" customHeight="1" x14ac:dyDescent="0.25">
      <c r="E150" s="647"/>
      <c r="F150" s="311"/>
      <c r="J150" s="311"/>
    </row>
    <row r="151" spans="1:10" s="301" customFormat="1" ht="12.75" customHeight="1" x14ac:dyDescent="0.25">
      <c r="E151" s="647"/>
      <c r="F151" s="311"/>
      <c r="J151" s="311"/>
    </row>
    <row r="152" spans="1:10" s="301" customFormat="1" ht="12.75" customHeight="1" x14ac:dyDescent="0.25">
      <c r="D152" s="311"/>
      <c r="E152" s="326"/>
      <c r="F152" s="311"/>
      <c r="G152" s="311"/>
      <c r="H152" s="311"/>
      <c r="I152" s="311"/>
      <c r="J152" s="311"/>
    </row>
    <row r="153" spans="1:10" s="301" customFormat="1" ht="12.75" customHeight="1" x14ac:dyDescent="0.25">
      <c r="D153" s="311"/>
      <c r="E153" s="326"/>
      <c r="F153" s="311"/>
      <c r="G153" s="311"/>
      <c r="H153" s="311"/>
      <c r="I153" s="311"/>
      <c r="J153" s="311"/>
    </row>
    <row r="154" spans="1:10" s="301" customFormat="1" x14ac:dyDescent="0.25">
      <c r="D154" s="311"/>
      <c r="E154" s="326"/>
      <c r="F154" s="311"/>
      <c r="G154" s="311"/>
      <c r="H154" s="311"/>
      <c r="I154" s="311"/>
      <c r="J154" s="311"/>
    </row>
    <row r="155" spans="1:10" s="301" customFormat="1" x14ac:dyDescent="0.25">
      <c r="D155" s="311"/>
      <c r="E155" s="326"/>
      <c r="F155" s="311"/>
      <c r="G155" s="311"/>
      <c r="H155" s="311"/>
      <c r="I155" s="311"/>
      <c r="J155" s="311"/>
    </row>
    <row r="156" spans="1:10" s="301" customFormat="1" x14ac:dyDescent="0.25">
      <c r="D156" s="311"/>
      <c r="F156" s="311"/>
      <c r="G156" s="311"/>
      <c r="H156" s="311"/>
      <c r="I156" s="311"/>
      <c r="J156" s="311"/>
    </row>
    <row r="157" spans="1:10" s="301" customFormat="1" x14ac:dyDescent="0.25">
      <c r="D157" s="311"/>
      <c r="F157" s="311"/>
      <c r="G157" s="311"/>
      <c r="H157" s="311"/>
      <c r="I157" s="311"/>
      <c r="J157" s="311"/>
    </row>
    <row r="158" spans="1:10" s="301" customFormat="1" x14ac:dyDescent="0.25">
      <c r="D158" s="311"/>
      <c r="E158" s="311"/>
      <c r="F158" s="311"/>
      <c r="G158" s="311"/>
      <c r="H158" s="311"/>
      <c r="I158" s="311"/>
      <c r="J158" s="311"/>
    </row>
    <row r="159" spans="1:10" s="301" customFormat="1" x14ac:dyDescent="0.25">
      <c r="D159" s="311"/>
      <c r="E159" s="311"/>
      <c r="F159" s="311"/>
      <c r="G159" s="311"/>
      <c r="H159" s="311"/>
      <c r="I159" s="311"/>
      <c r="J159" s="311"/>
    </row>
    <row r="160" spans="1:10" s="301" customFormat="1" x14ac:dyDescent="0.25">
      <c r="D160" s="311"/>
      <c r="E160" s="311"/>
      <c r="F160" s="311"/>
      <c r="G160" s="311"/>
      <c r="H160" s="311"/>
      <c r="I160" s="311"/>
      <c r="J160" s="311"/>
    </row>
    <row r="161" spans="4:10" s="301" customFormat="1" x14ac:dyDescent="0.25">
      <c r="D161" s="311"/>
      <c r="E161" s="311"/>
      <c r="F161" s="311"/>
      <c r="G161" s="311"/>
      <c r="H161" s="311"/>
      <c r="I161" s="311"/>
      <c r="J161" s="311"/>
    </row>
    <row r="162" spans="4:10" s="301" customFormat="1" x14ac:dyDescent="0.25">
      <c r="D162" s="311"/>
      <c r="E162" s="311"/>
      <c r="F162" s="311"/>
      <c r="G162" s="311"/>
      <c r="H162" s="311"/>
      <c r="I162" s="311"/>
      <c r="J162" s="311"/>
    </row>
    <row r="163" spans="4:10" s="301" customFormat="1" x14ac:dyDescent="0.25">
      <c r="D163" s="311"/>
      <c r="E163" s="311"/>
      <c r="F163" s="311"/>
      <c r="G163" s="311"/>
      <c r="H163" s="311"/>
      <c r="I163" s="311"/>
      <c r="J163" s="311"/>
    </row>
    <row r="164" spans="4:10" s="301" customFormat="1" x14ac:dyDescent="0.25">
      <c r="D164" s="311"/>
      <c r="E164" s="311"/>
      <c r="F164" s="311"/>
      <c r="G164" s="311"/>
      <c r="H164" s="311"/>
      <c r="I164" s="311"/>
      <c r="J164" s="311"/>
    </row>
    <row r="165" spans="4:10" s="301" customFormat="1" x14ac:dyDescent="0.25">
      <c r="D165" s="311"/>
      <c r="E165" s="311"/>
      <c r="F165" s="311"/>
      <c r="G165" s="311"/>
      <c r="H165" s="311"/>
      <c r="I165" s="311"/>
      <c r="J165" s="311"/>
    </row>
    <row r="166" spans="4:10" s="301" customFormat="1" x14ac:dyDescent="0.25">
      <c r="D166" s="311"/>
      <c r="E166" s="311"/>
      <c r="F166" s="311"/>
      <c r="G166" s="311"/>
      <c r="H166" s="311"/>
      <c r="I166" s="311"/>
      <c r="J166" s="311"/>
    </row>
    <row r="167" spans="4:10" s="301" customFormat="1" x14ac:dyDescent="0.25">
      <c r="D167" s="311"/>
      <c r="E167" s="311"/>
      <c r="F167" s="311"/>
      <c r="G167" s="311"/>
      <c r="H167" s="311"/>
      <c r="I167" s="311"/>
      <c r="J167" s="311"/>
    </row>
    <row r="168" spans="4:10" s="301" customFormat="1" x14ac:dyDescent="0.25">
      <c r="D168" s="311"/>
      <c r="E168" s="311"/>
      <c r="F168" s="311"/>
      <c r="G168" s="311"/>
      <c r="H168" s="311"/>
      <c r="I168" s="311"/>
      <c r="J168" s="311"/>
    </row>
    <row r="169" spans="4:10" s="301" customFormat="1" x14ac:dyDescent="0.25">
      <c r="D169" s="311"/>
      <c r="E169" s="311"/>
      <c r="F169" s="311"/>
      <c r="G169" s="311"/>
      <c r="H169" s="311"/>
      <c r="I169" s="311"/>
      <c r="J169" s="311"/>
    </row>
    <row r="170" spans="4:10" s="301" customFormat="1" x14ac:dyDescent="0.25">
      <c r="D170" s="311"/>
      <c r="E170" s="311"/>
      <c r="F170" s="311"/>
      <c r="G170" s="311"/>
      <c r="H170" s="311"/>
      <c r="I170" s="311"/>
      <c r="J170" s="311"/>
    </row>
    <row r="171" spans="4:10" s="301" customFormat="1" x14ac:dyDescent="0.25">
      <c r="D171" s="311"/>
      <c r="E171" s="311"/>
      <c r="F171" s="311"/>
      <c r="G171" s="311"/>
      <c r="H171" s="311"/>
      <c r="I171" s="311"/>
      <c r="J171" s="311"/>
    </row>
    <row r="172" spans="4:10" s="301" customFormat="1" x14ac:dyDescent="0.25">
      <c r="D172" s="311"/>
      <c r="E172" s="311"/>
      <c r="F172" s="311"/>
      <c r="G172" s="311"/>
      <c r="H172" s="311"/>
      <c r="I172" s="311"/>
      <c r="J172" s="311"/>
    </row>
    <row r="173" spans="4:10" s="301" customFormat="1" x14ac:dyDescent="0.25">
      <c r="D173" s="311"/>
      <c r="E173" s="311"/>
      <c r="F173" s="311"/>
      <c r="G173" s="311"/>
      <c r="H173" s="311"/>
      <c r="I173" s="311"/>
      <c r="J173" s="311"/>
    </row>
    <row r="174" spans="4:10" s="301" customFormat="1" x14ac:dyDescent="0.25">
      <c r="D174" s="311"/>
      <c r="E174" s="311"/>
      <c r="F174" s="311"/>
      <c r="G174" s="311"/>
      <c r="H174" s="311"/>
      <c r="I174" s="311"/>
      <c r="J174" s="311"/>
    </row>
    <row r="175" spans="4:10" s="301" customFormat="1" x14ac:dyDescent="0.25">
      <c r="D175" s="311"/>
      <c r="E175" s="311"/>
      <c r="F175" s="311"/>
      <c r="G175" s="311"/>
      <c r="H175" s="311"/>
      <c r="I175" s="311"/>
      <c r="J175" s="311"/>
    </row>
    <row r="176" spans="4:10" s="301" customFormat="1" x14ac:dyDescent="0.25">
      <c r="D176" s="311"/>
      <c r="E176" s="311"/>
      <c r="F176" s="311"/>
      <c r="G176" s="311"/>
      <c r="H176" s="311"/>
      <c r="I176" s="311"/>
      <c r="J176" s="311"/>
    </row>
    <row r="177" spans="4:10" s="301" customFormat="1" x14ac:dyDescent="0.25">
      <c r="D177" s="311"/>
      <c r="E177" s="311"/>
      <c r="F177" s="311"/>
      <c r="G177" s="311"/>
      <c r="H177" s="311"/>
      <c r="I177" s="311"/>
      <c r="J177" s="311"/>
    </row>
    <row r="178" spans="4:10" s="301" customFormat="1" x14ac:dyDescent="0.25">
      <c r="D178" s="311"/>
      <c r="E178" s="311"/>
      <c r="F178" s="311"/>
      <c r="G178" s="311"/>
      <c r="H178" s="311"/>
      <c r="I178" s="311"/>
      <c r="J178" s="311"/>
    </row>
    <row r="179" spans="4:10" s="301" customFormat="1" x14ac:dyDescent="0.25">
      <c r="D179" s="311"/>
      <c r="E179" s="311"/>
      <c r="F179" s="311"/>
      <c r="G179" s="311"/>
      <c r="H179" s="311"/>
      <c r="I179" s="311"/>
      <c r="J179" s="311"/>
    </row>
    <row r="180" spans="4:10" s="301" customFormat="1" x14ac:dyDescent="0.25">
      <c r="D180" s="311"/>
      <c r="E180" s="311"/>
      <c r="F180" s="311"/>
      <c r="G180" s="311"/>
      <c r="H180" s="311"/>
      <c r="I180" s="311"/>
      <c r="J180" s="311"/>
    </row>
    <row r="181" spans="4:10" s="301" customFormat="1" x14ac:dyDescent="0.25">
      <c r="D181" s="311"/>
      <c r="E181" s="311"/>
      <c r="F181" s="311"/>
      <c r="G181" s="311"/>
      <c r="H181" s="311"/>
      <c r="I181" s="311"/>
      <c r="J181" s="311"/>
    </row>
    <row r="182" spans="4:10" s="301" customFormat="1" x14ac:dyDescent="0.25">
      <c r="D182" s="311"/>
      <c r="E182" s="311"/>
      <c r="F182" s="311"/>
      <c r="G182" s="311"/>
      <c r="H182" s="311"/>
      <c r="I182" s="311"/>
      <c r="J182" s="311"/>
    </row>
    <row r="183" spans="4:10" s="301" customFormat="1" x14ac:dyDescent="0.25">
      <c r="D183" s="311"/>
      <c r="E183" s="311"/>
      <c r="F183" s="311"/>
      <c r="G183" s="311"/>
      <c r="H183" s="311"/>
      <c r="I183" s="311"/>
      <c r="J183" s="311"/>
    </row>
    <row r="184" spans="4:10" s="301" customFormat="1" x14ac:dyDescent="0.25">
      <c r="D184" s="311"/>
      <c r="E184" s="311"/>
      <c r="F184" s="311"/>
      <c r="G184" s="311"/>
      <c r="H184" s="311"/>
      <c r="I184" s="311"/>
      <c r="J184" s="311"/>
    </row>
    <row r="185" spans="4:10" s="301" customFormat="1" x14ac:dyDescent="0.25">
      <c r="D185" s="311"/>
      <c r="E185" s="311"/>
      <c r="F185" s="311"/>
      <c r="G185" s="311"/>
      <c r="H185" s="311"/>
      <c r="I185" s="311"/>
      <c r="J185" s="311"/>
    </row>
    <row r="186" spans="4:10" s="301" customFormat="1" x14ac:dyDescent="0.25">
      <c r="D186" s="311"/>
      <c r="E186" s="311"/>
      <c r="F186" s="311"/>
      <c r="G186" s="311"/>
      <c r="H186" s="311"/>
      <c r="I186" s="311"/>
      <c r="J186" s="311"/>
    </row>
    <row r="187" spans="4:10" s="301" customFormat="1" x14ac:dyDescent="0.25">
      <c r="D187" s="311"/>
      <c r="E187" s="311"/>
      <c r="F187" s="311"/>
      <c r="G187" s="311"/>
      <c r="H187" s="311"/>
      <c r="I187" s="311"/>
      <c r="J187" s="311"/>
    </row>
    <row r="188" spans="4:10" s="301" customFormat="1" x14ac:dyDescent="0.25">
      <c r="D188" s="311"/>
      <c r="E188" s="311"/>
      <c r="F188" s="311"/>
      <c r="G188" s="311"/>
      <c r="H188" s="311"/>
      <c r="I188" s="311"/>
      <c r="J188" s="311"/>
    </row>
    <row r="189" spans="4:10" s="301" customFormat="1" x14ac:dyDescent="0.25">
      <c r="D189" s="311"/>
      <c r="E189" s="311"/>
      <c r="F189" s="311"/>
      <c r="G189" s="311"/>
      <c r="H189" s="311"/>
      <c r="I189" s="311"/>
      <c r="J189" s="311"/>
    </row>
    <row r="190" spans="4:10" s="301" customFormat="1" x14ac:dyDescent="0.25">
      <c r="D190" s="311"/>
      <c r="E190" s="311"/>
      <c r="F190" s="311"/>
      <c r="G190" s="311"/>
      <c r="H190" s="311"/>
      <c r="I190" s="311"/>
      <c r="J190" s="311"/>
    </row>
    <row r="191" spans="4:10" s="301" customFormat="1" x14ac:dyDescent="0.25">
      <c r="D191" s="311"/>
      <c r="E191" s="311"/>
      <c r="F191" s="311"/>
      <c r="G191" s="311"/>
      <c r="H191" s="311"/>
      <c r="I191" s="311"/>
      <c r="J191" s="311"/>
    </row>
    <row r="192" spans="4:10" s="301" customFormat="1" x14ac:dyDescent="0.25">
      <c r="D192" s="311"/>
      <c r="E192" s="311"/>
      <c r="F192" s="311"/>
      <c r="G192" s="311"/>
      <c r="H192" s="311"/>
      <c r="I192" s="311"/>
      <c r="J192" s="311"/>
    </row>
    <row r="193" spans="4:10" s="301" customFormat="1" x14ac:dyDescent="0.25">
      <c r="D193" s="311"/>
      <c r="E193" s="311"/>
      <c r="F193" s="311"/>
      <c r="G193" s="311"/>
      <c r="H193" s="311"/>
      <c r="I193" s="311"/>
      <c r="J193" s="311"/>
    </row>
    <row r="194" spans="4:10" s="301" customFormat="1" x14ac:dyDescent="0.25">
      <c r="D194" s="311"/>
      <c r="E194" s="311"/>
      <c r="F194" s="311"/>
      <c r="G194" s="311"/>
      <c r="H194" s="311"/>
      <c r="I194" s="311"/>
      <c r="J194" s="311"/>
    </row>
    <row r="195" spans="4:10" s="301" customFormat="1" x14ac:dyDescent="0.25">
      <c r="D195" s="311"/>
      <c r="E195" s="311"/>
      <c r="F195" s="311"/>
      <c r="G195" s="311"/>
      <c r="H195" s="311"/>
      <c r="I195" s="311"/>
      <c r="J195" s="311"/>
    </row>
    <row r="196" spans="4:10" s="301" customFormat="1" x14ac:dyDescent="0.25">
      <c r="D196" s="311"/>
      <c r="E196" s="311"/>
      <c r="F196" s="311"/>
      <c r="G196" s="311"/>
      <c r="H196" s="311"/>
      <c r="I196" s="311"/>
      <c r="J196" s="311"/>
    </row>
    <row r="197" spans="4:10" s="301" customFormat="1" x14ac:dyDescent="0.25">
      <c r="D197" s="311"/>
      <c r="E197" s="311"/>
      <c r="F197" s="311"/>
      <c r="G197" s="311"/>
      <c r="H197" s="311"/>
      <c r="I197" s="311"/>
      <c r="J197" s="311"/>
    </row>
    <row r="198" spans="4:10" s="301" customFormat="1" x14ac:dyDescent="0.25">
      <c r="D198" s="311"/>
      <c r="E198" s="311"/>
      <c r="F198" s="311"/>
      <c r="G198" s="311"/>
      <c r="H198" s="311"/>
      <c r="I198" s="311"/>
      <c r="J198" s="311"/>
    </row>
    <row r="199" spans="4:10" s="301" customFormat="1" x14ac:dyDescent="0.25">
      <c r="D199" s="311"/>
      <c r="E199" s="311"/>
      <c r="F199" s="311"/>
      <c r="G199" s="311"/>
      <c r="H199" s="311"/>
      <c r="I199" s="311"/>
      <c r="J199" s="311"/>
    </row>
    <row r="200" spans="4:10" s="301" customFormat="1" x14ac:dyDescent="0.25">
      <c r="D200" s="311"/>
      <c r="E200" s="311"/>
      <c r="F200" s="311"/>
      <c r="G200" s="311"/>
      <c r="H200" s="311"/>
      <c r="I200" s="311"/>
      <c r="J200" s="311"/>
    </row>
    <row r="201" spans="4:10" s="301" customFormat="1" x14ac:dyDescent="0.25">
      <c r="D201" s="311"/>
      <c r="E201" s="311"/>
      <c r="F201" s="311"/>
      <c r="G201" s="311"/>
      <c r="H201" s="311"/>
      <c r="I201" s="311"/>
      <c r="J201" s="311"/>
    </row>
    <row r="202" spans="4:10" s="301" customFormat="1" x14ac:dyDescent="0.25">
      <c r="D202" s="311"/>
      <c r="E202" s="311"/>
      <c r="F202" s="311"/>
      <c r="G202" s="311"/>
      <c r="H202" s="311"/>
      <c r="I202" s="311"/>
      <c r="J202" s="311"/>
    </row>
    <row r="203" spans="4:10" s="301" customFormat="1" x14ac:dyDescent="0.25">
      <c r="D203" s="311"/>
      <c r="E203" s="311"/>
      <c r="F203" s="311"/>
      <c r="G203" s="311"/>
      <c r="H203" s="311"/>
      <c r="I203" s="311"/>
      <c r="J203" s="311"/>
    </row>
    <row r="204" spans="4:10" s="301" customFormat="1" x14ac:dyDescent="0.25">
      <c r="D204" s="311"/>
      <c r="E204" s="311"/>
      <c r="F204" s="311"/>
      <c r="G204" s="311"/>
      <c r="H204" s="311"/>
      <c r="I204" s="311"/>
      <c r="J204" s="311"/>
    </row>
    <row r="205" spans="4:10" s="301" customFormat="1" x14ac:dyDescent="0.25">
      <c r="D205" s="311"/>
      <c r="E205" s="311"/>
      <c r="F205" s="311"/>
      <c r="G205" s="311"/>
      <c r="H205" s="311"/>
      <c r="I205" s="311"/>
      <c r="J205" s="311"/>
    </row>
    <row r="206" spans="4:10" s="301" customFormat="1" x14ac:dyDescent="0.25">
      <c r="D206" s="311"/>
      <c r="E206" s="311"/>
      <c r="F206" s="311"/>
      <c r="G206" s="311"/>
      <c r="H206" s="311"/>
      <c r="I206" s="311"/>
      <c r="J206" s="311"/>
    </row>
    <row r="207" spans="4:10" s="301" customFormat="1" x14ac:dyDescent="0.25">
      <c r="D207" s="311"/>
      <c r="E207" s="311"/>
      <c r="F207" s="311"/>
      <c r="G207" s="311"/>
      <c r="H207" s="311"/>
      <c r="I207" s="311"/>
      <c r="J207" s="311"/>
    </row>
    <row r="208" spans="4:10" s="301" customFormat="1" x14ac:dyDescent="0.25">
      <c r="D208" s="311"/>
      <c r="E208" s="311"/>
      <c r="F208" s="311"/>
      <c r="G208" s="311"/>
      <c r="H208" s="311"/>
      <c r="I208" s="311"/>
      <c r="J208" s="311"/>
    </row>
    <row r="209" spans="4:10" s="301" customFormat="1" x14ac:dyDescent="0.25">
      <c r="D209" s="311"/>
      <c r="E209" s="311"/>
      <c r="F209" s="311"/>
      <c r="G209" s="311"/>
      <c r="H209" s="311"/>
      <c r="I209" s="311"/>
      <c r="J209" s="311"/>
    </row>
    <row r="210" spans="4:10" s="301" customFormat="1" x14ac:dyDescent="0.25">
      <c r="D210" s="311"/>
      <c r="E210" s="311"/>
      <c r="F210" s="311"/>
      <c r="G210" s="311"/>
      <c r="H210" s="311"/>
      <c r="I210" s="311"/>
      <c r="J210" s="311"/>
    </row>
    <row r="211" spans="4:10" s="301" customFormat="1" x14ac:dyDescent="0.25">
      <c r="D211" s="311"/>
      <c r="E211" s="311"/>
      <c r="F211" s="311"/>
      <c r="G211" s="311"/>
      <c r="H211" s="311"/>
      <c r="I211" s="311"/>
      <c r="J211" s="311"/>
    </row>
    <row r="212" spans="4:10" s="301" customFormat="1" x14ac:dyDescent="0.25">
      <c r="D212" s="311"/>
      <c r="E212" s="311"/>
      <c r="F212" s="311"/>
      <c r="G212" s="311"/>
      <c r="H212" s="311"/>
      <c r="I212" s="311"/>
      <c r="J212" s="311"/>
    </row>
    <row r="213" spans="4:10" s="301" customFormat="1" x14ac:dyDescent="0.25">
      <c r="D213" s="311"/>
      <c r="E213" s="311"/>
      <c r="F213" s="311"/>
      <c r="G213" s="311"/>
      <c r="H213" s="311"/>
      <c r="I213" s="311"/>
      <c r="J213" s="311"/>
    </row>
    <row r="214" spans="4:10" s="301" customFormat="1" x14ac:dyDescent="0.25">
      <c r="D214" s="311"/>
      <c r="E214" s="311"/>
      <c r="F214" s="311"/>
      <c r="G214" s="311"/>
      <c r="H214" s="311"/>
      <c r="I214" s="311"/>
      <c r="J214" s="311"/>
    </row>
    <row r="215" spans="4:10" s="301" customFormat="1" x14ac:dyDescent="0.25">
      <c r="D215" s="311"/>
      <c r="E215" s="311"/>
      <c r="F215" s="311"/>
      <c r="G215" s="311"/>
      <c r="H215" s="311"/>
      <c r="I215" s="311"/>
      <c r="J215" s="311"/>
    </row>
    <row r="216" spans="4:10" s="301" customFormat="1" x14ac:dyDescent="0.25">
      <c r="D216" s="311"/>
      <c r="E216" s="311"/>
      <c r="F216" s="311"/>
      <c r="G216" s="311"/>
      <c r="H216" s="311"/>
      <c r="I216" s="311"/>
      <c r="J216" s="311"/>
    </row>
    <row r="217" spans="4:10" s="301" customFormat="1" x14ac:dyDescent="0.25">
      <c r="D217" s="311"/>
      <c r="E217" s="311"/>
      <c r="F217" s="311"/>
      <c r="G217" s="311"/>
      <c r="H217" s="311"/>
      <c r="I217" s="311"/>
      <c r="J217" s="311"/>
    </row>
    <row r="218" spans="4:10" s="301" customFormat="1" x14ac:dyDescent="0.25">
      <c r="D218" s="311"/>
      <c r="E218" s="311"/>
      <c r="F218" s="311"/>
      <c r="G218" s="311"/>
      <c r="H218" s="311"/>
      <c r="I218" s="311"/>
      <c r="J218" s="311"/>
    </row>
    <row r="219" spans="4:10" s="301" customFormat="1" x14ac:dyDescent="0.25">
      <c r="D219" s="311"/>
      <c r="E219" s="311"/>
      <c r="F219" s="311"/>
      <c r="G219" s="311"/>
      <c r="H219" s="311"/>
      <c r="I219" s="311"/>
      <c r="J219" s="311"/>
    </row>
    <row r="220" spans="4:10" s="301" customFormat="1" x14ac:dyDescent="0.25">
      <c r="D220" s="311"/>
      <c r="E220" s="311"/>
      <c r="F220" s="311"/>
      <c r="G220" s="311"/>
      <c r="H220" s="311"/>
      <c r="I220" s="311"/>
      <c r="J220" s="311"/>
    </row>
    <row r="221" spans="4:10" s="301" customFormat="1" x14ac:dyDescent="0.25">
      <c r="D221" s="311"/>
      <c r="E221" s="311"/>
      <c r="F221" s="311"/>
      <c r="G221" s="311"/>
      <c r="H221" s="311"/>
      <c r="I221" s="311"/>
      <c r="J221" s="311"/>
    </row>
    <row r="222" spans="4:10" s="301" customFormat="1" x14ac:dyDescent="0.25">
      <c r="D222" s="311"/>
      <c r="E222" s="311"/>
      <c r="F222" s="311"/>
      <c r="G222" s="311"/>
      <c r="H222" s="311"/>
      <c r="I222" s="311"/>
      <c r="J222" s="311"/>
    </row>
    <row r="223" spans="4:10" s="301" customFormat="1" x14ac:dyDescent="0.25">
      <c r="D223" s="311"/>
      <c r="E223" s="311"/>
      <c r="F223" s="311"/>
      <c r="G223" s="311"/>
      <c r="H223" s="311"/>
      <c r="I223" s="311"/>
      <c r="J223" s="311"/>
    </row>
    <row r="224" spans="4:10" s="301" customFormat="1" x14ac:dyDescent="0.25">
      <c r="D224" s="311"/>
      <c r="E224" s="311"/>
      <c r="F224" s="311"/>
      <c r="G224" s="311"/>
      <c r="H224" s="311"/>
      <c r="I224" s="311"/>
      <c r="J224" s="311"/>
    </row>
    <row r="225" spans="4:10" s="301" customFormat="1" x14ac:dyDescent="0.25">
      <c r="D225" s="311"/>
      <c r="E225" s="311"/>
      <c r="F225" s="311"/>
      <c r="G225" s="311"/>
      <c r="H225" s="311"/>
      <c r="I225" s="311"/>
      <c r="J225" s="311"/>
    </row>
    <row r="226" spans="4:10" s="301" customFormat="1" x14ac:dyDescent="0.25">
      <c r="D226" s="311"/>
      <c r="E226" s="311"/>
      <c r="F226" s="311"/>
      <c r="G226" s="311"/>
      <c r="H226" s="311"/>
      <c r="I226" s="311"/>
      <c r="J226" s="311"/>
    </row>
    <row r="227" spans="4:10" s="301" customFormat="1" x14ac:dyDescent="0.25">
      <c r="D227" s="311"/>
      <c r="E227" s="311"/>
      <c r="F227" s="311"/>
      <c r="G227" s="311"/>
      <c r="H227" s="311"/>
      <c r="I227" s="311"/>
      <c r="J227" s="311"/>
    </row>
    <row r="228" spans="4:10" s="301" customFormat="1" x14ac:dyDescent="0.25">
      <c r="D228" s="311"/>
      <c r="E228" s="311"/>
      <c r="F228" s="311"/>
      <c r="G228" s="311"/>
      <c r="H228" s="311"/>
      <c r="I228" s="311"/>
      <c r="J228" s="311"/>
    </row>
    <row r="229" spans="4:10" s="301" customFormat="1" x14ac:dyDescent="0.25">
      <c r="D229" s="311"/>
      <c r="E229" s="311"/>
      <c r="F229" s="311"/>
      <c r="G229" s="311"/>
      <c r="H229" s="311"/>
      <c r="I229" s="311"/>
      <c r="J229" s="311"/>
    </row>
    <row r="230" spans="4:10" s="301" customFormat="1" x14ac:dyDescent="0.25">
      <c r="D230" s="311"/>
      <c r="E230" s="311"/>
      <c r="F230" s="311"/>
      <c r="G230" s="311"/>
      <c r="H230" s="311"/>
      <c r="I230" s="311"/>
      <c r="J230" s="311"/>
    </row>
    <row r="231" spans="4:10" s="301" customFormat="1" x14ac:dyDescent="0.25">
      <c r="D231" s="311"/>
      <c r="E231" s="311"/>
      <c r="F231" s="311"/>
      <c r="G231" s="311"/>
      <c r="H231" s="311"/>
      <c r="I231" s="311"/>
      <c r="J231" s="311"/>
    </row>
    <row r="232" spans="4:10" s="301" customFormat="1" x14ac:dyDescent="0.25">
      <c r="D232" s="311"/>
      <c r="E232" s="311"/>
      <c r="F232" s="311"/>
      <c r="G232" s="311"/>
      <c r="H232" s="311"/>
      <c r="I232" s="311"/>
      <c r="J232" s="311"/>
    </row>
    <row r="233" spans="4:10" s="301" customFormat="1" x14ac:dyDescent="0.25">
      <c r="D233" s="311"/>
      <c r="E233" s="311"/>
      <c r="F233" s="311"/>
      <c r="G233" s="311"/>
      <c r="H233" s="311"/>
      <c r="I233" s="311"/>
      <c r="J233" s="311"/>
    </row>
    <row r="234" spans="4:10" s="301" customFormat="1" x14ac:dyDescent="0.25">
      <c r="D234" s="311"/>
      <c r="E234" s="311"/>
      <c r="F234" s="311"/>
      <c r="G234" s="311"/>
      <c r="H234" s="311"/>
      <c r="I234" s="311"/>
      <c r="J234" s="311"/>
    </row>
    <row r="235" spans="4:10" s="301" customFormat="1" x14ac:dyDescent="0.25">
      <c r="D235" s="311"/>
      <c r="E235" s="311"/>
      <c r="F235" s="311"/>
      <c r="G235" s="311"/>
      <c r="H235" s="311"/>
      <c r="I235" s="311"/>
      <c r="J235" s="311"/>
    </row>
    <row r="236" spans="4:10" s="301" customFormat="1" x14ac:dyDescent="0.25">
      <c r="D236" s="311"/>
      <c r="E236" s="311"/>
      <c r="F236" s="311"/>
      <c r="G236" s="311"/>
      <c r="H236" s="311"/>
      <c r="I236" s="311"/>
      <c r="J236" s="311"/>
    </row>
    <row r="237" spans="4:10" s="301" customFormat="1" x14ac:dyDescent="0.25">
      <c r="D237" s="311"/>
      <c r="E237" s="311"/>
      <c r="F237" s="311"/>
      <c r="G237" s="311"/>
      <c r="H237" s="311"/>
      <c r="I237" s="311"/>
      <c r="J237" s="311"/>
    </row>
    <row r="238" spans="4:10" s="301" customFormat="1" x14ac:dyDescent="0.25">
      <c r="D238" s="311"/>
      <c r="E238" s="311"/>
      <c r="F238" s="311"/>
      <c r="G238" s="311"/>
      <c r="H238" s="311"/>
      <c r="I238" s="311"/>
      <c r="J238" s="311"/>
    </row>
    <row r="239" spans="4:10" s="301" customFormat="1" x14ac:dyDescent="0.25">
      <c r="D239" s="311"/>
      <c r="E239" s="311"/>
      <c r="F239" s="311"/>
      <c r="G239" s="311"/>
      <c r="H239" s="311"/>
      <c r="I239" s="311"/>
      <c r="J239" s="311"/>
    </row>
    <row r="240" spans="4:10" s="301" customFormat="1" x14ac:dyDescent="0.25">
      <c r="D240" s="311"/>
      <c r="E240" s="311"/>
      <c r="F240" s="311"/>
      <c r="G240" s="311"/>
      <c r="H240" s="311"/>
      <c r="I240" s="311"/>
      <c r="J240" s="311"/>
    </row>
    <row r="241" spans="4:10" s="301" customFormat="1" x14ac:dyDescent="0.25">
      <c r="D241" s="311"/>
      <c r="E241" s="311"/>
      <c r="F241" s="311"/>
      <c r="G241" s="311"/>
      <c r="H241" s="311"/>
      <c r="I241" s="311"/>
      <c r="J241" s="311"/>
    </row>
    <row r="242" spans="4:10" s="301" customFormat="1" x14ac:dyDescent="0.25">
      <c r="D242" s="311"/>
      <c r="E242" s="311"/>
      <c r="F242" s="311"/>
      <c r="G242" s="311"/>
      <c r="H242" s="311"/>
      <c r="I242" s="311"/>
      <c r="J242" s="311"/>
    </row>
    <row r="243" spans="4:10" s="301" customFormat="1" x14ac:dyDescent="0.25">
      <c r="D243" s="311"/>
      <c r="E243" s="311"/>
      <c r="F243" s="311"/>
      <c r="G243" s="311"/>
      <c r="H243" s="311"/>
      <c r="I243" s="311"/>
      <c r="J243" s="311"/>
    </row>
    <row r="244" spans="4:10" s="301" customFormat="1" x14ac:dyDescent="0.25">
      <c r="D244" s="311"/>
      <c r="E244" s="311"/>
      <c r="F244" s="311"/>
      <c r="G244" s="311"/>
      <c r="H244" s="311"/>
      <c r="I244" s="311"/>
      <c r="J244" s="311"/>
    </row>
    <row r="245" spans="4:10" s="301" customFormat="1" x14ac:dyDescent="0.25">
      <c r="D245" s="311"/>
      <c r="E245" s="311"/>
      <c r="F245" s="311"/>
      <c r="G245" s="311"/>
      <c r="H245" s="311"/>
      <c r="I245" s="311"/>
      <c r="J245" s="311"/>
    </row>
    <row r="246" spans="4:10" s="301" customFormat="1" x14ac:dyDescent="0.25">
      <c r="D246" s="311"/>
      <c r="E246" s="311"/>
      <c r="F246" s="311"/>
      <c r="G246" s="311"/>
      <c r="H246" s="311"/>
      <c r="I246" s="311"/>
      <c r="J246" s="311"/>
    </row>
    <row r="247" spans="4:10" s="301" customFormat="1" x14ac:dyDescent="0.25">
      <c r="D247" s="311"/>
      <c r="E247" s="311"/>
      <c r="F247" s="311"/>
      <c r="G247" s="311"/>
      <c r="H247" s="311"/>
      <c r="I247" s="311"/>
      <c r="J247" s="311"/>
    </row>
    <row r="248" spans="4:10" s="301" customFormat="1" x14ac:dyDescent="0.25">
      <c r="D248" s="311"/>
      <c r="E248" s="311"/>
      <c r="F248" s="311"/>
      <c r="G248" s="311"/>
      <c r="H248" s="311"/>
      <c r="I248" s="311"/>
      <c r="J248" s="311"/>
    </row>
    <row r="249" spans="4:10" s="301" customFormat="1" x14ac:dyDescent="0.25">
      <c r="D249" s="311"/>
      <c r="E249" s="311"/>
      <c r="F249" s="311"/>
      <c r="G249" s="311"/>
      <c r="H249" s="311"/>
      <c r="I249" s="311"/>
      <c r="J249" s="311"/>
    </row>
    <row r="250" spans="4:10" s="301" customFormat="1" x14ac:dyDescent="0.25">
      <c r="D250" s="311"/>
      <c r="E250" s="311"/>
      <c r="F250" s="311"/>
      <c r="G250" s="311"/>
      <c r="H250" s="311"/>
      <c r="I250" s="311"/>
      <c r="J250" s="311"/>
    </row>
    <row r="251" spans="4:10" s="301" customFormat="1" x14ac:dyDescent="0.25">
      <c r="D251" s="311"/>
      <c r="E251" s="311"/>
      <c r="F251" s="311"/>
      <c r="G251" s="311"/>
      <c r="H251" s="311"/>
      <c r="I251" s="311"/>
      <c r="J251" s="311"/>
    </row>
    <row r="252" spans="4:10" s="301" customFormat="1" x14ac:dyDescent="0.25">
      <c r="D252" s="311"/>
      <c r="E252" s="311"/>
      <c r="F252" s="311"/>
      <c r="G252" s="311"/>
      <c r="H252" s="311"/>
      <c r="I252" s="311"/>
      <c r="J252" s="311"/>
    </row>
    <row r="253" spans="4:10" s="301" customFormat="1" x14ac:dyDescent="0.25">
      <c r="D253" s="311"/>
      <c r="E253" s="311"/>
      <c r="F253" s="311"/>
      <c r="G253" s="311"/>
      <c r="H253" s="311"/>
      <c r="I253" s="311"/>
      <c r="J253" s="311"/>
    </row>
    <row r="254" spans="4:10" s="301" customFormat="1" x14ac:dyDescent="0.25">
      <c r="D254" s="311"/>
      <c r="E254" s="311"/>
      <c r="F254" s="311"/>
      <c r="G254" s="311"/>
      <c r="H254" s="311"/>
      <c r="I254" s="311"/>
      <c r="J254" s="311"/>
    </row>
    <row r="255" spans="4:10" s="301" customFormat="1" x14ac:dyDescent="0.25">
      <c r="D255" s="311"/>
      <c r="E255" s="311"/>
      <c r="F255" s="311"/>
      <c r="G255" s="311"/>
      <c r="H255" s="311"/>
      <c r="I255" s="311"/>
      <c r="J255" s="311"/>
    </row>
    <row r="256" spans="4:10" s="301" customFormat="1" x14ac:dyDescent="0.25">
      <c r="D256" s="311"/>
      <c r="E256" s="311"/>
      <c r="F256" s="311"/>
      <c r="G256" s="311"/>
      <c r="H256" s="311"/>
      <c r="I256" s="311"/>
      <c r="J256" s="311"/>
    </row>
    <row r="257" spans="4:10" s="301" customFormat="1" x14ac:dyDescent="0.25">
      <c r="D257" s="311"/>
      <c r="E257" s="311"/>
      <c r="F257" s="311"/>
      <c r="G257" s="311"/>
      <c r="H257" s="311"/>
      <c r="I257" s="311"/>
      <c r="J257" s="311"/>
    </row>
    <row r="258" spans="4:10" s="301" customFormat="1" x14ac:dyDescent="0.25">
      <c r="D258" s="311"/>
      <c r="E258" s="311"/>
      <c r="F258" s="311"/>
      <c r="G258" s="311"/>
      <c r="H258" s="311"/>
      <c r="I258" s="311"/>
      <c r="J258" s="311"/>
    </row>
    <row r="259" spans="4:10" s="301" customFormat="1" x14ac:dyDescent="0.25">
      <c r="D259" s="311"/>
      <c r="E259" s="311"/>
      <c r="F259" s="311"/>
      <c r="G259" s="311"/>
      <c r="H259" s="311"/>
      <c r="I259" s="311"/>
      <c r="J259" s="311"/>
    </row>
    <row r="260" spans="4:10" s="301" customFormat="1" x14ac:dyDescent="0.25">
      <c r="D260" s="311"/>
      <c r="E260" s="311"/>
      <c r="F260" s="311"/>
      <c r="G260" s="311"/>
      <c r="H260" s="311"/>
      <c r="I260" s="311"/>
      <c r="J260" s="311"/>
    </row>
    <row r="261" spans="4:10" s="301" customFormat="1" x14ac:dyDescent="0.25">
      <c r="D261" s="311"/>
      <c r="E261" s="311"/>
      <c r="F261" s="311"/>
      <c r="G261" s="311"/>
      <c r="H261" s="311"/>
      <c r="I261" s="311"/>
      <c r="J261" s="311"/>
    </row>
    <row r="262" spans="4:10" s="301" customFormat="1" x14ac:dyDescent="0.25">
      <c r="D262" s="311"/>
      <c r="E262" s="311"/>
      <c r="F262" s="311"/>
      <c r="G262" s="311"/>
      <c r="H262" s="311"/>
      <c r="I262" s="311"/>
      <c r="J262" s="311"/>
    </row>
    <row r="263" spans="4:10" s="301" customFormat="1" x14ac:dyDescent="0.25">
      <c r="D263" s="311"/>
      <c r="E263" s="311"/>
      <c r="F263" s="311"/>
      <c r="G263" s="311"/>
      <c r="H263" s="311"/>
      <c r="I263" s="311"/>
      <c r="J263" s="311"/>
    </row>
    <row r="264" spans="4:10" s="301" customFormat="1" x14ac:dyDescent="0.25">
      <c r="D264" s="311"/>
      <c r="E264" s="311"/>
      <c r="F264" s="311"/>
      <c r="G264" s="311"/>
      <c r="H264" s="311"/>
      <c r="I264" s="311"/>
      <c r="J264" s="311"/>
    </row>
    <row r="265" spans="4:10" s="301" customFormat="1" x14ac:dyDescent="0.25">
      <c r="D265" s="311"/>
      <c r="E265" s="311"/>
      <c r="F265" s="311"/>
      <c r="G265" s="311"/>
      <c r="H265" s="311"/>
      <c r="I265" s="311"/>
      <c r="J265" s="311"/>
    </row>
    <row r="266" spans="4:10" s="301" customFormat="1" x14ac:dyDescent="0.25">
      <c r="D266" s="311"/>
      <c r="E266" s="311"/>
      <c r="F266" s="311"/>
      <c r="G266" s="311"/>
      <c r="H266" s="311"/>
      <c r="I266" s="311"/>
      <c r="J266" s="311"/>
    </row>
    <row r="267" spans="4:10" s="301" customFormat="1" x14ac:dyDescent="0.25">
      <c r="D267" s="311"/>
      <c r="E267" s="311"/>
      <c r="F267" s="311"/>
      <c r="G267" s="311"/>
      <c r="H267" s="311"/>
      <c r="I267" s="311"/>
      <c r="J267" s="311"/>
    </row>
    <row r="268" spans="4:10" s="301" customFormat="1" x14ac:dyDescent="0.25">
      <c r="D268" s="311"/>
      <c r="E268" s="311"/>
      <c r="F268" s="311"/>
      <c r="G268" s="311"/>
      <c r="H268" s="311"/>
      <c r="I268" s="311"/>
      <c r="J268" s="311"/>
    </row>
    <row r="269" spans="4:10" s="301" customFormat="1" x14ac:dyDescent="0.25">
      <c r="D269" s="311"/>
      <c r="E269" s="311"/>
      <c r="F269" s="311"/>
      <c r="G269" s="311"/>
      <c r="H269" s="311"/>
      <c r="I269" s="311"/>
      <c r="J269" s="311"/>
    </row>
    <row r="270" spans="4:10" s="301" customFormat="1" x14ac:dyDescent="0.25">
      <c r="D270" s="311"/>
      <c r="E270" s="311"/>
      <c r="F270" s="311"/>
      <c r="G270" s="311"/>
      <c r="H270" s="311"/>
      <c r="I270" s="311"/>
      <c r="J270" s="311"/>
    </row>
    <row r="271" spans="4:10" s="301" customFormat="1" x14ac:dyDescent="0.25">
      <c r="D271" s="311"/>
      <c r="E271" s="311"/>
      <c r="F271" s="311"/>
      <c r="G271" s="311"/>
      <c r="H271" s="311"/>
      <c r="I271" s="311"/>
      <c r="J271" s="311"/>
    </row>
    <row r="272" spans="4:10" s="301" customFormat="1" x14ac:dyDescent="0.25">
      <c r="D272" s="311"/>
      <c r="E272" s="311"/>
      <c r="F272" s="311"/>
      <c r="G272" s="311"/>
      <c r="H272" s="311"/>
      <c r="I272" s="311"/>
      <c r="J272" s="311"/>
    </row>
    <row r="273" spans="4:10" s="301" customFormat="1" x14ac:dyDescent="0.25">
      <c r="D273" s="311"/>
      <c r="E273" s="311"/>
      <c r="F273" s="311"/>
      <c r="G273" s="311"/>
      <c r="H273" s="311"/>
      <c r="I273" s="311"/>
      <c r="J273" s="311"/>
    </row>
    <row r="274" spans="4:10" s="301" customFormat="1" x14ac:dyDescent="0.25">
      <c r="D274" s="311"/>
      <c r="E274" s="311"/>
      <c r="F274" s="311"/>
      <c r="G274" s="311"/>
      <c r="H274" s="311"/>
      <c r="I274" s="311"/>
      <c r="J274" s="311"/>
    </row>
    <row r="275" spans="4:10" s="301" customFormat="1" x14ac:dyDescent="0.25">
      <c r="D275" s="311"/>
      <c r="E275" s="311"/>
      <c r="F275" s="311"/>
      <c r="G275" s="311"/>
      <c r="H275" s="311"/>
      <c r="I275" s="311"/>
      <c r="J275" s="311"/>
    </row>
    <row r="276" spans="4:10" s="301" customFormat="1" x14ac:dyDescent="0.25">
      <c r="D276" s="311"/>
      <c r="E276" s="311"/>
      <c r="F276" s="311"/>
      <c r="G276" s="311"/>
      <c r="H276" s="311"/>
      <c r="I276" s="311"/>
      <c r="J276" s="311"/>
    </row>
    <row r="277" spans="4:10" s="301" customFormat="1" x14ac:dyDescent="0.25">
      <c r="D277" s="311"/>
      <c r="E277" s="311"/>
      <c r="F277" s="311"/>
      <c r="G277" s="311"/>
      <c r="H277" s="311"/>
      <c r="I277" s="311"/>
      <c r="J277" s="311"/>
    </row>
    <row r="278" spans="4:10" s="301" customFormat="1" x14ac:dyDescent="0.25">
      <c r="D278" s="311"/>
      <c r="E278" s="311"/>
      <c r="F278" s="311"/>
      <c r="G278" s="311"/>
      <c r="H278" s="311"/>
      <c r="I278" s="311"/>
      <c r="J278" s="311"/>
    </row>
    <row r="279" spans="4:10" s="301" customFormat="1" x14ac:dyDescent="0.25">
      <c r="D279" s="311"/>
      <c r="E279" s="311"/>
      <c r="F279" s="311"/>
      <c r="G279" s="311"/>
      <c r="H279" s="311"/>
      <c r="I279" s="311"/>
      <c r="J279" s="311"/>
    </row>
    <row r="280" spans="4:10" s="301" customFormat="1" x14ac:dyDescent="0.25">
      <c r="D280" s="311"/>
      <c r="E280" s="311"/>
      <c r="F280" s="311"/>
      <c r="G280" s="311"/>
      <c r="H280" s="311"/>
      <c r="I280" s="311"/>
      <c r="J280" s="311"/>
    </row>
    <row r="281" spans="4:10" s="301" customFormat="1" x14ac:dyDescent="0.25">
      <c r="D281" s="311"/>
      <c r="E281" s="311"/>
      <c r="F281" s="311"/>
      <c r="G281" s="311"/>
      <c r="H281" s="311"/>
      <c r="I281" s="311"/>
      <c r="J281" s="311"/>
    </row>
    <row r="282" spans="4:10" s="301" customFormat="1" x14ac:dyDescent="0.25">
      <c r="D282" s="311"/>
      <c r="E282" s="311"/>
      <c r="F282" s="311"/>
      <c r="G282" s="311"/>
      <c r="H282" s="311"/>
      <c r="I282" s="311"/>
      <c r="J282" s="311"/>
    </row>
    <row r="283" spans="4:10" s="301" customFormat="1" x14ac:dyDescent="0.25">
      <c r="D283" s="311"/>
      <c r="E283" s="311"/>
      <c r="F283" s="311"/>
      <c r="G283" s="311"/>
      <c r="H283" s="311"/>
      <c r="I283" s="311"/>
      <c r="J283" s="311"/>
    </row>
    <row r="284" spans="4:10" s="301" customFormat="1" x14ac:dyDescent="0.25">
      <c r="D284" s="311"/>
      <c r="E284" s="311"/>
      <c r="F284" s="311"/>
      <c r="G284" s="311"/>
      <c r="H284" s="311"/>
      <c r="I284" s="311"/>
      <c r="J284" s="311"/>
    </row>
    <row r="285" spans="4:10" s="301" customFormat="1" x14ac:dyDescent="0.25">
      <c r="D285" s="311"/>
      <c r="E285" s="311"/>
      <c r="F285" s="311"/>
      <c r="G285" s="311"/>
      <c r="H285" s="311"/>
      <c r="I285" s="311"/>
      <c r="J285" s="311"/>
    </row>
    <row r="286" spans="4:10" s="301" customFormat="1" x14ac:dyDescent="0.25">
      <c r="D286" s="311"/>
      <c r="E286" s="311"/>
      <c r="F286" s="311"/>
      <c r="G286" s="311"/>
      <c r="H286" s="311"/>
      <c r="I286" s="311"/>
      <c r="J286" s="311"/>
    </row>
    <row r="287" spans="4:10" s="301" customFormat="1" x14ac:dyDescent="0.25">
      <c r="D287" s="311"/>
      <c r="E287" s="311"/>
      <c r="F287" s="311"/>
      <c r="G287" s="311"/>
      <c r="H287" s="311"/>
      <c r="I287" s="311"/>
      <c r="J287" s="311"/>
    </row>
    <row r="288" spans="4:10" s="301" customFormat="1" x14ac:dyDescent="0.25">
      <c r="D288" s="311"/>
      <c r="E288" s="311"/>
      <c r="F288" s="311"/>
      <c r="G288" s="269"/>
      <c r="H288" s="269"/>
      <c r="I288" s="269"/>
      <c r="J288" s="311"/>
    </row>
    <row r="289" spans="1:10" s="301" customFormat="1" x14ac:dyDescent="0.25">
      <c r="D289" s="311"/>
      <c r="E289" s="311"/>
      <c r="F289" s="311"/>
      <c r="G289" s="269"/>
      <c r="H289" s="269"/>
      <c r="I289" s="269"/>
      <c r="J289" s="311"/>
    </row>
    <row r="290" spans="1:10" s="301" customFormat="1" x14ac:dyDescent="0.25">
      <c r="D290" s="311"/>
      <c r="E290" s="311"/>
      <c r="F290" s="311"/>
      <c r="G290" s="269"/>
      <c r="H290" s="269"/>
      <c r="I290" s="269"/>
      <c r="J290" s="311"/>
    </row>
    <row r="291" spans="1:10" s="301" customFormat="1" x14ac:dyDescent="0.25">
      <c r="A291" s="276"/>
      <c r="B291" s="276"/>
      <c r="C291" s="276"/>
      <c r="D291" s="269"/>
      <c r="E291" s="311"/>
      <c r="F291" s="311"/>
      <c r="G291" s="269"/>
      <c r="H291" s="269"/>
      <c r="I291" s="269"/>
      <c r="J291" s="311"/>
    </row>
    <row r="292" spans="1:10" s="301" customFormat="1" x14ac:dyDescent="0.25">
      <c r="A292" s="276"/>
      <c r="B292" s="276"/>
      <c r="C292" s="276"/>
      <c r="D292" s="269"/>
      <c r="E292" s="311"/>
      <c r="F292" s="311"/>
      <c r="G292" s="269"/>
      <c r="H292" s="269"/>
      <c r="I292" s="269"/>
      <c r="J292" s="311"/>
    </row>
    <row r="293" spans="1:10" s="301" customFormat="1" x14ac:dyDescent="0.25">
      <c r="A293" s="276"/>
      <c r="B293" s="276"/>
      <c r="C293" s="276"/>
      <c r="D293" s="269"/>
      <c r="E293" s="311"/>
      <c r="F293" s="311"/>
      <c r="G293" s="269"/>
      <c r="H293" s="269"/>
      <c r="I293" s="269"/>
      <c r="J293" s="311"/>
    </row>
    <row r="294" spans="1:10" s="301" customFormat="1" x14ac:dyDescent="0.25">
      <c r="A294" s="276"/>
      <c r="B294" s="276"/>
      <c r="C294" s="276"/>
      <c r="D294" s="269"/>
      <c r="E294" s="311"/>
      <c r="F294" s="311"/>
      <c r="G294" s="269"/>
      <c r="H294" s="269"/>
      <c r="I294" s="269"/>
      <c r="J294" s="311"/>
    </row>
    <row r="295" spans="1:10" s="301" customFormat="1" x14ac:dyDescent="0.25">
      <c r="A295" s="276"/>
      <c r="B295" s="276"/>
      <c r="C295" s="276"/>
      <c r="D295" s="269"/>
      <c r="E295" s="311"/>
      <c r="F295" s="311"/>
      <c r="G295" s="269"/>
      <c r="H295" s="269"/>
      <c r="I295" s="269"/>
      <c r="J295" s="311"/>
    </row>
    <row r="296" spans="1:10" x14ac:dyDescent="0.25">
      <c r="E296" s="311"/>
      <c r="F296" s="311"/>
    </row>
  </sheetData>
  <mergeCells count="25">
    <mergeCell ref="A133:D139"/>
    <mergeCell ref="A129:D131"/>
    <mergeCell ref="A115:D120"/>
    <mergeCell ref="A125:D127"/>
    <mergeCell ref="G84:I86"/>
    <mergeCell ref="G93:I96"/>
    <mergeCell ref="G98:I99"/>
    <mergeCell ref="G101:I103"/>
    <mergeCell ref="A122:D123"/>
    <mergeCell ref="B7:D7"/>
    <mergeCell ref="G7:H7"/>
    <mergeCell ref="G141:I142"/>
    <mergeCell ref="G123:I128"/>
    <mergeCell ref="G130:I132"/>
    <mergeCell ref="G134:I139"/>
    <mergeCell ref="G73:I76"/>
    <mergeCell ref="G78:I82"/>
    <mergeCell ref="G105:I107"/>
    <mergeCell ref="G109:I112"/>
    <mergeCell ref="G114:I121"/>
    <mergeCell ref="G88:I91"/>
    <mergeCell ref="A73:D74"/>
    <mergeCell ref="A77:D105"/>
    <mergeCell ref="A106:D109"/>
    <mergeCell ref="A111:D113"/>
  </mergeCells>
  <pageMargins left="0.70866141732283472" right="0.70866141732283472" top="0.74803149606299213" bottom="0.74803149606299213" header="0.31496062992125984" footer="0.31496062992125984"/>
  <pageSetup paperSize="9" scale="56" orientation="landscape" r:id="rId1"/>
  <headerFooter>
    <oddHeader>&amp;CLincolnshire County Council</oddHeader>
    <oddFooter>&amp;C2017/18 Special Schools Budget Share Calculation
2017-18 Funding Summary</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X31"/>
  <sheetViews>
    <sheetView topLeftCell="Q1" zoomScale="85" zoomScaleNormal="85" workbookViewId="0">
      <selection activeCell="AO4" sqref="AO4"/>
    </sheetView>
  </sheetViews>
  <sheetFormatPr defaultColWidth="10.26953125" defaultRowHeight="12.5" x14ac:dyDescent="0.25"/>
  <cols>
    <col min="1" max="1" width="10.26953125" style="34"/>
    <col min="2" max="2" width="31.54296875" style="34" customWidth="1"/>
    <col min="3" max="3" width="6.1796875" style="34" customWidth="1"/>
    <col min="4" max="8" width="15.7265625" style="657" customWidth="1"/>
    <col min="9" max="10" width="15.7265625" style="34" customWidth="1"/>
    <col min="11" max="12" width="15.7265625" style="40" customWidth="1"/>
    <col min="13" max="13" width="15.7265625" style="657" customWidth="1"/>
    <col min="14" max="14" width="17.26953125" style="34" customWidth="1"/>
    <col min="15" max="15" width="10.26953125" style="657" customWidth="1"/>
    <col min="16" max="16" width="0.81640625" style="34" customWidth="1"/>
    <col min="17" max="21" width="10.26953125" style="34" customWidth="1"/>
    <col min="22" max="23" width="11.1796875" style="34" customWidth="1"/>
    <col min="24" max="24" width="10.26953125" style="34" customWidth="1"/>
    <col min="25" max="25" width="10.26953125" style="42" customWidth="1"/>
    <col min="26" max="26" width="11.81640625" style="657" bestFit="1" customWidth="1"/>
    <col min="27" max="27" width="10.26953125" style="657"/>
    <col min="28" max="29" width="10.26953125" style="34"/>
    <col min="30" max="30" width="9.54296875" style="657" customWidth="1"/>
    <col min="31" max="31" width="10.26953125" style="657"/>
    <col min="32" max="32" width="10.81640625" style="657" customWidth="1"/>
    <col min="33" max="37" width="10.81640625" style="677" customWidth="1"/>
    <col min="38" max="38" width="10.81640625" style="684" customWidth="1"/>
    <col min="39" max="39" width="11.54296875" style="34" bestFit="1" customWidth="1"/>
    <col min="40" max="40" width="11.26953125" style="34" bestFit="1" customWidth="1"/>
    <col min="41" max="48" width="10.26953125" style="34"/>
    <col min="49" max="49" width="11.26953125" style="34" bestFit="1" customWidth="1"/>
    <col min="50" max="16384" width="10.26953125" style="34"/>
  </cols>
  <sheetData>
    <row r="1" spans="1:50" ht="17.5" x14ac:dyDescent="0.35">
      <c r="B1" s="44" t="s">
        <v>614</v>
      </c>
      <c r="C1" s="33"/>
      <c r="Y1" s="80"/>
      <c r="AO1" s="574" t="s">
        <v>644</v>
      </c>
      <c r="AP1" s="574"/>
      <c r="AQ1" s="574"/>
    </row>
    <row r="2" spans="1:50" x14ac:dyDescent="0.25">
      <c r="B2" s="47"/>
      <c r="C2" s="47"/>
      <c r="O2" s="656"/>
      <c r="Q2" s="686"/>
      <c r="R2" s="686"/>
      <c r="S2" s="1977" t="s">
        <v>643</v>
      </c>
      <c r="AM2" s="47"/>
      <c r="AN2" s="47"/>
      <c r="AO2" s="797"/>
      <c r="AP2" s="797"/>
      <c r="AQ2" s="1889" t="s">
        <v>643</v>
      </c>
      <c r="AR2" s="52"/>
      <c r="AS2" s="52"/>
      <c r="AT2" s="52"/>
      <c r="AU2" s="52"/>
      <c r="AV2" s="52"/>
      <c r="AW2" s="52"/>
    </row>
    <row r="3" spans="1:50" ht="39" customHeight="1" x14ac:dyDescent="0.3">
      <c r="A3" s="184" t="s">
        <v>201</v>
      </c>
      <c r="B3" s="36" t="s">
        <v>66</v>
      </c>
      <c r="C3" s="39" t="s">
        <v>51</v>
      </c>
      <c r="D3" s="140" t="s">
        <v>20</v>
      </c>
      <c r="E3" s="141" t="s">
        <v>21</v>
      </c>
      <c r="F3" s="659" t="s">
        <v>64</v>
      </c>
      <c r="G3" s="659" t="s">
        <v>113</v>
      </c>
      <c r="H3" s="665" t="s">
        <v>449</v>
      </c>
      <c r="I3" s="665" t="s">
        <v>450</v>
      </c>
      <c r="J3" s="665" t="s">
        <v>400</v>
      </c>
      <c r="K3" s="157" t="s">
        <v>173</v>
      </c>
      <c r="L3" s="157" t="s">
        <v>194</v>
      </c>
      <c r="M3" s="659" t="s">
        <v>103</v>
      </c>
      <c r="N3" s="665" t="s">
        <v>297</v>
      </c>
      <c r="O3" s="540" t="s">
        <v>615</v>
      </c>
      <c r="Q3" s="687" t="s">
        <v>641</v>
      </c>
      <c r="R3" s="687" t="s">
        <v>642</v>
      </c>
      <c r="S3" s="1977"/>
      <c r="T3" s="688" t="s">
        <v>104</v>
      </c>
      <c r="U3" s="689" t="s">
        <v>645</v>
      </c>
      <c r="V3" s="689" t="s">
        <v>646</v>
      </c>
      <c r="W3" s="689" t="s">
        <v>647</v>
      </c>
      <c r="X3" s="689" t="s">
        <v>648</v>
      </c>
      <c r="Y3" s="665" t="s">
        <v>152</v>
      </c>
      <c r="Z3" s="664" t="s">
        <v>151</v>
      </c>
      <c r="AA3" s="664" t="s">
        <v>310</v>
      </c>
      <c r="AB3" s="664" t="s">
        <v>311</v>
      </c>
      <c r="AC3" s="664" t="s">
        <v>455</v>
      </c>
      <c r="AD3" s="665" t="s">
        <v>238</v>
      </c>
      <c r="AE3" s="695" t="s">
        <v>309</v>
      </c>
      <c r="AF3" s="691" t="s">
        <v>196</v>
      </c>
      <c r="AG3" s="693" t="s">
        <v>649</v>
      </c>
      <c r="AH3" s="693" t="s">
        <v>524</v>
      </c>
      <c r="AI3" s="692" t="s">
        <v>331</v>
      </c>
      <c r="AJ3" s="692" t="s">
        <v>650</v>
      </c>
      <c r="AK3" s="692" t="s">
        <v>651</v>
      </c>
      <c r="AL3" s="692" t="s">
        <v>654</v>
      </c>
      <c r="AM3" s="384"/>
      <c r="AN3" s="385"/>
      <c r="AO3" s="798" t="s">
        <v>641</v>
      </c>
      <c r="AP3" s="798" t="s">
        <v>642</v>
      </c>
      <c r="AQ3" s="1889"/>
      <c r="AR3" s="385"/>
      <c r="AS3" s="385"/>
      <c r="AT3" s="385"/>
      <c r="AU3" s="385"/>
      <c r="AV3" s="386"/>
      <c r="AW3" s="385"/>
    </row>
    <row r="4" spans="1:50" ht="13" x14ac:dyDescent="0.3">
      <c r="A4" s="185">
        <v>9257010</v>
      </c>
      <c r="B4" s="38" t="s">
        <v>67</v>
      </c>
      <c r="C4" s="337">
        <v>4</v>
      </c>
      <c r="D4" s="94">
        <f>'Funding Model'!$D$23</f>
        <v>405763.82046267512</v>
      </c>
      <c r="E4" s="94">
        <f>'Funding Model'!$E$23</f>
        <v>88790.687513148558</v>
      </c>
      <c r="F4" s="666"/>
      <c r="G4" s="666"/>
      <c r="H4" s="666">
        <f>VLOOKUP(A4,'Band Calculations 1718'!$A$107:$W$125,6,FALSE)</f>
        <v>0</v>
      </c>
      <c r="I4" s="666">
        <f>VLOOKUP(A4,'Band Calculations 1718'!$A$107:$W$125,13,FALSE)</f>
        <v>493411.48499001487</v>
      </c>
      <c r="J4" s="666">
        <f>VLOOKUP(A4,'Band Calculations 1718'!$A$107:$W$125,20,FALSE)</f>
        <v>9473.6245539100964</v>
      </c>
      <c r="K4" s="94">
        <f>VLOOKUP(A4,'FSM Calculation 1718'!$A$4:$D$21,4,FALSE)</f>
        <v>7144</v>
      </c>
      <c r="L4" s="94">
        <v>616.77824313180849</v>
      </c>
      <c r="M4" s="666">
        <f>SUM(D4:L4)</f>
        <v>1005200.3957628806</v>
      </c>
      <c r="N4" s="666">
        <f>M4-F4</f>
        <v>1005200.3957628806</v>
      </c>
      <c r="O4" s="137">
        <f>VLOOKUP(A4,'Band Calculations 1718'!$A$107:$W$125,22,FALSE)</f>
        <v>50.333333333333343</v>
      </c>
      <c r="Q4" s="724">
        <f>N4-D4-E4-L4</f>
        <v>510029.10954392515</v>
      </c>
      <c r="R4" s="724">
        <f>Q4/O4</f>
        <v>10133.028666435597</v>
      </c>
      <c r="S4" s="724">
        <f>VLOOKUP(A4,'2016-17 Funding Detail'!$A$2:$AD$23,30,FALSE)</f>
        <v>10178.37223696539</v>
      </c>
      <c r="T4" s="42">
        <f>R4-S4</f>
        <v>-45.343570529792487</v>
      </c>
      <c r="U4" s="724">
        <f>IF(T4&lt;0,((T4*O4)*-1),(0))</f>
        <v>2282.2930499995555</v>
      </c>
      <c r="V4" s="724">
        <f>N4+U4</f>
        <v>1007482.6888128801</v>
      </c>
      <c r="W4" s="42">
        <f>O4*10000</f>
        <v>503333.33333333343</v>
      </c>
      <c r="X4" s="42">
        <f>IF(W4&gt;V4,(W4-V4),(0))</f>
        <v>0</v>
      </c>
      <c r="Y4" s="664">
        <f>N4/O4</f>
        <v>19970.868789991</v>
      </c>
      <c r="Z4" s="664">
        <f t="shared" ref="Z4:Z15" si="0">O4*10000</f>
        <v>503333.33333333343</v>
      </c>
      <c r="AA4" s="664">
        <f t="shared" ref="AA4:AA15" si="1">Y4-10000</f>
        <v>9970.8687899910001</v>
      </c>
      <c r="AB4" s="669">
        <f>VLOOKUP(A4,'2016-17 Funding Detail'!$A$4:$AH$23,27,FALSE)</f>
        <v>8250.9278747794851</v>
      </c>
      <c r="AC4" s="94">
        <f>IF(AA4&gt;AB4,(AA4),(AB4))</f>
        <v>9970.8687899910001</v>
      </c>
      <c r="AD4" s="666">
        <f>10000+AC4</f>
        <v>19970.868789991</v>
      </c>
      <c r="AE4" s="726">
        <f>U4+X4</f>
        <v>2282.2930499995555</v>
      </c>
      <c r="AF4" s="727">
        <f>N4+AE4</f>
        <v>1007482.6888128801</v>
      </c>
      <c r="AG4" s="549">
        <v>1005200.3957628806</v>
      </c>
      <c r="AH4" s="549">
        <f>AF4-AG4</f>
        <v>2282.2930499995127</v>
      </c>
      <c r="AI4" s="387">
        <f>O4*10000</f>
        <v>503333.33333333343</v>
      </c>
      <c r="AJ4" s="387">
        <f>AF4-AI4</f>
        <v>504149.35547954665</v>
      </c>
      <c r="AK4" s="696">
        <f>AJ4/O4</f>
        <v>10016.212360520793</v>
      </c>
      <c r="AL4" s="696">
        <f>AF4/O4</f>
        <v>20016.212360520793</v>
      </c>
      <c r="AM4" s="609" t="s">
        <v>556</v>
      </c>
      <c r="AN4" s="633" t="s">
        <v>402</v>
      </c>
      <c r="AO4" s="723">
        <f>AF4-'1819 Funding Detail'!D4-'1819 Funding Detail'!E4-'1819 Funding Detail'!L4</f>
        <v>562482.68881288008</v>
      </c>
      <c r="AP4" s="725">
        <f>AO4/O4</f>
        <v>11175.152757871787</v>
      </c>
      <c r="AQ4" s="723">
        <f>AP4*98.5%</f>
        <v>11007.52546650371</v>
      </c>
      <c r="AR4" s="73"/>
      <c r="AS4" s="73"/>
      <c r="AT4" s="73"/>
      <c r="AU4" s="73"/>
      <c r="AV4" s="387"/>
      <c r="AW4" s="73"/>
      <c r="AX4" s="125"/>
    </row>
    <row r="5" spans="1:50" ht="13" x14ac:dyDescent="0.3">
      <c r="A5" s="185">
        <v>9257005</v>
      </c>
      <c r="B5" s="38" t="s">
        <v>68</v>
      </c>
      <c r="C5" s="335">
        <v>4</v>
      </c>
      <c r="D5" s="94">
        <f>'Funding Model'!$D$23</f>
        <v>405763.82046267512</v>
      </c>
      <c r="E5" s="94">
        <f>'Funding Model'!$E$23</f>
        <v>88790.687513148558</v>
      </c>
      <c r="F5" s="666"/>
      <c r="G5" s="666"/>
      <c r="H5" s="666">
        <f>VLOOKUP(A5,'Band Calculations 1718'!$A$107:$W$125,6,FALSE)</f>
        <v>0</v>
      </c>
      <c r="I5" s="666">
        <f>VLOOKUP(A5,'Band Calculations 1718'!$A$107:$W$125,13,FALSE)</f>
        <v>688244.90633244964</v>
      </c>
      <c r="J5" s="666">
        <f>VLOOKUP(A5,'Band Calculations 1718'!$A$107:$W$125,20,FALSE)</f>
        <v>38832.284682461737</v>
      </c>
      <c r="K5" s="94">
        <f>VLOOKUP(A5,'FSM Calculation 1718'!$A$4:$D$21,4,FALSE)</f>
        <v>7590.5</v>
      </c>
      <c r="L5" s="94">
        <v>675.74486784427756</v>
      </c>
      <c r="M5" s="666">
        <f t="shared" ref="M5:M15" si="2">SUM(D5:L5)</f>
        <v>1229897.9438585793</v>
      </c>
      <c r="N5" s="666">
        <f t="shared" ref="N5:N15" si="3">M5-F5</f>
        <v>1229897.9438585793</v>
      </c>
      <c r="O5" s="137">
        <f>VLOOKUP(A5,'Band Calculations 1718'!$A$107:$W$125,22,FALSE)</f>
        <v>74.666666666666657</v>
      </c>
      <c r="Q5" s="724">
        <f t="shared" ref="Q5:Q23" si="4">N5-D5-E5-L5</f>
        <v>734667.6910149114</v>
      </c>
      <c r="R5" s="724">
        <f t="shared" ref="R5:R23" si="5">Q5/O5</f>
        <v>9839.299433235421</v>
      </c>
      <c r="S5" s="724">
        <f>VLOOKUP(A5,'2016-17 Funding Detail'!$A$2:$AD$23,30,FALSE)</f>
        <v>9731.8455727065739</v>
      </c>
      <c r="T5" s="42">
        <f t="shared" ref="T5:T23" si="6">R5-S5</f>
        <v>107.45386052884714</v>
      </c>
      <c r="U5" s="724">
        <f>IF(T5&lt;0,((T5*O5)*-1),(0))</f>
        <v>0</v>
      </c>
      <c r="V5" s="724">
        <f t="shared" ref="V5:V23" si="7">N5+U5</f>
        <v>1229897.9438585793</v>
      </c>
      <c r="W5" s="42">
        <f t="shared" ref="W5:W23" si="8">O5*10000</f>
        <v>746666.66666666663</v>
      </c>
      <c r="X5" s="42">
        <f t="shared" ref="X5:X23" si="9">IF(W5&gt;V5,(W5-V5),(0))</f>
        <v>0</v>
      </c>
      <c r="Y5" s="664">
        <f t="shared" ref="Y5:Y23" si="10">N5/O5</f>
        <v>16471.847462391688</v>
      </c>
      <c r="Z5" s="664">
        <f t="shared" si="0"/>
        <v>746666.66666666663</v>
      </c>
      <c r="AA5" s="664">
        <f t="shared" si="1"/>
        <v>6471.8474623916882</v>
      </c>
      <c r="AB5" s="669">
        <f>VLOOKUP(A5,'2016-17 Funding Detail'!$A$4:$AH$23,27,FALSE)</f>
        <v>6214.2615069393032</v>
      </c>
      <c r="AC5" s="666">
        <f>IF(AA5&gt;AB5,(AA5),(AB5))</f>
        <v>6471.8474623916882</v>
      </c>
      <c r="AD5" s="666">
        <f t="shared" ref="AD5:AD23" si="11">10000+AC5</f>
        <v>16471.847462391688</v>
      </c>
      <c r="AE5" s="726">
        <f t="shared" ref="AE5:AE23" si="12">U5+X5</f>
        <v>0</v>
      </c>
      <c r="AF5" s="727">
        <f t="shared" ref="AF5:AF23" si="13">N5+AE5</f>
        <v>1229897.9438585793</v>
      </c>
      <c r="AG5" s="549">
        <v>1229897.9438585793</v>
      </c>
      <c r="AH5" s="549">
        <f t="shared" ref="AH5:AH23" si="14">AF5-AG5</f>
        <v>0</v>
      </c>
      <c r="AI5" s="387">
        <f t="shared" ref="AI5:AI23" si="15">O5*10000</f>
        <v>746666.66666666663</v>
      </c>
      <c r="AJ5" s="387">
        <f t="shared" ref="AJ5:AJ23" si="16">AF5-AI5</f>
        <v>483231.27719191264</v>
      </c>
      <c r="AK5" s="696">
        <f>AJ5/O5</f>
        <v>6471.8474623916882</v>
      </c>
      <c r="AL5" s="696">
        <f t="shared" ref="AL5:AL23" si="17">AF5/O5</f>
        <v>16471.847462391688</v>
      </c>
      <c r="AM5" s="609" t="s">
        <v>556</v>
      </c>
      <c r="AN5" s="633" t="s">
        <v>402</v>
      </c>
      <c r="AO5" s="723">
        <f>AF5-'1819 Funding Detail'!D5-'1819 Funding Detail'!E5-'1819 Funding Detail'!L5</f>
        <v>784897.94385857927</v>
      </c>
      <c r="AP5" s="725">
        <f>AO5/O5</f>
        <v>10512.026033820259</v>
      </c>
      <c r="AQ5" s="723">
        <f t="shared" ref="AQ5:AQ23" si="18">AP5*98.5%</f>
        <v>10354.345643312954</v>
      </c>
      <c r="AR5" s="73"/>
      <c r="AS5" s="73"/>
      <c r="AT5" s="73"/>
      <c r="AU5" s="73"/>
      <c r="AV5" s="387"/>
      <c r="AW5" s="73"/>
      <c r="AX5" s="125"/>
    </row>
    <row r="6" spans="1:50" ht="13" x14ac:dyDescent="0.3">
      <c r="A6" s="185">
        <v>9257025</v>
      </c>
      <c r="B6" s="38" t="s">
        <v>69</v>
      </c>
      <c r="C6" s="667">
        <v>4</v>
      </c>
      <c r="D6" s="94">
        <f>'Funding Model'!D23</f>
        <v>405763.82046267512</v>
      </c>
      <c r="E6" s="94">
        <f>'Funding Model'!E23</f>
        <v>88790.687513148558</v>
      </c>
      <c r="F6" s="666"/>
      <c r="G6" s="666"/>
      <c r="H6" s="666">
        <f>VLOOKUP(A6,'Band Calculations 1718'!$A$107:$W$125,6,FALSE)</f>
        <v>0</v>
      </c>
      <c r="I6" s="666">
        <f>VLOOKUP(A6,'Band Calculations 1718'!$A$107:$W$125,13,FALSE)</f>
        <v>602027.35712217353</v>
      </c>
      <c r="J6" s="666">
        <f>VLOOKUP(A6,'Band Calculations 1718'!$A$107:$W$125,20,FALSE)</f>
        <v>34363.344642691009</v>
      </c>
      <c r="K6" s="94">
        <f>VLOOKUP(A6,'FSM Calculation 1718'!$A$4:$D$21,4,FALSE)</f>
        <v>8930</v>
      </c>
      <c r="L6" s="94">
        <v>646.26155548804309</v>
      </c>
      <c r="M6" s="666">
        <f t="shared" si="2"/>
        <v>1140521.4712961763</v>
      </c>
      <c r="N6" s="666">
        <f t="shared" si="3"/>
        <v>1140521.4712961763</v>
      </c>
      <c r="O6" s="137">
        <f>VLOOKUP(A6,'Band Calculations 1718'!$A$107:$W$125,22,FALSE)</f>
        <v>62.833333333333336</v>
      </c>
      <c r="Q6" s="724">
        <f t="shared" si="4"/>
        <v>645320.70176486473</v>
      </c>
      <c r="R6" s="724">
        <f t="shared" si="5"/>
        <v>10270.355996257793</v>
      </c>
      <c r="S6" s="724">
        <f>VLOOKUP(A6,'2016-17 Funding Detail'!$A$2:$AD$23,30,FALSE)</f>
        <v>10269.108423540323</v>
      </c>
      <c r="T6" s="42">
        <f t="shared" si="6"/>
        <v>1.2475727174696658</v>
      </c>
      <c r="U6" s="724">
        <f t="shared" ref="U6:U23" si="19">IF(T6&lt;0,((T6*O6)*-1),(0))</f>
        <v>0</v>
      </c>
      <c r="V6" s="724">
        <f t="shared" si="7"/>
        <v>1140521.4712961763</v>
      </c>
      <c r="W6" s="42">
        <f t="shared" si="8"/>
        <v>628333.33333333337</v>
      </c>
      <c r="X6" s="42">
        <f t="shared" si="9"/>
        <v>0</v>
      </c>
      <c r="Y6" s="664">
        <f t="shared" si="10"/>
        <v>18151.535352193787</v>
      </c>
      <c r="Z6" s="664">
        <f t="shared" si="0"/>
        <v>628333.33333333337</v>
      </c>
      <c r="AA6" s="664">
        <f t="shared" si="1"/>
        <v>8151.5353521937868</v>
      </c>
      <c r="AB6" s="669">
        <f>VLOOKUP(A6,'2016-17 Funding Detail'!$A$4:$AH$23,27,FALSE)</f>
        <v>8136.410971739384</v>
      </c>
      <c r="AC6" s="666">
        <f t="shared" ref="AC6:AC23" si="20">IF(AA6&gt;AB6,(AA6),(AB6))</f>
        <v>8151.5353521937868</v>
      </c>
      <c r="AD6" s="666">
        <f t="shared" si="11"/>
        <v>18151.535352193787</v>
      </c>
      <c r="AE6" s="726">
        <f t="shared" si="12"/>
        <v>0</v>
      </c>
      <c r="AF6" s="727">
        <f t="shared" si="13"/>
        <v>1140521.4712961763</v>
      </c>
      <c r="AG6" s="549">
        <v>1140521.4712961763</v>
      </c>
      <c r="AH6" s="549">
        <f t="shared" si="14"/>
        <v>0</v>
      </c>
      <c r="AI6" s="387">
        <f t="shared" si="15"/>
        <v>628333.33333333337</v>
      </c>
      <c r="AJ6" s="387">
        <f t="shared" si="16"/>
        <v>512188.13796284294</v>
      </c>
      <c r="AK6" s="387">
        <f t="shared" ref="AK6:AK23" si="21">AJ6/O6</f>
        <v>8151.5353521937868</v>
      </c>
      <c r="AL6" s="696">
        <f t="shared" si="17"/>
        <v>18151.535352193787</v>
      </c>
      <c r="AM6" s="609" t="s">
        <v>556</v>
      </c>
      <c r="AN6" s="633" t="s">
        <v>402</v>
      </c>
      <c r="AO6" s="723">
        <f>AF6-'1819 Funding Detail'!D6-'1819 Funding Detail'!E6-'1819 Funding Detail'!L6</f>
        <v>695521.47129617631</v>
      </c>
      <c r="AP6" s="725">
        <f t="shared" ref="AP6:AP23" si="22">AO6/O6</f>
        <v>11069.307235482911</v>
      </c>
      <c r="AQ6" s="723">
        <f t="shared" si="18"/>
        <v>10903.267626950666</v>
      </c>
      <c r="AR6" s="73"/>
      <c r="AS6" s="73"/>
      <c r="AT6" s="73"/>
      <c r="AU6" s="73"/>
      <c r="AV6" s="387"/>
      <c r="AW6" s="73"/>
      <c r="AX6" s="125"/>
    </row>
    <row r="7" spans="1:50" ht="13" x14ac:dyDescent="0.3">
      <c r="A7" s="185">
        <v>9257011</v>
      </c>
      <c r="B7" s="38" t="s">
        <v>70</v>
      </c>
      <c r="C7" s="335">
        <v>4</v>
      </c>
      <c r="D7" s="94">
        <f>'Funding Model'!$D$23</f>
        <v>405763.82046267512</v>
      </c>
      <c r="E7" s="94">
        <f>'Funding Model'!$E$23</f>
        <v>88790.687513148558</v>
      </c>
      <c r="F7" s="666"/>
      <c r="G7" s="666"/>
      <c r="H7" s="666">
        <f>VLOOKUP(A7,'Band Calculations 1718'!$A$107:$W$125,6,FALSE)</f>
        <v>0</v>
      </c>
      <c r="I7" s="666">
        <f>VLOOKUP(A7,'Band Calculations 1718'!$A$107:$W$125,13,FALSE)</f>
        <v>530731.14980334253</v>
      </c>
      <c r="J7" s="666">
        <f>VLOOKUP(A7,'Band Calculations 1718'!$A$107:$W$125,20,FALSE)</f>
        <v>22066.086212617378</v>
      </c>
      <c r="K7" s="94">
        <f>VLOOKUP(A7,'FSM Calculation 1718'!$A$4:$D$21,4,FALSE)</f>
        <v>6697.5</v>
      </c>
      <c r="L7" s="94">
        <v>610.88158066056155</v>
      </c>
      <c r="M7" s="666">
        <f t="shared" si="2"/>
        <v>1054660.1255724442</v>
      </c>
      <c r="N7" s="666">
        <f t="shared" si="3"/>
        <v>1054660.1255724442</v>
      </c>
      <c r="O7" s="137">
        <f>VLOOKUP(A7,'Band Calculations 1718'!$A$107:$W$125,22,FALSE)</f>
        <v>53.833333333333329</v>
      </c>
      <c r="Q7" s="724">
        <f t="shared" si="4"/>
        <v>559494.73601595999</v>
      </c>
      <c r="R7" s="724">
        <f t="shared" si="5"/>
        <v>10393.091071503901</v>
      </c>
      <c r="S7" s="724">
        <f>VLOOKUP(A7,'2016-17 Funding Detail'!$A$2:$AD$23,30,FALSE)</f>
        <v>10224.790960674309</v>
      </c>
      <c r="T7" s="42">
        <f t="shared" si="6"/>
        <v>168.30011082959209</v>
      </c>
      <c r="U7" s="724">
        <f t="shared" si="19"/>
        <v>0</v>
      </c>
      <c r="V7" s="724">
        <f t="shared" si="7"/>
        <v>1054660.1255724442</v>
      </c>
      <c r="W7" s="42">
        <f t="shared" si="8"/>
        <v>538333.33333333326</v>
      </c>
      <c r="X7" s="42">
        <f t="shared" si="9"/>
        <v>0</v>
      </c>
      <c r="Y7" s="664">
        <f>N7/O7</f>
        <v>19591.209762955619</v>
      </c>
      <c r="Z7" s="664">
        <f t="shared" si="0"/>
        <v>538333.33333333326</v>
      </c>
      <c r="AA7" s="664">
        <f t="shared" si="1"/>
        <v>9591.2097629556192</v>
      </c>
      <c r="AB7" s="333">
        <f>VLOOKUP(A7,'2016-17 Funding Detail'!$A$4:$AH$23,27,FALSE)</f>
        <v>10403.669055557169</v>
      </c>
      <c r="AC7" s="666">
        <f t="shared" si="20"/>
        <v>10403.669055557169</v>
      </c>
      <c r="AD7" s="666">
        <f t="shared" si="11"/>
        <v>20403.669055557169</v>
      </c>
      <c r="AE7" s="726">
        <f t="shared" si="12"/>
        <v>0</v>
      </c>
      <c r="AF7" s="727">
        <f t="shared" si="13"/>
        <v>1054660.1255724442</v>
      </c>
      <c r="AG7" s="549">
        <v>1098397.5174908277</v>
      </c>
      <c r="AH7" s="549">
        <f t="shared" si="14"/>
        <v>-43737.391918383539</v>
      </c>
      <c r="AI7" s="387">
        <f t="shared" si="15"/>
        <v>538333.33333333326</v>
      </c>
      <c r="AJ7" s="387">
        <f t="shared" si="16"/>
        <v>516326.79223911092</v>
      </c>
      <c r="AK7" s="387">
        <f t="shared" si="21"/>
        <v>9591.209762955621</v>
      </c>
      <c r="AL7" s="696">
        <f t="shared" si="17"/>
        <v>19591.209762955619</v>
      </c>
      <c r="AM7" s="609" t="s">
        <v>556</v>
      </c>
      <c r="AN7" s="633" t="s">
        <v>402</v>
      </c>
      <c r="AO7" s="723">
        <f>AF7-'1819 Funding Detail'!D7-'1819 Funding Detail'!E7-'1819 Funding Detail'!L7</f>
        <v>637160.12557244417</v>
      </c>
      <c r="AP7" s="725">
        <f t="shared" si="22"/>
        <v>11835.791806299274</v>
      </c>
      <c r="AQ7" s="723">
        <f t="shared" si="18"/>
        <v>11658.254929204784</v>
      </c>
      <c r="AR7" s="73"/>
      <c r="AS7" s="73"/>
      <c r="AT7" s="73"/>
      <c r="AU7" s="73"/>
      <c r="AV7" s="387"/>
      <c r="AW7" s="73"/>
      <c r="AX7" s="125"/>
    </row>
    <row r="8" spans="1:50" ht="13" x14ac:dyDescent="0.3">
      <c r="A8" s="185">
        <v>9257024</v>
      </c>
      <c r="B8" s="38" t="s">
        <v>71</v>
      </c>
      <c r="C8" s="335">
        <v>3</v>
      </c>
      <c r="D8" s="94">
        <f>'Funding Model'!$D$22</f>
        <v>314686.51772419503</v>
      </c>
      <c r="E8" s="94">
        <f>'Funding Model'!$E$22</f>
        <v>69201.680689977453</v>
      </c>
      <c r="F8" s="666"/>
      <c r="G8" s="666"/>
      <c r="H8" s="666">
        <f>VLOOKUP(A8,'Band Calculations 1718'!$A$107:$W$125,6,FALSE)</f>
        <v>0</v>
      </c>
      <c r="I8" s="666">
        <f>VLOOKUP(A8,'Band Calculations 1718'!$A$107:$W$125,13,FALSE)</f>
        <v>587612.50944303407</v>
      </c>
      <c r="J8" s="666">
        <f>VLOOKUP(A8,'Band Calculations 1718'!$A$107:$W$125,20,FALSE)</f>
        <v>9234.6451024899688</v>
      </c>
      <c r="K8" s="94">
        <f>VLOOKUP(A8,'FSM Calculation 1718'!$A$4:$D$21,4,FALSE)</f>
        <v>9376.5</v>
      </c>
      <c r="L8" s="94">
        <v>628.57156807430238</v>
      </c>
      <c r="M8" s="666">
        <f t="shared" si="2"/>
        <v>990740.42452777084</v>
      </c>
      <c r="N8" s="666">
        <f t="shared" si="3"/>
        <v>990740.42452777084</v>
      </c>
      <c r="O8" s="137">
        <f>VLOOKUP(A8,'Band Calculations 1718'!$A$107:$W$125,22,FALSE)</f>
        <v>64.25</v>
      </c>
      <c r="Q8" s="724">
        <f t="shared" si="4"/>
        <v>606223.65454552404</v>
      </c>
      <c r="R8" s="724">
        <f t="shared" si="5"/>
        <v>9435.3876193855886</v>
      </c>
      <c r="S8" s="724">
        <f>VLOOKUP(A8,'2016-17 Funding Detail'!$A$2:$AD$23,30,FALSE)</f>
        <v>9576.7857169851904</v>
      </c>
      <c r="T8" s="42">
        <f t="shared" si="6"/>
        <v>-141.3980975996019</v>
      </c>
      <c r="U8" s="724">
        <f t="shared" si="19"/>
        <v>9084.8277707744219</v>
      </c>
      <c r="V8" s="724">
        <f t="shared" si="7"/>
        <v>999825.25229854521</v>
      </c>
      <c r="W8" s="42">
        <f t="shared" si="8"/>
        <v>642500</v>
      </c>
      <c r="X8" s="42">
        <f t="shared" si="9"/>
        <v>0</v>
      </c>
      <c r="Y8" s="664">
        <f t="shared" si="10"/>
        <v>15420.084428447795</v>
      </c>
      <c r="Z8" s="664">
        <f t="shared" si="0"/>
        <v>642500</v>
      </c>
      <c r="AA8" s="664">
        <f t="shared" si="1"/>
        <v>5420.0844284477953</v>
      </c>
      <c r="AB8" s="333">
        <f>VLOOKUP(A8,'2016-17 Funding Detail'!$A$4:$AH$23,27,FALSE)</f>
        <v>6154.1926941055335</v>
      </c>
      <c r="AC8" s="666">
        <f t="shared" si="20"/>
        <v>6154.1926941055335</v>
      </c>
      <c r="AD8" s="666">
        <f t="shared" si="11"/>
        <v>16154.192694105534</v>
      </c>
      <c r="AE8" s="726">
        <f t="shared" si="12"/>
        <v>9084.8277707744219</v>
      </c>
      <c r="AF8" s="727">
        <f t="shared" si="13"/>
        <v>999825.25229854521</v>
      </c>
      <c r="AG8" s="549">
        <v>1037906.8805962806</v>
      </c>
      <c r="AH8" s="549">
        <f t="shared" si="14"/>
        <v>-38081.628297735355</v>
      </c>
      <c r="AI8" s="387">
        <f t="shared" si="15"/>
        <v>642500</v>
      </c>
      <c r="AJ8" s="387">
        <f t="shared" si="16"/>
        <v>357325.25229854521</v>
      </c>
      <c r="AK8" s="387">
        <f t="shared" si="21"/>
        <v>5561.4825260473963</v>
      </c>
      <c r="AL8" s="696">
        <f t="shared" si="17"/>
        <v>15561.482526047395</v>
      </c>
      <c r="AM8" s="609" t="s">
        <v>556</v>
      </c>
      <c r="AN8" s="633" t="s">
        <v>402</v>
      </c>
      <c r="AO8" s="723">
        <f>AF8-'1819 Funding Detail'!D8-'1819 Funding Detail'!E8-'1819 Funding Detail'!L8</f>
        <v>554825.25229854521</v>
      </c>
      <c r="AP8" s="725">
        <f t="shared" si="22"/>
        <v>8635.4124871368913</v>
      </c>
      <c r="AQ8" s="723">
        <f t="shared" si="18"/>
        <v>8505.8812998298381</v>
      </c>
      <c r="AR8" s="73"/>
      <c r="AS8" s="73"/>
      <c r="AT8" s="73"/>
      <c r="AU8" s="73"/>
      <c r="AV8" s="387"/>
      <c r="AW8" s="73"/>
      <c r="AX8" s="125"/>
    </row>
    <row r="9" spans="1:50" ht="13" x14ac:dyDescent="0.3">
      <c r="A9" s="185">
        <v>9257008</v>
      </c>
      <c r="B9" s="38" t="s">
        <v>73</v>
      </c>
      <c r="C9" s="667">
        <v>4</v>
      </c>
      <c r="D9" s="94">
        <f>'Funding Model'!$D$23</f>
        <v>405763.82046267512</v>
      </c>
      <c r="E9" s="94">
        <f>'Funding Model'!$E$23</f>
        <v>88790.687513148558</v>
      </c>
      <c r="F9" s="666"/>
      <c r="G9" s="666"/>
      <c r="H9" s="666">
        <f>VLOOKUP(A9,'Band Calculations 1718'!$A$107:$W$125,6,FALSE)</f>
        <v>0</v>
      </c>
      <c r="I9" s="666">
        <f>VLOOKUP(A9,'Band Calculations 1718'!$A$107:$W$125,13,FALSE)</f>
        <v>720124.09819319728</v>
      </c>
      <c r="J9" s="666">
        <f>VLOOKUP(A9,'Band Calculations 1718'!$A$107:$W$125,20,FALSE)</f>
        <v>66961.216948244939</v>
      </c>
      <c r="K9" s="94">
        <f>VLOOKUP(A9,'FSM Calculation 1718'!$A$4:$D$21,4,FALSE)</f>
        <v>11609</v>
      </c>
      <c r="L9" s="94">
        <v>737.65982379237016</v>
      </c>
      <c r="M9" s="666">
        <f t="shared" si="2"/>
        <v>1293986.4829410582</v>
      </c>
      <c r="N9" s="666">
        <f t="shared" si="3"/>
        <v>1293986.4829410582</v>
      </c>
      <c r="O9" s="137">
        <f>VLOOKUP(A9,'Band Calculations 1718'!$A$107:$W$125,22,FALSE)</f>
        <v>90</v>
      </c>
      <c r="Q9" s="724">
        <f t="shared" si="4"/>
        <v>798694.31514144223</v>
      </c>
      <c r="R9" s="724">
        <f t="shared" si="5"/>
        <v>8874.381279349358</v>
      </c>
      <c r="S9" s="724">
        <f>VLOOKUP(A9,'2016-17 Funding Detail'!$A$2:$AD$23,30,FALSE)</f>
        <v>8809.679282381343</v>
      </c>
      <c r="T9" s="42">
        <f t="shared" si="6"/>
        <v>64.70199696801501</v>
      </c>
      <c r="U9" s="724">
        <f t="shared" si="19"/>
        <v>0</v>
      </c>
      <c r="V9" s="724">
        <f t="shared" si="7"/>
        <v>1293986.4829410582</v>
      </c>
      <c r="W9" s="42">
        <f t="shared" si="8"/>
        <v>900000</v>
      </c>
      <c r="X9" s="42">
        <f t="shared" si="9"/>
        <v>0</v>
      </c>
      <c r="Y9" s="664">
        <f t="shared" si="10"/>
        <v>14377.62758823398</v>
      </c>
      <c r="Z9" s="664">
        <f t="shared" si="0"/>
        <v>900000</v>
      </c>
      <c r="AA9" s="664">
        <f t="shared" si="1"/>
        <v>4377.6275882339796</v>
      </c>
      <c r="AB9" s="669">
        <f>VLOOKUP(A9,'2016-17 Funding Detail'!$A$4:$AH$23,27,FALSE)</f>
        <v>4230.3768966326952</v>
      </c>
      <c r="AC9" s="666">
        <f t="shared" si="20"/>
        <v>4377.6275882339796</v>
      </c>
      <c r="AD9" s="666">
        <f t="shared" si="11"/>
        <v>14377.62758823398</v>
      </c>
      <c r="AE9" s="726">
        <f t="shared" si="12"/>
        <v>0</v>
      </c>
      <c r="AF9" s="727">
        <f t="shared" si="13"/>
        <v>1293986.4829410582</v>
      </c>
      <c r="AG9" s="549">
        <v>1293986.4829410582</v>
      </c>
      <c r="AH9" s="549">
        <f t="shared" si="14"/>
        <v>0</v>
      </c>
      <c r="AI9" s="387">
        <f t="shared" si="15"/>
        <v>900000</v>
      </c>
      <c r="AJ9" s="387">
        <f t="shared" si="16"/>
        <v>393986.48294105823</v>
      </c>
      <c r="AK9" s="387">
        <f t="shared" si="21"/>
        <v>4377.6275882339805</v>
      </c>
      <c r="AL9" s="696">
        <f t="shared" si="17"/>
        <v>14377.62758823398</v>
      </c>
      <c r="AM9" s="609" t="s">
        <v>556</v>
      </c>
      <c r="AN9" s="633" t="s">
        <v>402</v>
      </c>
      <c r="AO9" s="723">
        <f>AF9-'1819 Funding Detail'!D9-'1819 Funding Detail'!E9-'1819 Funding Detail'!L9</f>
        <v>848986.48294105823</v>
      </c>
      <c r="AP9" s="725">
        <f t="shared" si="22"/>
        <v>9433.1831437895362</v>
      </c>
      <c r="AQ9" s="723">
        <f t="shared" si="18"/>
        <v>9291.6853966326926</v>
      </c>
      <c r="AR9" s="73"/>
      <c r="AS9" s="73"/>
      <c r="AT9" s="73"/>
      <c r="AU9" s="73"/>
      <c r="AV9" s="387"/>
      <c r="AW9" s="73"/>
      <c r="AX9" s="125"/>
    </row>
    <row r="10" spans="1:50" ht="13" x14ac:dyDescent="0.3">
      <c r="A10" s="185">
        <v>9257002</v>
      </c>
      <c r="B10" s="38" t="s">
        <v>75</v>
      </c>
      <c r="C10" s="335">
        <v>5</v>
      </c>
      <c r="D10" s="94">
        <f>'Funding Model'!$D$24</f>
        <v>418723.18610831723</v>
      </c>
      <c r="E10" s="94">
        <f>'Funding Model'!$E$24</f>
        <v>117027.3922528728</v>
      </c>
      <c r="F10" s="666"/>
      <c r="G10" s="666"/>
      <c r="H10" s="666">
        <f>VLOOKUP(A10,'Band Calculations 1718'!$A$107:$W$125,6,FALSE)</f>
        <v>0</v>
      </c>
      <c r="I10" s="666">
        <f>VLOOKUP(A10,'Band Calculations 1718'!$A$107:$W$125,13,FALSE)</f>
        <v>976433.22249772085</v>
      </c>
      <c r="J10" s="666">
        <f>VLOOKUP(A10,'Band Calculations 1718'!$A$107:$W$125,20,FALSE)</f>
        <v>32862.442477714241</v>
      </c>
      <c r="K10" s="94">
        <f>VLOOKUP(A10,'FSM Calculation 1718'!$A$4:$D$21,4,FALSE)</f>
        <v>22771.5</v>
      </c>
      <c r="L10" s="94">
        <v>873.28306063104901</v>
      </c>
      <c r="M10" s="666">
        <f t="shared" si="2"/>
        <v>1568691.0263972562</v>
      </c>
      <c r="N10" s="666">
        <f t="shared" si="3"/>
        <v>1568691.0263972562</v>
      </c>
      <c r="O10" s="137">
        <f>VLOOKUP(A10,'Band Calculations 1718'!$A$107:$W$125,22,FALSE)</f>
        <v>134.91666666666669</v>
      </c>
      <c r="Q10" s="724">
        <f t="shared" si="4"/>
        <v>1032067.1649754351</v>
      </c>
      <c r="R10" s="724">
        <f t="shared" si="5"/>
        <v>7649.6639775819767</v>
      </c>
      <c r="S10" s="724">
        <f>VLOOKUP(A10,'2016-17 Funding Detail'!$A$2:$AD$23,30,FALSE)</f>
        <v>7514.3811266398034</v>
      </c>
      <c r="T10" s="42">
        <f t="shared" si="6"/>
        <v>135.28285094217335</v>
      </c>
      <c r="U10" s="724">
        <f t="shared" si="19"/>
        <v>0</v>
      </c>
      <c r="V10" s="724">
        <f t="shared" si="7"/>
        <v>1568691.0263972562</v>
      </c>
      <c r="W10" s="42">
        <f t="shared" si="8"/>
        <v>1349166.6666666667</v>
      </c>
      <c r="X10" s="42">
        <f t="shared" si="9"/>
        <v>0</v>
      </c>
      <c r="Y10" s="664">
        <f t="shared" si="10"/>
        <v>11627.11075773136</v>
      </c>
      <c r="Z10" s="664">
        <f t="shared" si="0"/>
        <v>1349166.6666666667</v>
      </c>
      <c r="AA10" s="664">
        <f t="shared" si="1"/>
        <v>1627.1107577313596</v>
      </c>
      <c r="AB10" s="333">
        <f>VLOOKUP(A10,'2016-17 Funding Detail'!$A$4:$AH$23,27,FALSE)</f>
        <v>1785.6902458357126</v>
      </c>
      <c r="AC10" s="666">
        <f t="shared" si="20"/>
        <v>1785.6902458357126</v>
      </c>
      <c r="AD10" s="666">
        <f t="shared" si="11"/>
        <v>11785.690245835713</v>
      </c>
      <c r="AE10" s="726">
        <f t="shared" si="12"/>
        <v>0</v>
      </c>
      <c r="AF10" s="727">
        <f t="shared" si="13"/>
        <v>1568691.0263972562</v>
      </c>
      <c r="AG10" s="549">
        <v>1590086.0423340017</v>
      </c>
      <c r="AH10" s="549">
        <f t="shared" si="14"/>
        <v>-21395.015936745564</v>
      </c>
      <c r="AI10" s="387">
        <f t="shared" si="15"/>
        <v>1349166.6666666667</v>
      </c>
      <c r="AJ10" s="387">
        <f t="shared" si="16"/>
        <v>219524.35973058944</v>
      </c>
      <c r="AK10" s="387">
        <f t="shared" si="21"/>
        <v>1627.1107577313605</v>
      </c>
      <c r="AL10" s="696">
        <f t="shared" si="17"/>
        <v>11627.11075773136</v>
      </c>
      <c r="AM10" s="609" t="s">
        <v>556</v>
      </c>
      <c r="AN10" s="633" t="s">
        <v>402</v>
      </c>
      <c r="AO10" s="723">
        <f>AF10-'1819 Funding Detail'!D10-'1819 Funding Detail'!E10-'1819 Funding Detail'!L10</f>
        <v>1068691.0263972562</v>
      </c>
      <c r="AP10" s="725">
        <f t="shared" si="22"/>
        <v>7921.1194050445165</v>
      </c>
      <c r="AQ10" s="723">
        <f t="shared" si="18"/>
        <v>7802.3026139688491</v>
      </c>
      <c r="AR10" s="73"/>
      <c r="AS10" s="73"/>
      <c r="AT10" s="73"/>
      <c r="AU10" s="73"/>
      <c r="AV10" s="387"/>
      <c r="AW10" s="73"/>
      <c r="AX10" s="125"/>
    </row>
    <row r="11" spans="1:50" ht="13" x14ac:dyDescent="0.3">
      <c r="A11" s="185">
        <v>9257009</v>
      </c>
      <c r="B11" s="38" t="s">
        <v>76</v>
      </c>
      <c r="C11" s="335">
        <v>4</v>
      </c>
      <c r="D11" s="94">
        <f>'Funding Model'!$D$23</f>
        <v>405763.82046267512</v>
      </c>
      <c r="E11" s="94">
        <f>'Funding Model'!$E$23</f>
        <v>88790.687513148558</v>
      </c>
      <c r="F11" s="666"/>
      <c r="G11" s="666"/>
      <c r="H11" s="666">
        <f>VLOOKUP(A11,'Band Calculations 1718'!$A$107:$W$125,6,FALSE)</f>
        <v>0</v>
      </c>
      <c r="I11" s="666">
        <f>VLOOKUP(A11,'Band Calculations 1718'!$A$107:$W$125,13,FALSE)</f>
        <v>931410.22792901238</v>
      </c>
      <c r="J11" s="666">
        <f>VLOOKUP(A11,'Band Calculations 1718'!$A$107:$W$125,20,FALSE)</f>
        <v>46913.987226747151</v>
      </c>
      <c r="K11" s="94">
        <f>VLOOKUP(A11,'FSM Calculation 1718'!$A$4:$D$21,4,FALSE)</f>
        <v>11609</v>
      </c>
      <c r="L11" s="94">
        <v>876.23139186667242</v>
      </c>
      <c r="M11" s="666">
        <f t="shared" si="2"/>
        <v>1485363.95452345</v>
      </c>
      <c r="N11" s="666">
        <f t="shared" si="3"/>
        <v>1485363.95452345</v>
      </c>
      <c r="O11" s="137">
        <f>VLOOKUP(A11,'Band Calculations 1718'!$A$107:$W$125,22,FALSE)</f>
        <v>128.58333333333334</v>
      </c>
      <c r="Q11" s="724">
        <f t="shared" si="4"/>
        <v>989933.21515575971</v>
      </c>
      <c r="R11" s="724">
        <f t="shared" si="5"/>
        <v>7698.7677134602172</v>
      </c>
      <c r="S11" s="724">
        <f>VLOOKUP(A11,'2016-17 Funding Detail'!$A$2:$AD$23,30,FALSE)</f>
        <v>7610.4234883055324</v>
      </c>
      <c r="T11" s="42">
        <f t="shared" si="6"/>
        <v>88.344225154684864</v>
      </c>
      <c r="U11" s="724">
        <f t="shared" si="19"/>
        <v>0</v>
      </c>
      <c r="V11" s="724">
        <f t="shared" si="7"/>
        <v>1485363.95452345</v>
      </c>
      <c r="W11" s="42">
        <f t="shared" si="8"/>
        <v>1285833.3333333335</v>
      </c>
      <c r="X11" s="42">
        <f t="shared" si="9"/>
        <v>0</v>
      </c>
      <c r="Y11" s="664">
        <f t="shared" si="10"/>
        <v>11551.761149890732</v>
      </c>
      <c r="Z11" s="664">
        <f t="shared" si="0"/>
        <v>1285833.3333333335</v>
      </c>
      <c r="AA11" s="664">
        <f t="shared" si="1"/>
        <v>1551.7611498907318</v>
      </c>
      <c r="AB11" s="669">
        <f>VLOOKUP(A11,'2016-17 Funding Detail'!$A$4:$AH$23,27,FALSE)</f>
        <v>1398.2574723457001</v>
      </c>
      <c r="AC11" s="666">
        <f t="shared" si="20"/>
        <v>1551.7611498907318</v>
      </c>
      <c r="AD11" s="666">
        <f t="shared" si="11"/>
        <v>11551.761149890732</v>
      </c>
      <c r="AE11" s="726">
        <f t="shared" si="12"/>
        <v>0</v>
      </c>
      <c r="AF11" s="727">
        <f t="shared" si="13"/>
        <v>1485363.95452345</v>
      </c>
      <c r="AG11" s="549">
        <v>1485363.95452345</v>
      </c>
      <c r="AH11" s="549">
        <f t="shared" si="14"/>
        <v>0</v>
      </c>
      <c r="AI11" s="387">
        <f t="shared" si="15"/>
        <v>1285833.3333333335</v>
      </c>
      <c r="AJ11" s="387">
        <f t="shared" si="16"/>
        <v>199530.62119011651</v>
      </c>
      <c r="AK11" s="387">
        <f t="shared" si="21"/>
        <v>1551.7611498907311</v>
      </c>
      <c r="AL11" s="696">
        <f t="shared" si="17"/>
        <v>11551.761149890732</v>
      </c>
      <c r="AM11" s="609" t="s">
        <v>556</v>
      </c>
      <c r="AN11" s="633" t="s">
        <v>402</v>
      </c>
      <c r="AO11" s="723">
        <f>AF11-'1819 Funding Detail'!D11-'1819 Funding Detail'!E11-'1819 Funding Detail'!L11</f>
        <v>985363.95452345</v>
      </c>
      <c r="AP11" s="725">
        <f t="shared" si="22"/>
        <v>7663.2323099685027</v>
      </c>
      <c r="AQ11" s="723">
        <f t="shared" si="18"/>
        <v>7548.2838253189748</v>
      </c>
      <c r="AR11" s="73"/>
      <c r="AS11" s="73"/>
      <c r="AT11" s="73"/>
      <c r="AU11" s="73"/>
      <c r="AV11" s="387"/>
      <c r="AW11" s="73"/>
      <c r="AX11" s="125"/>
    </row>
    <row r="12" spans="1:50" ht="13" x14ac:dyDescent="0.3">
      <c r="A12" s="185">
        <v>9257028</v>
      </c>
      <c r="B12" s="38" t="s">
        <v>77</v>
      </c>
      <c r="C12" s="335">
        <v>5</v>
      </c>
      <c r="D12" s="94">
        <f>'Funding Model'!$D$24</f>
        <v>418723.18610831723</v>
      </c>
      <c r="E12" s="94">
        <f>'Funding Model'!$E$24</f>
        <v>117027.3922528728</v>
      </c>
      <c r="F12" s="666"/>
      <c r="G12" s="666"/>
      <c r="H12" s="666">
        <f>VLOOKUP(A12,'Band Calculations 1718'!$A$107:$W$125,6,FALSE)</f>
        <v>0</v>
      </c>
      <c r="I12" s="666">
        <f>VLOOKUP(A12,'Band Calculations 1718'!$A$107:$W$125,13,FALSE)</f>
        <v>766825.75005243684</v>
      </c>
      <c r="J12" s="666">
        <f>VLOOKUP(A12,'Band Calculations 1718'!$A$107:$W$125,20,FALSE)</f>
        <v>47319.52195335189</v>
      </c>
      <c r="K12" s="94">
        <f>VLOOKUP(A12,'FSM Calculation 1718'!$A$4:$D$21,4,FALSE)</f>
        <v>6697.5</v>
      </c>
      <c r="L12" s="94">
        <v>705.22818020051216</v>
      </c>
      <c r="M12" s="666">
        <f t="shared" si="2"/>
        <v>1357298.5785471792</v>
      </c>
      <c r="N12" s="666">
        <f t="shared" si="3"/>
        <v>1357298.5785471792</v>
      </c>
      <c r="O12" s="137">
        <f>VLOOKUP(A12,'Band Calculations 1718'!$A$107:$W$125,22,FALSE)</f>
        <v>75</v>
      </c>
      <c r="Q12" s="724">
        <f t="shared" si="4"/>
        <v>820842.77200578863</v>
      </c>
      <c r="R12" s="724">
        <f t="shared" si="5"/>
        <v>10944.570293410516</v>
      </c>
      <c r="S12" s="724">
        <f>VLOOKUP(A12,'2016-17 Funding Detail'!$A$2:$AD$23,30,FALSE)</f>
        <v>10830.994771228929</v>
      </c>
      <c r="T12" s="42">
        <f t="shared" si="6"/>
        <v>113.57552218158708</v>
      </c>
      <c r="U12" s="724">
        <f t="shared" si="19"/>
        <v>0</v>
      </c>
      <c r="V12" s="724">
        <f t="shared" si="7"/>
        <v>1357298.5785471792</v>
      </c>
      <c r="W12" s="42">
        <f t="shared" si="8"/>
        <v>750000</v>
      </c>
      <c r="X12" s="42">
        <f t="shared" si="9"/>
        <v>0</v>
      </c>
      <c r="Y12" s="664">
        <f t="shared" si="10"/>
        <v>18097.314380629057</v>
      </c>
      <c r="Z12" s="664">
        <f t="shared" si="0"/>
        <v>750000</v>
      </c>
      <c r="AA12" s="664">
        <f t="shared" si="1"/>
        <v>8097.3143806290573</v>
      </c>
      <c r="AB12" s="333">
        <f>VLOOKUP(A12,'2016-17 Funding Detail'!$A$4:$AH$23,27,FALSE)</f>
        <v>8397.7103241158438</v>
      </c>
      <c r="AC12" s="666">
        <f t="shared" si="20"/>
        <v>8397.7103241158438</v>
      </c>
      <c r="AD12" s="666">
        <f t="shared" si="11"/>
        <v>18397.710324115844</v>
      </c>
      <c r="AE12" s="726">
        <f t="shared" si="12"/>
        <v>0</v>
      </c>
      <c r="AF12" s="727">
        <f t="shared" si="13"/>
        <v>1357298.5785471792</v>
      </c>
      <c r="AG12" s="549">
        <v>1379828.2743086882</v>
      </c>
      <c r="AH12" s="549">
        <f t="shared" si="14"/>
        <v>-22529.695761509007</v>
      </c>
      <c r="AI12" s="387">
        <f t="shared" si="15"/>
        <v>750000</v>
      </c>
      <c r="AJ12" s="387">
        <f t="shared" si="16"/>
        <v>607298.57854717923</v>
      </c>
      <c r="AK12" s="387">
        <f t="shared" si="21"/>
        <v>8097.3143806290564</v>
      </c>
      <c r="AL12" s="696">
        <f t="shared" si="17"/>
        <v>18097.314380629057</v>
      </c>
      <c r="AM12" s="609" t="s">
        <v>556</v>
      </c>
      <c r="AN12" s="633" t="s">
        <v>402</v>
      </c>
      <c r="AO12" s="723">
        <f>AF12-'1819 Funding Detail'!D12-'1819 Funding Detail'!E12-'1819 Funding Detail'!L12</f>
        <v>884798.57854717923</v>
      </c>
      <c r="AP12" s="725">
        <f t="shared" si="22"/>
        <v>11797.314380629057</v>
      </c>
      <c r="AQ12" s="723">
        <f t="shared" si="18"/>
        <v>11620.354664919621</v>
      </c>
      <c r="AR12" s="73"/>
      <c r="AS12" s="73"/>
      <c r="AT12" s="73"/>
      <c r="AU12" s="73"/>
      <c r="AV12" s="387"/>
      <c r="AW12" s="73"/>
      <c r="AX12" s="125"/>
    </row>
    <row r="13" spans="1:50" ht="13" x14ac:dyDescent="0.3">
      <c r="A13" s="185">
        <v>9257021</v>
      </c>
      <c r="B13" s="38" t="s">
        <v>78</v>
      </c>
      <c r="C13" s="667">
        <v>5</v>
      </c>
      <c r="D13" s="94">
        <f>'Funding Model'!$D$24</f>
        <v>418723.18610831723</v>
      </c>
      <c r="E13" s="94">
        <f>'Funding Model'!$E$24</f>
        <v>117027.3922528728</v>
      </c>
      <c r="F13" s="666"/>
      <c r="G13" s="666"/>
      <c r="H13" s="666">
        <f>VLOOKUP(A13,'Band Calculations 1718'!$A$107:$W$125,6,FALSE)</f>
        <v>0</v>
      </c>
      <c r="I13" s="666">
        <f>VLOOKUP(A13,'Band Calculations 1718'!$A$107:$W$125,13,FALSE)</f>
        <v>1146047.2557454214</v>
      </c>
      <c r="J13" s="666">
        <f>VLOOKUP(A13,'Band Calculations 1718'!$A$107:$W$125,20,FALSE)</f>
        <v>57865.89906844536</v>
      </c>
      <c r="K13" s="94">
        <f>VLOOKUP(A13,'FSM Calculation 1718'!$A$4:$D$21,4,FALSE)</f>
        <v>29915.5</v>
      </c>
      <c r="L13" s="94">
        <v>908.66303545853043</v>
      </c>
      <c r="M13" s="666">
        <f t="shared" si="2"/>
        <v>1770487.8962105154</v>
      </c>
      <c r="N13" s="666">
        <f t="shared" si="3"/>
        <v>1770487.8962105154</v>
      </c>
      <c r="O13" s="137">
        <f>VLOOKUP(A13,'Band Calculations 1718'!$A$107:$W$125,22,FALSE)</f>
        <v>155.91666666666669</v>
      </c>
      <c r="Q13" s="724">
        <f t="shared" si="4"/>
        <v>1233828.6548138671</v>
      </c>
      <c r="R13" s="724">
        <f t="shared" si="5"/>
        <v>7913.3852794048116</v>
      </c>
      <c r="S13" s="724">
        <f>VLOOKUP(A13,'2016-17 Funding Detail'!$A$2:$AD$23,30,FALSE)</f>
        <v>7777.3723820258401</v>
      </c>
      <c r="T13" s="42">
        <f t="shared" si="6"/>
        <v>136.0128973789715</v>
      </c>
      <c r="U13" s="724">
        <f t="shared" si="19"/>
        <v>0</v>
      </c>
      <c r="V13" s="724">
        <f t="shared" si="7"/>
        <v>1770487.8962105154</v>
      </c>
      <c r="W13" s="42">
        <f t="shared" si="8"/>
        <v>1559166.6666666667</v>
      </c>
      <c r="X13" s="42">
        <f t="shared" si="9"/>
        <v>0</v>
      </c>
      <c r="Y13" s="664">
        <f t="shared" si="10"/>
        <v>11355.347276604052</v>
      </c>
      <c r="Z13" s="664">
        <f t="shared" si="0"/>
        <v>1559166.6666666667</v>
      </c>
      <c r="AA13" s="664">
        <f t="shared" si="1"/>
        <v>1355.3472766040522</v>
      </c>
      <c r="AB13" s="669">
        <f>VLOOKUP(A13,'2016-17 Funding Detail'!$A$4:$AH$23,27,FALSE)</f>
        <v>1335.0348796749622</v>
      </c>
      <c r="AC13" s="666">
        <f t="shared" si="20"/>
        <v>1355.3472766040522</v>
      </c>
      <c r="AD13" s="666">
        <f t="shared" si="11"/>
        <v>11355.347276604052</v>
      </c>
      <c r="AE13" s="726">
        <f t="shared" si="12"/>
        <v>0</v>
      </c>
      <c r="AF13" s="727">
        <f t="shared" si="13"/>
        <v>1770487.8962105154</v>
      </c>
      <c r="AG13" s="549">
        <v>1770487.8962105154</v>
      </c>
      <c r="AH13" s="549">
        <f t="shared" si="14"/>
        <v>0</v>
      </c>
      <c r="AI13" s="387">
        <f t="shared" si="15"/>
        <v>1559166.6666666667</v>
      </c>
      <c r="AJ13" s="387">
        <f t="shared" si="16"/>
        <v>211321.22954384866</v>
      </c>
      <c r="AK13" s="387">
        <f t="shared" si="21"/>
        <v>1355.3472766040531</v>
      </c>
      <c r="AL13" s="696">
        <f t="shared" si="17"/>
        <v>11355.347276604052</v>
      </c>
      <c r="AM13" s="609" t="s">
        <v>556</v>
      </c>
      <c r="AN13" s="633" t="s">
        <v>402</v>
      </c>
      <c r="AO13" s="723">
        <f>AF13-'1819 Funding Detail'!D13-'1819 Funding Detail'!E13-'1819 Funding Detail'!L13</f>
        <v>1242987.8962105154</v>
      </c>
      <c r="AP13" s="725">
        <f t="shared" si="22"/>
        <v>7972.1297458718245</v>
      </c>
      <c r="AQ13" s="723">
        <f t="shared" si="18"/>
        <v>7852.5477996837471</v>
      </c>
      <c r="AR13" s="73"/>
      <c r="AS13" s="73"/>
      <c r="AT13" s="73"/>
      <c r="AU13" s="73"/>
      <c r="AV13" s="387"/>
      <c r="AW13" s="73"/>
      <c r="AX13" s="125"/>
    </row>
    <row r="14" spans="1:50" s="40" customFormat="1" ht="12.75" customHeight="1" x14ac:dyDescent="0.3">
      <c r="A14" s="131">
        <v>9257015</v>
      </c>
      <c r="B14" s="38" t="s">
        <v>55</v>
      </c>
      <c r="C14" s="335">
        <v>6</v>
      </c>
      <c r="D14" s="94">
        <f>'Funding Model'!$D$25</f>
        <v>493762.11190507573</v>
      </c>
      <c r="E14" s="94">
        <f>'Funding Model'!$E$25</f>
        <v>131719.7894229154</v>
      </c>
      <c r="F14" s="94"/>
      <c r="G14" s="645">
        <v>41787</v>
      </c>
      <c r="H14" s="666">
        <f>VLOOKUP(A14,'Band Calculations 1718'!$A$107:$W$125,6,FALSE)</f>
        <v>0</v>
      </c>
      <c r="I14" s="666">
        <f>VLOOKUP(A14,'Band Calculations 1718'!$A$107:$W$125,13,FALSE)</f>
        <v>1939521.8825757506</v>
      </c>
      <c r="J14" s="666">
        <f>VLOOKUP(A14,'Band Calculations 1718'!$A$107:$W$125,20,FALSE)</f>
        <v>45985.835743205549</v>
      </c>
      <c r="K14" s="94">
        <f>VLOOKUP(A14,'FSM Calculation 1718'!$A$4:$D$21,4,FALSE)</f>
        <v>33934</v>
      </c>
      <c r="L14" s="94">
        <v>1056.0795972397032</v>
      </c>
      <c r="M14" s="94">
        <f t="shared" si="2"/>
        <v>2687766.6992441872</v>
      </c>
      <c r="N14" s="94">
        <f>M14-F14-G14</f>
        <v>2645979.6992441872</v>
      </c>
      <c r="O14" s="137">
        <f>VLOOKUP(A14,'Band Calculations 1718'!$A$107:$W$125,22,FALSE)</f>
        <v>270.50000000000006</v>
      </c>
      <c r="Q14" s="724">
        <f t="shared" si="4"/>
        <v>2019441.7183189567</v>
      </c>
      <c r="R14" s="724">
        <f t="shared" si="5"/>
        <v>7465.5886074637938</v>
      </c>
      <c r="S14" s="724">
        <f>VLOOKUP(A14,'2016-17 Funding Detail'!$A$2:$AD$23,30,FALSE)</f>
        <v>7588.033312603473</v>
      </c>
      <c r="T14" s="42">
        <f t="shared" si="6"/>
        <v>-122.44470513967917</v>
      </c>
      <c r="U14" s="724">
        <f t="shared" si="19"/>
        <v>33121.292740283221</v>
      </c>
      <c r="V14" s="42">
        <f t="shared" si="7"/>
        <v>2679100.9919844703</v>
      </c>
      <c r="W14" s="724">
        <f t="shared" si="8"/>
        <v>2705000.0000000005</v>
      </c>
      <c r="X14" s="724">
        <f t="shared" si="9"/>
        <v>25899.008015530184</v>
      </c>
      <c r="Y14" s="247">
        <f t="shared" si="10"/>
        <v>9781.8103484073436</v>
      </c>
      <c r="Z14" s="247">
        <f t="shared" si="0"/>
        <v>2705000.0000000005</v>
      </c>
      <c r="AA14" s="247">
        <f t="shared" si="1"/>
        <v>-218.18965159265645</v>
      </c>
      <c r="AB14" s="333">
        <f>VLOOKUP(A14,'2016-17 Funding Detail'!$A$4:$AH$23,27,FALSE)</f>
        <v>-150</v>
      </c>
      <c r="AC14" s="645">
        <f>IF(AA14&gt;AB14,(AA14),(IF(AB14&gt;0,(AB14),(0))))</f>
        <v>0</v>
      </c>
      <c r="AD14" s="94">
        <f t="shared" si="11"/>
        <v>10000</v>
      </c>
      <c r="AE14" s="726">
        <f t="shared" si="12"/>
        <v>59020.300755813405</v>
      </c>
      <c r="AF14" s="727">
        <f t="shared" si="13"/>
        <v>2705000.0000000005</v>
      </c>
      <c r="AG14" s="549">
        <v>2705000.0000000009</v>
      </c>
      <c r="AH14" s="549">
        <f t="shared" si="14"/>
        <v>0</v>
      </c>
      <c r="AI14" s="387">
        <f t="shared" si="15"/>
        <v>2705000.0000000005</v>
      </c>
      <c r="AJ14" s="387">
        <f t="shared" si="16"/>
        <v>0</v>
      </c>
      <c r="AK14" s="387">
        <f t="shared" si="21"/>
        <v>0</v>
      </c>
      <c r="AL14" s="696">
        <f t="shared" si="17"/>
        <v>10000</v>
      </c>
      <c r="AM14" s="609" t="s">
        <v>556</v>
      </c>
      <c r="AN14" s="633" t="s">
        <v>402</v>
      </c>
      <c r="AO14" s="723">
        <f>AF14-'1819 Funding Detail'!D14-'1819 Funding Detail'!E14-'1819 Funding Detail'!L14</f>
        <v>2122500.0000000005</v>
      </c>
      <c r="AP14" s="725">
        <f t="shared" si="22"/>
        <v>7846.5804066543442</v>
      </c>
      <c r="AQ14" s="723">
        <f t="shared" si="18"/>
        <v>7728.8817005545288</v>
      </c>
      <c r="AR14" s="817"/>
      <c r="AS14" s="817"/>
      <c r="AT14" s="817"/>
      <c r="AU14" s="817"/>
      <c r="AV14" s="817"/>
      <c r="AW14" s="73"/>
      <c r="AX14" s="125"/>
    </row>
    <row r="15" spans="1:50" ht="13" x14ac:dyDescent="0.3">
      <c r="A15" s="185">
        <v>9257016</v>
      </c>
      <c r="B15" s="38" t="s">
        <v>80</v>
      </c>
      <c r="C15" s="335">
        <v>6</v>
      </c>
      <c r="D15" s="94">
        <f>'Funding Model'!$D$25</f>
        <v>493762.11190507573</v>
      </c>
      <c r="E15" s="94">
        <f>'Funding Model'!$E$25</f>
        <v>131719.7894229154</v>
      </c>
      <c r="F15" s="666"/>
      <c r="G15" s="666"/>
      <c r="H15" s="666">
        <f>VLOOKUP(A15,'Band Calculations 1718'!$A$107:$W$125,6,FALSE)</f>
        <v>0</v>
      </c>
      <c r="I15" s="666">
        <f>VLOOKUP(A15,'Band Calculations 1718'!$A$107:$W$125,13,FALSE)</f>
        <v>1500846.8153915969</v>
      </c>
      <c r="J15" s="666">
        <f>VLOOKUP(A15,'Band Calculations 1718'!$A$107:$W$125,20,FALSE)</f>
        <v>0</v>
      </c>
      <c r="K15" s="94">
        <f>VLOOKUP(A15,'FSM Calculation 1718'!$A$4:$D$21,4,FALSE)</f>
        <v>12948.5</v>
      </c>
      <c r="L15" s="94">
        <v>832.00642333232065</v>
      </c>
      <c r="M15" s="666">
        <f t="shared" si="2"/>
        <v>2140109.2231429205</v>
      </c>
      <c r="N15" s="666">
        <f t="shared" si="3"/>
        <v>2140109.2231429205</v>
      </c>
      <c r="O15" s="137">
        <f>VLOOKUP(A15,'Band Calculations 1718'!$A$107:$W$125,22,FALSE)</f>
        <v>148.33333333333334</v>
      </c>
      <c r="Q15" s="724">
        <f t="shared" si="4"/>
        <v>1513795.3153915973</v>
      </c>
      <c r="R15" s="724">
        <f t="shared" si="5"/>
        <v>10205.361676797285</v>
      </c>
      <c r="S15" s="724">
        <f>VLOOKUP(A15,'2016-17 Funding Detail'!$A$2:$AD$23,30,FALSE)</f>
        <v>11812.521056554318</v>
      </c>
      <c r="T15" s="42">
        <f t="shared" si="6"/>
        <v>-1607.1593797570331</v>
      </c>
      <c r="U15" s="724">
        <f t="shared" si="19"/>
        <v>238395.30799729325</v>
      </c>
      <c r="V15" s="724">
        <f t="shared" si="7"/>
        <v>2378504.5311402138</v>
      </c>
      <c r="W15" s="42">
        <f t="shared" si="8"/>
        <v>1483333.3333333335</v>
      </c>
      <c r="X15" s="42">
        <f t="shared" si="9"/>
        <v>0</v>
      </c>
      <c r="Y15" s="664">
        <f t="shared" si="10"/>
        <v>14427.702627929801</v>
      </c>
      <c r="Z15" s="664">
        <f t="shared" si="0"/>
        <v>1483333.3333333335</v>
      </c>
      <c r="AA15" s="664">
        <f t="shared" si="1"/>
        <v>4427.7026279298007</v>
      </c>
      <c r="AB15" s="333">
        <f>VLOOKUP(A15,'2016-17 Funding Detail'!$A$4:$AH$23,27,FALSE)</f>
        <v>6111.6095522689739</v>
      </c>
      <c r="AC15" s="666">
        <f t="shared" si="20"/>
        <v>6111.6095522689739</v>
      </c>
      <c r="AD15" s="666">
        <f t="shared" si="11"/>
        <v>16111.609552268974</v>
      </c>
      <c r="AE15" s="726">
        <f t="shared" si="12"/>
        <v>238395.30799729325</v>
      </c>
      <c r="AF15" s="727">
        <f t="shared" si="13"/>
        <v>2378504.5311402138</v>
      </c>
      <c r="AG15" s="549">
        <v>2389888.7502532313</v>
      </c>
      <c r="AH15" s="549">
        <f t="shared" si="14"/>
        <v>-11384.219113017432</v>
      </c>
      <c r="AI15" s="387">
        <f t="shared" si="15"/>
        <v>1483333.3333333335</v>
      </c>
      <c r="AJ15" s="387">
        <f t="shared" si="16"/>
        <v>895171.19780688034</v>
      </c>
      <c r="AK15" s="387">
        <f t="shared" si="21"/>
        <v>6034.8620076868337</v>
      </c>
      <c r="AL15" s="696">
        <f t="shared" si="17"/>
        <v>16034.862007686834</v>
      </c>
      <c r="AM15" s="609" t="s">
        <v>556</v>
      </c>
      <c r="AN15" s="633" t="s">
        <v>402</v>
      </c>
      <c r="AO15" s="723">
        <f>AF15-'1819 Funding Detail'!D15-'1819 Funding Detail'!E15-'1819 Funding Detail'!L15</f>
        <v>1823504.5311402138</v>
      </c>
      <c r="AP15" s="725">
        <f t="shared" si="22"/>
        <v>12293.288973978968</v>
      </c>
      <c r="AQ15" s="723">
        <f t="shared" si="18"/>
        <v>12108.889639369283</v>
      </c>
      <c r="AR15" s="817"/>
      <c r="AS15" s="817"/>
      <c r="AT15" s="817"/>
      <c r="AU15" s="817"/>
      <c r="AV15" s="817"/>
      <c r="AW15" s="73"/>
      <c r="AX15" s="125"/>
    </row>
    <row r="16" spans="1:50" ht="13" x14ac:dyDescent="0.3">
      <c r="A16" s="185"/>
      <c r="B16" s="38"/>
      <c r="C16" s="39"/>
      <c r="D16" s="666"/>
      <c r="E16" s="666"/>
      <c r="F16" s="666"/>
      <c r="G16" s="666"/>
      <c r="H16" s="666"/>
      <c r="I16" s="666"/>
      <c r="J16" s="666"/>
      <c r="K16" s="94"/>
      <c r="L16" s="94"/>
      <c r="M16" s="666"/>
      <c r="N16" s="666"/>
      <c r="O16" s="137"/>
      <c r="Q16" s="42"/>
      <c r="R16" s="42"/>
      <c r="S16" s="42"/>
      <c r="T16" s="42"/>
      <c r="U16" s="42"/>
      <c r="V16" s="42"/>
      <c r="W16" s="42"/>
      <c r="X16" s="42"/>
      <c r="Y16" s="664"/>
      <c r="Z16" s="664"/>
      <c r="AA16" s="664"/>
      <c r="AB16" s="94"/>
      <c r="AC16" s="666"/>
      <c r="AD16" s="666"/>
      <c r="AE16" s="679">
        <f t="shared" si="12"/>
        <v>0</v>
      </c>
      <c r="AF16" s="156"/>
      <c r="AG16" s="549"/>
      <c r="AH16" s="549"/>
      <c r="AI16" s="387"/>
      <c r="AJ16" s="387"/>
      <c r="AK16" s="387"/>
      <c r="AL16" s="696"/>
      <c r="AM16" s="61"/>
      <c r="AN16" s="633"/>
      <c r="AO16" s="723">
        <f>AF16-'1819 Funding Detail'!D16-'1819 Funding Detail'!E16-'1819 Funding Detail'!L16</f>
        <v>0</v>
      </c>
      <c r="AP16" s="818"/>
      <c r="AQ16" s="73"/>
      <c r="AR16" s="817"/>
      <c r="AS16" s="817"/>
      <c r="AT16" s="817"/>
      <c r="AU16" s="817"/>
      <c r="AV16" s="817"/>
      <c r="AW16" s="73"/>
      <c r="AX16" s="125"/>
    </row>
    <row r="17" spans="1:50" ht="13" x14ac:dyDescent="0.3">
      <c r="A17" s="185">
        <v>9257031</v>
      </c>
      <c r="B17" s="43" t="s">
        <v>81</v>
      </c>
      <c r="C17" s="335">
        <v>4</v>
      </c>
      <c r="D17" s="94">
        <f>'Funding Model'!D27</f>
        <v>360067.26321081078</v>
      </c>
      <c r="E17" s="94">
        <f>'Funding Model'!E27</f>
        <v>58044.118057617408</v>
      </c>
      <c r="F17" s="94">
        <v>170753.69</v>
      </c>
      <c r="G17" s="666"/>
      <c r="H17" s="666">
        <f>VLOOKUP(A17,'Band Calculations 1718'!$A$107:$W$125,6,FALSE)</f>
        <v>0</v>
      </c>
      <c r="I17" s="666">
        <f>VLOOKUP(A17,'Band Calculations 1718'!$A$107:$W$125,13,FALSE)</f>
        <v>808698.09413502784</v>
      </c>
      <c r="J17" s="666">
        <f>VLOOKUP(A17,'Band Calculations 1718'!$A$107:$W$125,20,FALSE)</f>
        <v>182257.47900072072</v>
      </c>
      <c r="K17" s="94">
        <f>VLOOKUP(A17,'FSM Calculation 1718'!$A$4:$D$21,4,FALSE)</f>
        <v>7590.5</v>
      </c>
      <c r="L17" s="94">
        <v>669.84820537303062</v>
      </c>
      <c r="M17" s="666">
        <f>SUM(D17:L17)</f>
        <v>1588080.9926095495</v>
      </c>
      <c r="N17" s="666">
        <f>M17-F17</f>
        <v>1417327.3026095496</v>
      </c>
      <c r="O17" s="137">
        <f>VLOOKUP(A17,'Band Calculations 1718'!$A$107:$W$125,22,FALSE)</f>
        <v>69.166666666666671</v>
      </c>
      <c r="Q17" s="724">
        <f t="shared" si="4"/>
        <v>998546.07313574839</v>
      </c>
      <c r="R17" s="724">
        <f t="shared" si="5"/>
        <v>14436.81069593853</v>
      </c>
      <c r="S17" s="724">
        <f>VLOOKUP(A17,'2016-17 Funding Detail'!$A$2:$AD$23,30,FALSE)</f>
        <v>14293.455132942658</v>
      </c>
      <c r="T17" s="42">
        <f t="shared" si="6"/>
        <v>143.35556299587188</v>
      </c>
      <c r="U17" s="724">
        <f t="shared" si="19"/>
        <v>0</v>
      </c>
      <c r="V17" s="724">
        <f t="shared" si="7"/>
        <v>1417327.3026095496</v>
      </c>
      <c r="W17" s="42">
        <f t="shared" si="8"/>
        <v>691666.66666666674</v>
      </c>
      <c r="X17" s="42">
        <f t="shared" si="9"/>
        <v>0</v>
      </c>
      <c r="Y17" s="664">
        <f t="shared" si="10"/>
        <v>20491.479073873004</v>
      </c>
      <c r="Z17" s="664">
        <f>O17*10000</f>
        <v>691666.66666666674</v>
      </c>
      <c r="AA17" s="664">
        <f>Y17-10000</f>
        <v>10491.479073873004</v>
      </c>
      <c r="AB17" s="333">
        <f>VLOOKUP(A17,'2016-17 Funding Detail'!$A$4:$AH$23,27,FALSE)</f>
        <v>10591.157591441806</v>
      </c>
      <c r="AC17" s="666">
        <f t="shared" si="20"/>
        <v>10591.157591441806</v>
      </c>
      <c r="AD17" s="666">
        <f t="shared" si="11"/>
        <v>20591.157591441806</v>
      </c>
      <c r="AE17" s="726">
        <f t="shared" si="12"/>
        <v>0</v>
      </c>
      <c r="AF17" s="727">
        <f t="shared" si="13"/>
        <v>1417327.3026095496</v>
      </c>
      <c r="AG17" s="549">
        <v>1424221.7334080583</v>
      </c>
      <c r="AH17" s="549">
        <f t="shared" si="14"/>
        <v>-6894.4307985086925</v>
      </c>
      <c r="AI17" s="387">
        <f t="shared" si="15"/>
        <v>691666.66666666674</v>
      </c>
      <c r="AJ17" s="387">
        <f t="shared" si="16"/>
        <v>725660.63594288286</v>
      </c>
      <c r="AK17" s="387">
        <f t="shared" si="21"/>
        <v>10491.479073873004</v>
      </c>
      <c r="AL17" s="696">
        <f t="shared" si="17"/>
        <v>20491.479073873004</v>
      </c>
      <c r="AM17" s="609" t="s">
        <v>556</v>
      </c>
      <c r="AN17" s="633" t="s">
        <v>402</v>
      </c>
      <c r="AO17" s="723">
        <f>AF17-'1819 Funding Detail'!D17-'1819 Funding Detail'!E17-'1819 Funding Detail'!L17</f>
        <v>1004827.3026095496</v>
      </c>
      <c r="AP17" s="725">
        <f t="shared" si="22"/>
        <v>14527.623652186257</v>
      </c>
      <c r="AQ17" s="723">
        <f t="shared" si="18"/>
        <v>14309.709297403464</v>
      </c>
      <c r="AR17" s="73"/>
      <c r="AS17" s="73"/>
      <c r="AT17" s="73"/>
      <c r="AU17" s="73"/>
      <c r="AV17" s="387"/>
      <c r="AW17" s="73"/>
      <c r="AX17" s="125"/>
    </row>
    <row r="18" spans="1:50" ht="13" x14ac:dyDescent="0.3">
      <c r="A18" s="185">
        <v>9257029</v>
      </c>
      <c r="B18" s="43" t="s">
        <v>84</v>
      </c>
      <c r="C18" s="667">
        <v>3</v>
      </c>
      <c r="D18" s="94">
        <f>'Funding Model'!$D$26</f>
        <v>280697.16623783787</v>
      </c>
      <c r="E18" s="94">
        <f>'Funding Model'!$E$26</f>
        <v>55663.058379368813</v>
      </c>
      <c r="F18" s="94">
        <v>241540.96</v>
      </c>
      <c r="G18" s="666"/>
      <c r="H18" s="666">
        <f>VLOOKUP(A18,'Band Calculations 1718'!$A$107:$W$125,6,FALSE)</f>
        <v>0</v>
      </c>
      <c r="I18" s="666">
        <f>VLOOKUP(A18,'Band Calculations 1718'!$A$107:$W$125,13,FALSE)</f>
        <v>507628.56270403555</v>
      </c>
      <c r="J18" s="666">
        <f>VLOOKUP(A18,'Band Calculations 1718'!$A$107:$W$125,20,FALSE)</f>
        <v>114404.99585466928</v>
      </c>
      <c r="K18" s="94">
        <f>VLOOKUP(A18,'FSM Calculation 1718'!$A$4:$D$21,4,FALSE)</f>
        <v>8483.5</v>
      </c>
      <c r="L18" s="94">
        <v>672.79653660865415</v>
      </c>
      <c r="M18" s="666">
        <f>SUM(D18:L18)</f>
        <v>1209091.0397125201</v>
      </c>
      <c r="N18" s="666">
        <f>M18-F18</f>
        <v>967550.07971252012</v>
      </c>
      <c r="O18" s="137">
        <f>VLOOKUP(A18,'Band Calculations 1718'!$A$107:$W$125,22,FALSE)</f>
        <v>43.416666666666671</v>
      </c>
      <c r="Q18" s="724">
        <f t="shared" si="4"/>
        <v>630517.0585587048</v>
      </c>
      <c r="R18" s="724">
        <f t="shared" si="5"/>
        <v>14522.465840123717</v>
      </c>
      <c r="S18" s="724">
        <f>VLOOKUP(A18,'2016-17 Funding Detail'!$A$2:$AD$23,30,FALSE)</f>
        <v>14380.20978680139</v>
      </c>
      <c r="T18" s="42">
        <f t="shared" si="6"/>
        <v>142.25605332232772</v>
      </c>
      <c r="U18" s="724">
        <f t="shared" si="19"/>
        <v>0</v>
      </c>
      <c r="V18" s="724">
        <f t="shared" si="7"/>
        <v>967550.07971252012</v>
      </c>
      <c r="W18" s="42">
        <f t="shared" si="8"/>
        <v>434166.66666666669</v>
      </c>
      <c r="X18" s="42">
        <f t="shared" si="9"/>
        <v>0</v>
      </c>
      <c r="Y18" s="664">
        <f t="shared" si="10"/>
        <v>22285.222565355547</v>
      </c>
      <c r="Z18" s="664">
        <f>O18*10000</f>
        <v>434166.66666666669</v>
      </c>
      <c r="AA18" s="664">
        <f>Y18-10000</f>
        <v>12285.222565355547</v>
      </c>
      <c r="AB18" s="669">
        <f>VLOOKUP(A18,'2016-17 Funding Detail'!$A$4:$AH$23,27,FALSE)</f>
        <v>11213.366407792982</v>
      </c>
      <c r="AC18" s="666">
        <f t="shared" si="20"/>
        <v>12285.222565355547</v>
      </c>
      <c r="AD18" s="666">
        <f t="shared" si="11"/>
        <v>22285.222565355547</v>
      </c>
      <c r="AE18" s="726">
        <f t="shared" si="12"/>
        <v>0</v>
      </c>
      <c r="AF18" s="727">
        <f t="shared" si="13"/>
        <v>967550.07971252012</v>
      </c>
      <c r="AG18" s="549">
        <v>967550.07971252012</v>
      </c>
      <c r="AH18" s="549">
        <f t="shared" si="14"/>
        <v>0</v>
      </c>
      <c r="AI18" s="387">
        <f t="shared" si="15"/>
        <v>434166.66666666669</v>
      </c>
      <c r="AJ18" s="387">
        <f t="shared" si="16"/>
        <v>533383.41304585338</v>
      </c>
      <c r="AK18" s="387">
        <f t="shared" si="21"/>
        <v>12285.222565355547</v>
      </c>
      <c r="AL18" s="696">
        <f t="shared" si="17"/>
        <v>22285.222565355547</v>
      </c>
      <c r="AM18" s="609" t="s">
        <v>556</v>
      </c>
      <c r="AN18" s="633" t="s">
        <v>402</v>
      </c>
      <c r="AO18" s="723">
        <f>AF18-'1819 Funding Detail'!D18-'1819 Funding Detail'!E18-'1819 Funding Detail'!L18</f>
        <v>627550.07971252012</v>
      </c>
      <c r="AP18" s="725">
        <f t="shared" si="22"/>
        <v>14454.128515451517</v>
      </c>
      <c r="AQ18" s="723">
        <f t="shared" si="18"/>
        <v>14237.316587719744</v>
      </c>
      <c r="AR18" s="73"/>
      <c r="AS18" s="73"/>
      <c r="AT18" s="73"/>
      <c r="AU18" s="73"/>
      <c r="AV18" s="387"/>
      <c r="AW18" s="73"/>
      <c r="AX18" s="125"/>
    </row>
    <row r="19" spans="1:50" ht="13" x14ac:dyDescent="0.3">
      <c r="A19" s="185">
        <v>9257032</v>
      </c>
      <c r="B19" s="43" t="s">
        <v>82</v>
      </c>
      <c r="C19" s="335">
        <v>4</v>
      </c>
      <c r="D19" s="94">
        <f>'Funding Model'!$D$27</f>
        <v>360067.26321081078</v>
      </c>
      <c r="E19" s="94">
        <f>'Funding Model'!$E$27</f>
        <v>58044.118057617408</v>
      </c>
      <c r="F19" s="94">
        <v>214408.47</v>
      </c>
      <c r="G19" s="666"/>
      <c r="H19" s="666">
        <f>VLOOKUP(A19,'Band Calculations 1718'!$A$107:$W$125,6,FALSE)</f>
        <v>0</v>
      </c>
      <c r="I19" s="666">
        <f>VLOOKUP(A19,'Band Calculations 1718'!$A$107:$W$125,13,FALSE)</f>
        <v>701521.23828580719</v>
      </c>
      <c r="J19" s="666">
        <f>VLOOKUP(A19,'Band Calculations 1718'!$A$107:$W$125,20,FALSE)</f>
        <v>158102.87335002277</v>
      </c>
      <c r="K19" s="94">
        <f>VLOOKUP(A19,'FSM Calculation 1718'!$A$4:$D$21,4,FALSE)</f>
        <v>4911.5</v>
      </c>
      <c r="L19" s="94">
        <v>663.9515429017838</v>
      </c>
      <c r="M19" s="666">
        <f>SUM(D19:L19)</f>
        <v>1497719.41444716</v>
      </c>
      <c r="N19" s="666">
        <f>M19-F19</f>
        <v>1283310.94444716</v>
      </c>
      <c r="O19" s="137">
        <f>VLOOKUP(A19,'Band Calculations 1718'!$A$107:$W$125,22,FALSE)</f>
        <v>60</v>
      </c>
      <c r="Q19" s="724">
        <f t="shared" si="4"/>
        <v>864535.61163583002</v>
      </c>
      <c r="R19" s="724">
        <f t="shared" si="5"/>
        <v>14408.926860597167</v>
      </c>
      <c r="S19" s="724">
        <f>VLOOKUP(A19,'2016-17 Funding Detail'!$A$2:$AD$23,30,FALSE)</f>
        <v>14192.792957688209</v>
      </c>
      <c r="T19" s="42">
        <f t="shared" si="6"/>
        <v>216.13390290895768</v>
      </c>
      <c r="U19" s="724">
        <f t="shared" si="19"/>
        <v>0</v>
      </c>
      <c r="V19" s="724">
        <f t="shared" si="7"/>
        <v>1283310.94444716</v>
      </c>
      <c r="W19" s="42">
        <f t="shared" si="8"/>
        <v>600000</v>
      </c>
      <c r="X19" s="42">
        <f t="shared" si="9"/>
        <v>0</v>
      </c>
      <c r="Y19" s="664">
        <f t="shared" si="10"/>
        <v>21388.515740785999</v>
      </c>
      <c r="Z19" s="664">
        <f>O19*10000</f>
        <v>600000</v>
      </c>
      <c r="AA19" s="664">
        <f>Y19-10000</f>
        <v>11388.515740785999</v>
      </c>
      <c r="AB19" s="669">
        <f>VLOOKUP(A19,'2016-17 Funding Detail'!$A$4:$AH$23,27,FALSE)</f>
        <v>11067.688004674212</v>
      </c>
      <c r="AC19" s="666">
        <f t="shared" si="20"/>
        <v>11388.515740785999</v>
      </c>
      <c r="AD19" s="666">
        <f t="shared" si="11"/>
        <v>21388.515740785999</v>
      </c>
      <c r="AE19" s="726">
        <f t="shared" si="12"/>
        <v>0</v>
      </c>
      <c r="AF19" s="727">
        <f t="shared" si="13"/>
        <v>1283310.94444716</v>
      </c>
      <c r="AG19" s="549">
        <v>1283310.94444716</v>
      </c>
      <c r="AH19" s="549">
        <f t="shared" si="14"/>
        <v>0</v>
      </c>
      <c r="AI19" s="387">
        <f t="shared" si="15"/>
        <v>600000</v>
      </c>
      <c r="AJ19" s="387">
        <f t="shared" si="16"/>
        <v>683310.94444716</v>
      </c>
      <c r="AK19" s="387">
        <f t="shared" si="21"/>
        <v>11388.515740786001</v>
      </c>
      <c r="AL19" s="696">
        <f t="shared" si="17"/>
        <v>21388.515740785999</v>
      </c>
      <c r="AM19" s="609" t="s">
        <v>556</v>
      </c>
      <c r="AN19" s="633" t="s">
        <v>402</v>
      </c>
      <c r="AO19" s="723">
        <f>AF19-'1819 Funding Detail'!D19-'1819 Funding Detail'!E19-'1819 Funding Detail'!L19</f>
        <v>878310.94444716</v>
      </c>
      <c r="AP19" s="725">
        <f t="shared" si="22"/>
        <v>14638.515740786001</v>
      </c>
      <c r="AQ19" s="723">
        <f t="shared" si="18"/>
        <v>14418.93800467421</v>
      </c>
      <c r="AR19" s="73"/>
      <c r="AS19" s="73"/>
      <c r="AT19" s="73"/>
      <c r="AU19" s="73"/>
      <c r="AV19" s="387"/>
      <c r="AW19" s="73"/>
      <c r="AX19" s="125"/>
    </row>
    <row r="20" spans="1:50" ht="13" x14ac:dyDescent="0.3">
      <c r="A20" s="185">
        <v>9257030</v>
      </c>
      <c r="B20" s="43" t="s">
        <v>83</v>
      </c>
      <c r="C20" s="667">
        <v>4</v>
      </c>
      <c r="D20" s="94">
        <f>'Funding Model'!$D$27</f>
        <v>360067.26321081078</v>
      </c>
      <c r="E20" s="94">
        <f>'Funding Model'!$E$27</f>
        <v>58044.118057617408</v>
      </c>
      <c r="F20" s="94">
        <v>263272.73</v>
      </c>
      <c r="G20" s="666"/>
      <c r="H20" s="666">
        <f>VLOOKUP(A20,'Band Calculations 1718'!$A$107:$W$125,6,FALSE)</f>
        <v>0</v>
      </c>
      <c r="I20" s="666">
        <f>VLOOKUP(A20,'Band Calculations 1718'!$A$107:$W$125,13,FALSE)</f>
        <v>794083.06833740673</v>
      </c>
      <c r="J20" s="666">
        <f>VLOOKUP(A20,'Band Calculations 1718'!$A$107:$W$125,20,FALSE)</f>
        <v>178963.66913926188</v>
      </c>
      <c r="K20" s="94">
        <f>VLOOKUP(A20,'FSM Calculation 1718'!$A$4:$D$21,4,FALSE)</f>
        <v>8930</v>
      </c>
      <c r="L20" s="94">
        <v>652.15821795928991</v>
      </c>
      <c r="M20" s="666">
        <f>SUM(D20:L20)</f>
        <v>1664013.006963056</v>
      </c>
      <c r="N20" s="666">
        <f>M20-F20</f>
        <v>1400740.2769630561</v>
      </c>
      <c r="O20" s="137">
        <f>VLOOKUP(A20,'Band Calculations 1718'!$A$107:$W$125,22,FALSE)</f>
        <v>67.916666666666671</v>
      </c>
      <c r="Q20" s="724">
        <f t="shared" si="4"/>
        <v>981976.73747666855</v>
      </c>
      <c r="R20" s="724">
        <f t="shared" si="5"/>
        <v>14458.553189840517</v>
      </c>
      <c r="S20" s="724">
        <f>VLOOKUP(A20,'2016-17 Funding Detail'!$A$2:$AD$23,30,FALSE)</f>
        <v>14576.550746280269</v>
      </c>
      <c r="T20" s="42">
        <f t="shared" si="6"/>
        <v>-117.99755643975186</v>
      </c>
      <c r="U20" s="724">
        <f t="shared" si="19"/>
        <v>8014.0007081998147</v>
      </c>
      <c r="V20" s="724">
        <f t="shared" si="7"/>
        <v>1408754.2776712559</v>
      </c>
      <c r="W20" s="42">
        <f t="shared" si="8"/>
        <v>679166.66666666674</v>
      </c>
      <c r="X20" s="42">
        <f t="shared" si="9"/>
        <v>0</v>
      </c>
      <c r="Y20" s="664">
        <f t="shared" si="10"/>
        <v>20624.396716020456</v>
      </c>
      <c r="Z20" s="664">
        <f>O20*10000</f>
        <v>679166.66666666674</v>
      </c>
      <c r="AA20" s="664">
        <f>Y20-10000</f>
        <v>10624.396716020456</v>
      </c>
      <c r="AB20" s="333">
        <f>VLOOKUP(A20,'2016-17 Funding Detail'!$A$4:$AH$23,27,FALSE)</f>
        <v>11132.557417444641</v>
      </c>
      <c r="AC20" s="666">
        <f t="shared" si="20"/>
        <v>11132.557417444641</v>
      </c>
      <c r="AD20" s="666">
        <f t="shared" si="11"/>
        <v>21132.557417444641</v>
      </c>
      <c r="AE20" s="726">
        <f t="shared" si="12"/>
        <v>8014.0007081998147</v>
      </c>
      <c r="AF20" s="727">
        <f t="shared" si="13"/>
        <v>1408754.2776712559</v>
      </c>
      <c r="AG20" s="549">
        <v>1435252.857934782</v>
      </c>
      <c r="AH20" s="549">
        <f t="shared" si="14"/>
        <v>-26498.580263526179</v>
      </c>
      <c r="AI20" s="387">
        <f t="shared" si="15"/>
        <v>679166.66666666674</v>
      </c>
      <c r="AJ20" s="387">
        <f t="shared" si="16"/>
        <v>729587.61100458913</v>
      </c>
      <c r="AK20" s="387">
        <f t="shared" si="21"/>
        <v>10742.394272460208</v>
      </c>
      <c r="AL20" s="696">
        <f t="shared" si="17"/>
        <v>20742.394272460209</v>
      </c>
      <c r="AM20" s="609" t="s">
        <v>556</v>
      </c>
      <c r="AN20" s="633" t="s">
        <v>402</v>
      </c>
      <c r="AO20" s="723">
        <f>AF20-'1819 Funding Detail'!D20-'1819 Funding Detail'!E20-'1819 Funding Detail'!L20</f>
        <v>996254.27767125587</v>
      </c>
      <c r="AP20" s="725">
        <f t="shared" si="22"/>
        <v>14668.774640558368</v>
      </c>
      <c r="AQ20" s="723">
        <f t="shared" si="18"/>
        <v>14448.743020949993</v>
      </c>
      <c r="AR20" s="73"/>
      <c r="AS20" s="73"/>
      <c r="AT20" s="73"/>
      <c r="AU20" s="73"/>
      <c r="AV20" s="387"/>
      <c r="AW20" s="73"/>
      <c r="AX20" s="125"/>
    </row>
    <row r="21" spans="1:50" ht="13" x14ac:dyDescent="0.3">
      <c r="A21" s="185"/>
      <c r="B21" s="43"/>
      <c r="C21" s="39"/>
      <c r="D21" s="94"/>
      <c r="E21" s="94"/>
      <c r="F21" s="666"/>
      <c r="G21" s="666"/>
      <c r="H21" s="666"/>
      <c r="I21" s="666"/>
      <c r="J21" s="666"/>
      <c r="K21" s="94"/>
      <c r="L21" s="94"/>
      <c r="M21" s="666"/>
      <c r="N21" s="666"/>
      <c r="O21" s="137"/>
      <c r="Q21" s="42"/>
      <c r="R21" s="42"/>
      <c r="S21" s="42"/>
      <c r="T21" s="42"/>
      <c r="U21" s="42"/>
      <c r="V21" s="42"/>
      <c r="W21" s="42"/>
      <c r="X21" s="42"/>
      <c r="Y21" s="664"/>
      <c r="Z21" s="664"/>
      <c r="AA21" s="664"/>
      <c r="AB21" s="94"/>
      <c r="AC21" s="666"/>
      <c r="AD21" s="666"/>
      <c r="AE21" s="679">
        <f t="shared" si="12"/>
        <v>0</v>
      </c>
      <c r="AF21" s="156"/>
      <c r="AG21" s="549"/>
      <c r="AH21" s="549"/>
      <c r="AI21" s="387"/>
      <c r="AJ21" s="387"/>
      <c r="AK21" s="387"/>
      <c r="AL21" s="696"/>
      <c r="AM21" s="61"/>
      <c r="AO21" s="723">
        <f>AF21-'1819 Funding Detail'!D21-'1819 Funding Detail'!E21-'1819 Funding Detail'!L21</f>
        <v>0</v>
      </c>
      <c r="AP21" s="818"/>
      <c r="AQ21" s="73"/>
      <c r="AR21" s="73"/>
      <c r="AS21" s="73"/>
      <c r="AT21" s="73"/>
      <c r="AU21" s="73"/>
      <c r="AV21" s="387"/>
      <c r="AW21" s="73"/>
      <c r="AX21" s="125"/>
    </row>
    <row r="22" spans="1:50" ht="13" x14ac:dyDescent="0.3">
      <c r="A22" s="185">
        <v>9257033</v>
      </c>
      <c r="B22" s="38" t="s">
        <v>72</v>
      </c>
      <c r="C22" s="335">
        <v>3</v>
      </c>
      <c r="D22" s="94">
        <f>'Funding Model'!$D$22</f>
        <v>314686.51772419503</v>
      </c>
      <c r="E22" s="94">
        <f>'Funding Model'!$E$22</f>
        <v>69201.680689977453</v>
      </c>
      <c r="F22" s="666"/>
      <c r="G22" s="666"/>
      <c r="H22" s="666">
        <f>VLOOKUP(A22,'Band Calculations 1718'!$A$107:$W$125,6,FALSE)</f>
        <v>0</v>
      </c>
      <c r="I22" s="666">
        <f>VLOOKUP(A22,'Band Calculations 1718'!$A$107:$W$125,13,FALSE)</f>
        <v>655822.17847756646</v>
      </c>
      <c r="J22" s="666">
        <f>VLOOKUP(A22,'Band Calculations 1718'!$A$107:$W$125,20,FALSE)</f>
        <v>66754.54652556518</v>
      </c>
      <c r="K22" s="94">
        <f>VLOOKUP(A22,'FSM Calculation 1718'!$A$4:$D$21,4,FALSE)</f>
        <v>14288</v>
      </c>
      <c r="L22" s="94">
        <v>666.89987413740721</v>
      </c>
      <c r="M22" s="666">
        <f>SUM(D22:L22)</f>
        <v>1121419.8232914417</v>
      </c>
      <c r="N22" s="666">
        <f>M22-F22</f>
        <v>1121419.8232914417</v>
      </c>
      <c r="O22" s="137">
        <f>VLOOKUP(A22,'Band Calculations 1718'!$A$107:$W$125,22,FALSE)</f>
        <v>73.333333333333343</v>
      </c>
      <c r="Q22" s="724">
        <f t="shared" si="4"/>
        <v>736864.72500313178</v>
      </c>
      <c r="R22" s="724">
        <f t="shared" si="5"/>
        <v>10048.155340951796</v>
      </c>
      <c r="S22" s="724">
        <f>VLOOKUP(A22,'2016-17 Funding Detail'!$A$2:$AD$23,30,FALSE)</f>
        <v>9901.8258879346722</v>
      </c>
      <c r="T22" s="42">
        <f t="shared" si="6"/>
        <v>146.32945301712425</v>
      </c>
      <c r="U22" s="724">
        <f t="shared" si="19"/>
        <v>0</v>
      </c>
      <c r="V22" s="724">
        <f t="shared" si="7"/>
        <v>1121419.8232914417</v>
      </c>
      <c r="W22" s="42">
        <f t="shared" si="8"/>
        <v>733333.33333333337</v>
      </c>
      <c r="X22" s="42">
        <f t="shared" si="9"/>
        <v>0</v>
      </c>
      <c r="Y22" s="664">
        <f t="shared" si="10"/>
        <v>15292.088499428748</v>
      </c>
      <c r="Z22" s="664">
        <f>O22*10000</f>
        <v>733333.33333333337</v>
      </c>
      <c r="AA22" s="664">
        <f>Y22-10000</f>
        <v>5292.088499428748</v>
      </c>
      <c r="AB22" s="333">
        <f>VLOOKUP(A22,'2016-17 Funding Detail'!$A$4:$AH$23,27,FALSE)</f>
        <v>6404.6030864580207</v>
      </c>
      <c r="AC22" s="666">
        <f t="shared" si="20"/>
        <v>6404.6030864580207</v>
      </c>
      <c r="AD22" s="666">
        <f t="shared" si="11"/>
        <v>16404.603086458021</v>
      </c>
      <c r="AE22" s="726">
        <f t="shared" si="12"/>
        <v>0</v>
      </c>
      <c r="AF22" s="727">
        <f t="shared" si="13"/>
        <v>1121419.8232914417</v>
      </c>
      <c r="AG22" s="549">
        <v>1203004.226340255</v>
      </c>
      <c r="AH22" s="549">
        <f t="shared" si="14"/>
        <v>-81584.403048813343</v>
      </c>
      <c r="AI22" s="387">
        <f t="shared" si="15"/>
        <v>733333.33333333337</v>
      </c>
      <c r="AJ22" s="387">
        <f t="shared" si="16"/>
        <v>388086.48995810829</v>
      </c>
      <c r="AK22" s="387">
        <f t="shared" si="21"/>
        <v>5292.0884994287489</v>
      </c>
      <c r="AL22" s="696">
        <f t="shared" si="17"/>
        <v>15292.088499428748</v>
      </c>
      <c r="AM22" s="609" t="s">
        <v>556</v>
      </c>
      <c r="AN22" s="633" t="s">
        <v>402</v>
      </c>
      <c r="AO22" s="723">
        <f>AF22-'1819 Funding Detail'!D22-'1819 Funding Detail'!E22-'1819 Funding Detail'!L22</f>
        <v>676419.82329144166</v>
      </c>
      <c r="AP22" s="725">
        <f>AO22/O22</f>
        <v>9223.90668124693</v>
      </c>
      <c r="AQ22" s="723">
        <f t="shared" si="18"/>
        <v>9085.5480810282261</v>
      </c>
      <c r="AR22" s="73"/>
      <c r="AS22" s="73"/>
      <c r="AT22" s="73"/>
      <c r="AU22" s="73"/>
      <c r="AV22" s="387"/>
      <c r="AW22" s="73"/>
      <c r="AX22" s="125"/>
    </row>
    <row r="23" spans="1:50" ht="13" x14ac:dyDescent="0.3">
      <c r="A23" s="185">
        <v>9257034</v>
      </c>
      <c r="B23" s="38" t="s">
        <v>74</v>
      </c>
      <c r="C23" s="335">
        <v>5</v>
      </c>
      <c r="D23" s="94">
        <f>'Funding Model'!D24</f>
        <v>418723.18610831723</v>
      </c>
      <c r="E23" s="94">
        <f>'Funding Model'!E24</f>
        <v>117027.3922528728</v>
      </c>
      <c r="F23" s="666"/>
      <c r="G23" s="666"/>
      <c r="H23" s="666">
        <f>VLOOKUP(A23,'Band Calculations 1718'!$A$107:$W$125,6,FALSE)</f>
        <v>0</v>
      </c>
      <c r="I23" s="666">
        <f>VLOOKUP(A23,'Band Calculations 1718'!$A$107:$W$125,13,FALSE)</f>
        <v>968299.67318560299</v>
      </c>
      <c r="J23" s="666">
        <f>VLOOKUP(A23,'Band Calculations 1718'!$A$107:$W$125,20,FALSE)</f>
        <v>64150.621249262302</v>
      </c>
      <c r="K23" s="94">
        <f>VLOOKUP(A23,'FSM Calculation 1718'!$A$4:$D$21,4,FALSE)</f>
        <v>17413.5</v>
      </c>
      <c r="L23" s="94">
        <v>811.36810468295653</v>
      </c>
      <c r="M23" s="666">
        <f>SUM(D23:L23)</f>
        <v>1586425.7409007384</v>
      </c>
      <c r="N23" s="666">
        <f>M23-F23</f>
        <v>1586425.7409007384</v>
      </c>
      <c r="O23" s="137">
        <f>VLOOKUP(A23,'Band Calculations 1718'!$A$107:$W$125,22,FALSE)</f>
        <v>118.91666666666667</v>
      </c>
      <c r="Q23" s="724">
        <f t="shared" si="4"/>
        <v>1049863.7944348655</v>
      </c>
      <c r="R23" s="724">
        <f t="shared" si="5"/>
        <v>8828.5672972798766</v>
      </c>
      <c r="S23" s="724">
        <f>VLOOKUP(A23,'2016-17 Funding Detail'!$A$2:$AD$23,30,FALSE)</f>
        <v>8697.9081347561532</v>
      </c>
      <c r="T23" s="42">
        <f t="shared" si="6"/>
        <v>130.65916252372335</v>
      </c>
      <c r="U23" s="724">
        <f t="shared" si="19"/>
        <v>0</v>
      </c>
      <c r="V23" s="724">
        <f t="shared" si="7"/>
        <v>1586425.7409007384</v>
      </c>
      <c r="W23" s="42">
        <f t="shared" si="8"/>
        <v>1189166.6666666667</v>
      </c>
      <c r="X23" s="42">
        <f t="shared" si="9"/>
        <v>0</v>
      </c>
      <c r="Y23" s="664">
        <f t="shared" si="10"/>
        <v>13340.650939599762</v>
      </c>
      <c r="Z23" s="664">
        <f>O23*10000</f>
        <v>1189166.6666666667</v>
      </c>
      <c r="AA23" s="664">
        <f>Y23-10000</f>
        <v>3340.6509395997618</v>
      </c>
      <c r="AB23" s="669">
        <f>VLOOKUP(A23,'2016-17 Funding Detail'!$A$4:$AH$23,27,FALSE)</f>
        <v>2977.3698130467183</v>
      </c>
      <c r="AC23" s="666">
        <f t="shared" si="20"/>
        <v>3340.6509395997618</v>
      </c>
      <c r="AD23" s="666">
        <f t="shared" si="11"/>
        <v>13340.650939599762</v>
      </c>
      <c r="AE23" s="726">
        <f t="shared" si="12"/>
        <v>0</v>
      </c>
      <c r="AF23" s="727">
        <f t="shared" si="13"/>
        <v>1586425.7409007384</v>
      </c>
      <c r="AG23" s="549">
        <v>1586425.7409007384</v>
      </c>
      <c r="AH23" s="549">
        <f t="shared" si="14"/>
        <v>0</v>
      </c>
      <c r="AI23" s="387">
        <f t="shared" si="15"/>
        <v>1189166.6666666667</v>
      </c>
      <c r="AJ23" s="387">
        <f t="shared" si="16"/>
        <v>397259.07423407165</v>
      </c>
      <c r="AK23" s="387">
        <f t="shared" si="21"/>
        <v>3340.6509395997614</v>
      </c>
      <c r="AL23" s="696">
        <f t="shared" si="17"/>
        <v>13340.650939599762</v>
      </c>
      <c r="AM23" s="609" t="s">
        <v>556</v>
      </c>
      <c r="AN23" s="633" t="s">
        <v>402</v>
      </c>
      <c r="AO23" s="723">
        <f>AF23-'1819 Funding Detail'!D23-'1819 Funding Detail'!E23-'1819 Funding Detail'!L23</f>
        <v>1113925.7409007384</v>
      </c>
      <c r="AP23" s="725">
        <f t="shared" si="22"/>
        <v>9367.2802318212052</v>
      </c>
      <c r="AQ23" s="723">
        <f t="shared" si="18"/>
        <v>9226.7710283438864</v>
      </c>
      <c r="AR23" s="73"/>
      <c r="AS23" s="73"/>
      <c r="AT23" s="73"/>
      <c r="AU23" s="73"/>
      <c r="AV23" s="387"/>
      <c r="AW23" s="73"/>
      <c r="AX23" s="125"/>
    </row>
    <row r="24" spans="1:50" x14ac:dyDescent="0.25">
      <c r="A24" s="69"/>
      <c r="B24" s="50"/>
      <c r="C24" s="61"/>
      <c r="D24" s="42"/>
      <c r="E24" s="42"/>
      <c r="F24" s="42"/>
      <c r="G24" s="42"/>
      <c r="H24" s="42"/>
      <c r="I24" s="42"/>
      <c r="J24" s="42"/>
      <c r="K24" s="80"/>
      <c r="L24" s="80"/>
      <c r="AG24" s="678"/>
      <c r="AH24" s="678"/>
    </row>
    <row r="25" spans="1:50" ht="13.5" customHeight="1" thickBot="1" x14ac:dyDescent="0.3">
      <c r="A25" s="69"/>
      <c r="D25" s="136">
        <f t="shared" ref="D25:M25" si="23">SUM(D4:D23)</f>
        <v>7087271.8823381308</v>
      </c>
      <c r="E25" s="136">
        <f t="shared" si="23"/>
        <v>1632492.0468683892</v>
      </c>
      <c r="F25" s="136">
        <f t="shared" si="23"/>
        <v>889975.85</v>
      </c>
      <c r="G25" s="136">
        <f t="shared" si="23"/>
        <v>41787</v>
      </c>
      <c r="H25" s="136">
        <f t="shared" si="23"/>
        <v>0</v>
      </c>
      <c r="I25" s="136">
        <f t="shared" si="23"/>
        <v>15319289.475201599</v>
      </c>
      <c r="J25" s="136">
        <f t="shared" si="23"/>
        <v>1176513.0737313814</v>
      </c>
      <c r="K25" s="136">
        <f t="shared" si="23"/>
        <v>230840.5</v>
      </c>
      <c r="L25" s="136">
        <f t="shared" si="23"/>
        <v>13304.411809383275</v>
      </c>
      <c r="M25" s="136">
        <f t="shared" si="23"/>
        <v>26391474.239948887</v>
      </c>
      <c r="N25" s="136">
        <f>SUM(N4:N23)</f>
        <v>25459711.38994889</v>
      </c>
      <c r="O25" s="166">
        <f>SUM(O4:O23)</f>
        <v>1741.916666666667</v>
      </c>
      <c r="P25" s="52"/>
      <c r="Q25" s="52"/>
      <c r="R25" s="52"/>
      <c r="S25" s="52"/>
      <c r="T25" s="52"/>
      <c r="U25" s="70">
        <f>SUM(U4:U23)</f>
        <v>290897.72226655023</v>
      </c>
      <c r="V25" s="70">
        <f>SUM(V4:V23)</f>
        <v>25750609.112215437</v>
      </c>
      <c r="W25" s="73"/>
      <c r="X25" s="52"/>
      <c r="Z25" s="73"/>
      <c r="AA25" s="75"/>
      <c r="AB25" s="52"/>
      <c r="AC25" s="52"/>
      <c r="AD25" s="656"/>
      <c r="AE25" s="136">
        <f>SUM(AE4:AE23)</f>
        <v>316796.73028208042</v>
      </c>
      <c r="AF25" s="136">
        <f>SUM(AF4:AF23)</f>
        <v>25776508.120230969</v>
      </c>
      <c r="AG25" s="128"/>
      <c r="AH25" s="128"/>
      <c r="AI25" s="128"/>
      <c r="AJ25" s="128"/>
      <c r="AK25" s="128"/>
      <c r="AL25" s="128"/>
      <c r="AW25" s="42"/>
    </row>
    <row r="26" spans="1:50" x14ac:dyDescent="0.25">
      <c r="A26" s="69"/>
      <c r="B26" s="40"/>
      <c r="C26" s="40"/>
      <c r="D26" s="79"/>
      <c r="E26" s="79"/>
      <c r="F26" s="79"/>
      <c r="G26" s="79"/>
      <c r="H26" s="79"/>
      <c r="I26" s="40"/>
      <c r="J26" s="40"/>
      <c r="M26" s="79"/>
      <c r="N26" s="124"/>
      <c r="O26" s="126"/>
      <c r="P26" s="52"/>
      <c r="Q26" s="52"/>
      <c r="R26" s="52"/>
      <c r="S26" s="52"/>
      <c r="T26" s="52"/>
      <c r="U26" s="52"/>
      <c r="V26" s="52"/>
      <c r="W26" s="52"/>
      <c r="X26" s="52"/>
      <c r="Z26" s="73"/>
      <c r="AA26" s="75"/>
      <c r="AB26" s="52"/>
      <c r="AC26" s="52"/>
      <c r="AD26" s="656"/>
      <c r="AO26" s="1978" t="s">
        <v>701</v>
      </c>
      <c r="AP26" s="1979"/>
      <c r="AQ26" s="1980"/>
      <c r="AW26" s="42"/>
    </row>
    <row r="27" spans="1:50" ht="13" thickBot="1" x14ac:dyDescent="0.3">
      <c r="B27" s="657"/>
      <c r="C27" s="657"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Y27" s="42" t="s">
        <v>402</v>
      </c>
      <c r="Z27" s="657" t="s">
        <v>402</v>
      </c>
      <c r="AA27" s="657" t="s">
        <v>402</v>
      </c>
      <c r="AB27" s="657" t="s">
        <v>402</v>
      </c>
      <c r="AC27" s="657" t="s">
        <v>402</v>
      </c>
      <c r="AD27" s="657" t="s">
        <v>402</v>
      </c>
      <c r="AE27" s="42"/>
      <c r="AF27" s="657" t="s">
        <v>402</v>
      </c>
      <c r="AO27" s="1981"/>
      <c r="AP27" s="1982"/>
      <c r="AQ27" s="1983"/>
      <c r="AW27" s="42"/>
    </row>
    <row r="28" spans="1:50" x14ac:dyDescent="0.25">
      <c r="B28" s="657"/>
      <c r="O28" s="165"/>
      <c r="AA28" s="79"/>
      <c r="AB28" s="79"/>
      <c r="AC28" s="40"/>
      <c r="AW28" s="42"/>
    </row>
    <row r="29" spans="1:50" x14ac:dyDescent="0.25">
      <c r="AK29" s="633"/>
    </row>
    <row r="31" spans="1:50" x14ac:dyDescent="0.25">
      <c r="AI31" s="526" t="s">
        <v>737</v>
      </c>
      <c r="AJ31" s="34"/>
      <c r="AK31" s="853" t="s">
        <v>738</v>
      </c>
      <c r="AL31" s="684">
        <v>70</v>
      </c>
      <c r="AM31" s="858">
        <v>1312995</v>
      </c>
      <c r="AO31" s="724">
        <f>AM31-'1819 Funding Detail'!D33-'1819 Funding Detail'!L33</f>
        <v>807995</v>
      </c>
      <c r="AP31" s="724">
        <f>AO31/AL31</f>
        <v>11542.785714285714</v>
      </c>
      <c r="AQ31" s="723">
        <f>AP31*98.5%</f>
        <v>11369.643928571428</v>
      </c>
    </row>
  </sheetData>
  <mergeCells count="3">
    <mergeCell ref="S2:S3"/>
    <mergeCell ref="AQ2:AQ3"/>
    <mergeCell ref="AO26:AQ27"/>
  </mergeCells>
  <pageMargins left="0.7" right="0.7" top="0.75" bottom="0.75" header="0.3" footer="0.3"/>
  <pageSetup paperSize="9" orientation="portrait" r:id="rId1"/>
  <ignoredErrors>
    <ignoredError sqref="D6:E6 D8:E8 D10:E11 N14" 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P129"/>
  <sheetViews>
    <sheetView zoomScale="85" zoomScaleNormal="85" workbookViewId="0">
      <selection activeCell="AA107" sqref="AA107"/>
    </sheetView>
  </sheetViews>
  <sheetFormatPr defaultColWidth="10.26953125" defaultRowHeight="12.5" x14ac:dyDescent="0.25"/>
  <cols>
    <col min="1" max="1" width="9.1796875" style="34" customWidth="1"/>
    <col min="2" max="2" width="26.7265625" style="34" customWidth="1"/>
    <col min="3" max="3" width="6.26953125" style="34" bestFit="1" customWidth="1"/>
    <col min="4" max="5" width="11.26953125" style="34" customWidth="1"/>
    <col min="6" max="6" width="11.1796875" style="34" customWidth="1"/>
    <col min="7" max="8" width="10.26953125" style="34" customWidth="1"/>
    <col min="9" max="9" width="11.54296875" style="657" customWidth="1"/>
    <col min="10" max="10" width="11.1796875" style="657" customWidth="1"/>
    <col min="11" max="11" width="11" style="34" customWidth="1"/>
    <col min="12" max="12" width="11.1796875" style="34" customWidth="1"/>
    <col min="13" max="13" width="11.26953125" style="34" customWidth="1"/>
    <col min="14" max="14" width="10.54296875" style="34" customWidth="1"/>
    <col min="15" max="15" width="12.81640625" style="34" customWidth="1"/>
    <col min="16" max="16" width="11.54296875" style="34" customWidth="1"/>
    <col min="17" max="17" width="11" style="34" customWidth="1"/>
    <col min="18" max="18" width="11.54296875" style="34" customWidth="1"/>
    <col min="19" max="19" width="12.453125" style="34" customWidth="1"/>
    <col min="20" max="20" width="12.26953125" style="34" customWidth="1"/>
    <col min="21" max="22" width="11.26953125" style="34" bestFit="1" customWidth="1"/>
    <col min="23" max="24" width="10.26953125" style="34"/>
    <col min="25" max="25" width="11.1796875" style="34" bestFit="1" customWidth="1"/>
    <col min="26" max="26" width="11.26953125" style="34" bestFit="1" customWidth="1"/>
    <col min="27" max="27" width="11" style="34" customWidth="1"/>
    <col min="28" max="28" width="11.1796875" style="34" customWidth="1"/>
    <col min="29" max="36" width="10.26953125" style="34"/>
    <col min="37" max="37" width="2" style="34" customWidth="1"/>
    <col min="38" max="38" width="11" style="34" customWidth="1"/>
    <col min="39" max="16384" width="10.26953125" style="34"/>
  </cols>
  <sheetData>
    <row r="1" spans="1:27" x14ac:dyDescent="0.25">
      <c r="A1" s="63" t="s">
        <v>97</v>
      </c>
      <c r="C1" s="33"/>
      <c r="S1" s="1899" t="s">
        <v>379</v>
      </c>
      <c r="T1" s="338"/>
      <c r="U1" s="1902" t="s">
        <v>380</v>
      </c>
      <c r="V1" s="1902"/>
      <c r="W1" s="1902"/>
    </row>
    <row r="2" spans="1:27" ht="13" x14ac:dyDescent="0.3">
      <c r="A2" s="63"/>
      <c r="C2" s="33"/>
      <c r="E2" s="332" t="s">
        <v>607</v>
      </c>
      <c r="S2" s="1900"/>
      <c r="T2" s="339"/>
      <c r="U2" s="1902" t="s">
        <v>381</v>
      </c>
      <c r="V2" s="1902"/>
      <c r="W2" s="1902"/>
    </row>
    <row r="3" spans="1:27" ht="13" x14ac:dyDescent="0.3">
      <c r="A3" s="230" t="s">
        <v>282</v>
      </c>
      <c r="C3" s="47"/>
      <c r="I3" s="231" t="s">
        <v>608</v>
      </c>
      <c r="S3" s="1900"/>
      <c r="T3" s="340"/>
      <c r="U3" s="1902" t="s">
        <v>382</v>
      </c>
      <c r="V3" s="1902"/>
      <c r="W3" s="1902"/>
    </row>
    <row r="4" spans="1:27" x14ac:dyDescent="0.25">
      <c r="B4" s="35"/>
      <c r="C4" s="35"/>
      <c r="P4" s="1893" t="s">
        <v>332</v>
      </c>
      <c r="Q4" s="1894"/>
      <c r="S4" s="1901"/>
      <c r="T4" s="341"/>
      <c r="U4" s="1902" t="s">
        <v>383</v>
      </c>
      <c r="V4" s="1902"/>
      <c r="W4" s="1902"/>
    </row>
    <row r="5" spans="1:27" ht="37.5" x14ac:dyDescent="0.25">
      <c r="A5" s="183" t="s">
        <v>201</v>
      </c>
      <c r="B5" s="36" t="s">
        <v>66</v>
      </c>
      <c r="C5" s="659" t="s">
        <v>51</v>
      </c>
      <c r="D5" s="34" t="s">
        <v>256</v>
      </c>
      <c r="E5" s="34" t="s">
        <v>257</v>
      </c>
      <c r="F5" s="34" t="s">
        <v>258</v>
      </c>
      <c r="G5" s="34" t="s">
        <v>259</v>
      </c>
      <c r="H5" s="34" t="s">
        <v>260</v>
      </c>
      <c r="I5" s="663" t="s">
        <v>252</v>
      </c>
      <c r="J5" s="663" t="s">
        <v>253</v>
      </c>
      <c r="K5" s="663" t="s">
        <v>251</v>
      </c>
      <c r="L5" s="663" t="s">
        <v>385</v>
      </c>
      <c r="M5" s="663" t="s">
        <v>336</v>
      </c>
      <c r="N5" s="663" t="s">
        <v>386</v>
      </c>
      <c r="O5" s="663" t="s">
        <v>387</v>
      </c>
      <c r="P5" s="413" t="s">
        <v>337</v>
      </c>
      <c r="Q5" s="694" t="s">
        <v>338</v>
      </c>
    </row>
    <row r="6" spans="1:27" x14ac:dyDescent="0.25">
      <c r="A6" s="185">
        <v>9257010</v>
      </c>
      <c r="B6" s="38" t="s">
        <v>67</v>
      </c>
      <c r="C6" s="337">
        <v>4</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39</v>
      </c>
      <c r="K6" s="168">
        <f>SUM(I6:J6)</f>
        <v>39</v>
      </c>
      <c r="L6" s="80">
        <f t="shared" ref="L6:L23" si="0">((((I6*D6)*$G$92)+((I6*E6)*$G$94)+((I6*F6)*$G$96)+((I6*G6)*$G$98)+((I6*H6)*$G$100)))*(5/12)</f>
        <v>0</v>
      </c>
      <c r="M6" s="80">
        <f>((((J6*D6)*$G$92)+((J6*E6)*$G$94)+((J6*F6)*$G$96)+((J6*G6)*$G$98)+((J6*H6)*$G$100))*(5/12))</f>
        <v>159296.75426002138</v>
      </c>
      <c r="N6" s="80">
        <f>((K6*H6)*$G$102)*(5/12)</f>
        <v>3058.5377284974647</v>
      </c>
      <c r="O6" s="80">
        <f>SUM(L6:N6)</f>
        <v>162355.29198851885</v>
      </c>
      <c r="P6" s="724">
        <f>(K6*(5/12))*10000</f>
        <v>162500</v>
      </c>
      <c r="Q6" s="724">
        <f>(VLOOKUP(A6,'2017-18 Funding Detail'!$A$4:$AK$23,37,FALSE)*5/12)*K6</f>
        <v>162763.45085846286</v>
      </c>
      <c r="R6" s="42"/>
      <c r="S6" s="80"/>
      <c r="T6" s="42"/>
      <c r="U6" s="623" t="s">
        <v>566</v>
      </c>
      <c r="X6" s="42"/>
    </row>
    <row r="7" spans="1:27" ht="12.75" customHeight="1" x14ac:dyDescent="0.25">
      <c r="A7" s="185">
        <v>9257005</v>
      </c>
      <c r="B7" s="38" t="s">
        <v>68</v>
      </c>
      <c r="C7" s="335">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45</v>
      </c>
      <c r="K7" s="168">
        <f t="shared" ref="K7:K23" si="1">SUM(I7:J7)</f>
        <v>45</v>
      </c>
      <c r="L7" s="80">
        <f t="shared" si="0"/>
        <v>0</v>
      </c>
      <c r="M7" s="80">
        <f t="shared" ref="M7:M23" si="2">((((J7*D7)*$G$92)+((J7*E7)*$G$94)+((J7*F7)*$G$96)+((J7*G7)*$G$98)+((J7*H7)*$G$100))*(5/12))</f>
        <v>172829.35705892986</v>
      </c>
      <c r="N7" s="80">
        <f t="shared" ref="N7:N23" si="3">((K7*H7)*$G$102)*(5/12)</f>
        <v>9751.4107740556829</v>
      </c>
      <c r="O7" s="80">
        <f>SUM(L7:N7)</f>
        <v>182580.76783298556</v>
      </c>
      <c r="P7" s="724">
        <f>(K7*(5/12))*10000</f>
        <v>187500</v>
      </c>
      <c r="Q7" s="724">
        <f>(VLOOKUP(A7,'2017-18 Funding Detail'!$A$4:$AK$23,37,FALSE)*5/12)*K7</f>
        <v>121347.13991984416</v>
      </c>
      <c r="R7" s="42"/>
      <c r="S7" s="80"/>
      <c r="T7" s="626" t="s">
        <v>402</v>
      </c>
      <c r="U7" s="624" t="s">
        <v>567</v>
      </c>
      <c r="V7" s="33"/>
      <c r="W7" s="33"/>
      <c r="X7" s="42"/>
      <c r="Y7" s="662"/>
    </row>
    <row r="8" spans="1:27" ht="12.75" customHeight="1" x14ac:dyDescent="0.25">
      <c r="A8" s="185">
        <v>9257025</v>
      </c>
      <c r="B8" s="38" t="s">
        <v>69</v>
      </c>
      <c r="C8" s="667">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0</v>
      </c>
      <c r="J8" s="233">
        <v>49</v>
      </c>
      <c r="K8" s="168">
        <f t="shared" si="1"/>
        <v>49</v>
      </c>
      <c r="L8" s="80">
        <f t="shared" si="0"/>
        <v>0</v>
      </c>
      <c r="M8" s="80">
        <f t="shared" si="2"/>
        <v>195618.96882617046</v>
      </c>
      <c r="N8" s="80">
        <f t="shared" si="3"/>
        <v>11165.808272492439</v>
      </c>
      <c r="O8" s="80">
        <f t="shared" ref="O8:O23" si="4">SUM(L8:N8)</f>
        <v>206784.77709866289</v>
      </c>
      <c r="P8" s="724">
        <f t="shared" ref="P8:P23" si="5">(K8*(5/12))*10000</f>
        <v>204166.66666666669</v>
      </c>
      <c r="Q8" s="724">
        <f>(VLOOKUP(A8,'2017-18 Funding Detail'!$A$4:$AK$23,37,FALSE)*5/12)*K8</f>
        <v>166427.18010728981</v>
      </c>
      <c r="R8" s="42"/>
      <c r="S8" s="80"/>
      <c r="T8" s="626" t="s">
        <v>402</v>
      </c>
      <c r="U8" s="1895" t="s">
        <v>592</v>
      </c>
      <c r="V8" s="1895"/>
      <c r="W8" s="1895"/>
      <c r="X8" s="1895"/>
      <c r="Y8" s="1895"/>
      <c r="Z8" s="1895"/>
      <c r="AA8" s="1895"/>
    </row>
    <row r="9" spans="1:27" x14ac:dyDescent="0.25">
      <c r="A9" s="185">
        <v>9257011</v>
      </c>
      <c r="B9" s="38" t="s">
        <v>70</v>
      </c>
      <c r="C9" s="335">
        <v>4</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47</v>
      </c>
      <c r="K9" s="168">
        <f t="shared" si="1"/>
        <v>47</v>
      </c>
      <c r="L9" s="80">
        <f t="shared" si="0"/>
        <v>0</v>
      </c>
      <c r="M9" s="80">
        <f t="shared" si="2"/>
        <v>193067.83313279488</v>
      </c>
      <c r="N9" s="80">
        <f t="shared" si="3"/>
        <v>8027.1366253329461</v>
      </c>
      <c r="O9" s="80">
        <f t="shared" si="4"/>
        <v>201094.96975812782</v>
      </c>
      <c r="P9" s="724">
        <f t="shared" si="5"/>
        <v>195833.33333333334</v>
      </c>
      <c r="Q9" s="724">
        <f>(VLOOKUP(A9,'2017-18 Funding Detail'!$A$4:$AK$23,37,FALSE)*5/12)*K9</f>
        <v>187827.85785788091</v>
      </c>
      <c r="R9" s="42"/>
      <c r="S9" s="80"/>
      <c r="T9" s="626"/>
      <c r="U9" s="1895"/>
      <c r="V9" s="1895"/>
      <c r="W9" s="1895"/>
      <c r="X9" s="1895"/>
      <c r="Y9" s="1895"/>
      <c r="Z9" s="1895"/>
      <c r="AA9" s="1895"/>
    </row>
    <row r="10" spans="1:27" x14ac:dyDescent="0.25">
      <c r="A10" s="185">
        <v>9257024</v>
      </c>
      <c r="B10" s="38" t="s">
        <v>71</v>
      </c>
      <c r="C10" s="335">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0</v>
      </c>
      <c r="J10" s="233">
        <v>45</v>
      </c>
      <c r="K10" s="168">
        <f t="shared" si="1"/>
        <v>45</v>
      </c>
      <c r="L10" s="80">
        <f t="shared" si="0"/>
        <v>0</v>
      </c>
      <c r="M10" s="80">
        <f t="shared" si="2"/>
        <v>171482.24983746134</v>
      </c>
      <c r="N10" s="80">
        <f t="shared" si="3"/>
        <v>2694.9353411935704</v>
      </c>
      <c r="O10" s="80">
        <f t="shared" si="4"/>
        <v>174177.18517865491</v>
      </c>
      <c r="P10" s="724">
        <f t="shared" si="5"/>
        <v>187500</v>
      </c>
      <c r="Q10" s="724">
        <f>(VLOOKUP(A10,'2017-18 Funding Detail'!$A$4:$AK$23,37,FALSE)*5/12)*K10</f>
        <v>104277.79736338869</v>
      </c>
      <c r="R10" s="42"/>
      <c r="S10" s="80"/>
      <c r="T10" s="626"/>
      <c r="U10" s="1895"/>
      <c r="V10" s="1895"/>
      <c r="W10" s="1895"/>
      <c r="X10" s="1895"/>
      <c r="Y10" s="1895"/>
      <c r="Z10" s="1895"/>
      <c r="AA10" s="1895"/>
    </row>
    <row r="11" spans="1:27" ht="12.75" customHeight="1" x14ac:dyDescent="0.25">
      <c r="A11" s="185">
        <v>9257031</v>
      </c>
      <c r="B11" s="38" t="s">
        <v>98</v>
      </c>
      <c r="C11" s="335">
        <v>4</v>
      </c>
      <c r="D11" s="49">
        <f>'Revised Band Returns'!F35</f>
        <v>0</v>
      </c>
      <c r="E11" s="49">
        <f>'Revised Band Returns'!H35</f>
        <v>0</v>
      </c>
      <c r="F11" s="49">
        <f>'Revised Band Returns'!J35</f>
        <v>0</v>
      </c>
      <c r="G11" s="49">
        <f>'Revised Band Returns'!L35</f>
        <v>0</v>
      </c>
      <c r="H11" s="49">
        <f>'Revised Band Returns'!N35</f>
        <v>1</v>
      </c>
      <c r="I11" s="233">
        <v>0</v>
      </c>
      <c r="J11" s="233">
        <v>68</v>
      </c>
      <c r="K11" s="168">
        <f t="shared" si="1"/>
        <v>68</v>
      </c>
      <c r="L11" s="80">
        <f t="shared" si="0"/>
        <v>0</v>
      </c>
      <c r="M11" s="80">
        <f t="shared" si="2"/>
        <v>331273.91807940899</v>
      </c>
      <c r="N11" s="80">
        <f t="shared" si="3"/>
        <v>74659.69019306633</v>
      </c>
      <c r="O11" s="80">
        <f t="shared" si="4"/>
        <v>405933.60827247531</v>
      </c>
      <c r="P11" s="724">
        <f t="shared" si="5"/>
        <v>283333.33333333337</v>
      </c>
      <c r="Q11" s="724">
        <f>(VLOOKUP(A11,'2017-18 Funding Detail'!$A$4:$AK$23,37,FALSE)*5/12)*K11</f>
        <v>297258.57375973515</v>
      </c>
      <c r="R11" s="42"/>
      <c r="S11" s="80"/>
      <c r="T11" s="626"/>
      <c r="U11" s="1895" t="s">
        <v>568</v>
      </c>
      <c r="V11" s="1895"/>
      <c r="W11" s="1895"/>
      <c r="X11" s="1895"/>
      <c r="Y11" s="1895"/>
      <c r="Z11" s="1895"/>
      <c r="AA11" s="1895"/>
    </row>
    <row r="12" spans="1:27" x14ac:dyDescent="0.25">
      <c r="A12" s="185">
        <v>9257033</v>
      </c>
      <c r="B12" s="38" t="s">
        <v>72</v>
      </c>
      <c r="C12" s="335">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0</v>
      </c>
      <c r="J12" s="233">
        <v>57</v>
      </c>
      <c r="K12" s="168">
        <f t="shared" si="1"/>
        <v>57</v>
      </c>
      <c r="L12" s="80">
        <f t="shared" si="0"/>
        <v>0</v>
      </c>
      <c r="M12" s="80">
        <f t="shared" si="2"/>
        <v>212396.95552966642</v>
      </c>
      <c r="N12" s="80">
        <f t="shared" si="3"/>
        <v>21619.370181575086</v>
      </c>
      <c r="O12" s="80">
        <f t="shared" si="4"/>
        <v>234016.32571124152</v>
      </c>
      <c r="P12" s="724">
        <f t="shared" si="5"/>
        <v>237500</v>
      </c>
      <c r="Q12" s="724">
        <f>(VLOOKUP(A12,'2017-18 Funding Detail'!$A$4:$AK$23,37,FALSE)*5/12)*K12</f>
        <v>125687.10186143278</v>
      </c>
      <c r="R12" s="42"/>
      <c r="S12" s="80"/>
      <c r="T12" s="626"/>
      <c r="U12" s="1895"/>
      <c r="V12" s="1895"/>
      <c r="W12" s="1895"/>
      <c r="X12" s="1895"/>
      <c r="Y12" s="1895"/>
      <c r="Z12" s="1895"/>
      <c r="AA12" s="1895"/>
    </row>
    <row r="13" spans="1:27" x14ac:dyDescent="0.25">
      <c r="A13" s="185">
        <v>9257008</v>
      </c>
      <c r="B13" s="38" t="s">
        <v>73</v>
      </c>
      <c r="C13" s="667">
        <v>4</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0</v>
      </c>
      <c r="J13" s="233">
        <v>90</v>
      </c>
      <c r="K13" s="168">
        <f t="shared" si="1"/>
        <v>90</v>
      </c>
      <c r="L13" s="80">
        <f t="shared" si="0"/>
        <v>0</v>
      </c>
      <c r="M13" s="80">
        <f>((((J13*D13)*$G$92)+((J13*E13)*$G$94)+((J13*F13)*$G$96)+((J13*G13)*$G$98)+((J13*H13)*$G$100))*(5/12))</f>
        <v>300051.70758049889</v>
      </c>
      <c r="N13" s="80">
        <f t="shared" si="3"/>
        <v>27900.507061768727</v>
      </c>
      <c r="O13" s="80">
        <f t="shared" si="4"/>
        <v>327952.21464226762</v>
      </c>
      <c r="P13" s="724">
        <f t="shared" si="5"/>
        <v>375000</v>
      </c>
      <c r="Q13" s="724">
        <f>(VLOOKUP(A13,'2017-18 Funding Detail'!$A$4:$AK$23,37,FALSE)*5/12)*K13</f>
        <v>164161.03455877426</v>
      </c>
      <c r="R13" s="42"/>
      <c r="S13" s="80"/>
      <c r="T13" s="626"/>
      <c r="U13" s="1895"/>
      <c r="V13" s="1895"/>
      <c r="W13" s="1895"/>
      <c r="X13" s="1895"/>
      <c r="Y13" s="1895"/>
      <c r="Z13" s="1895"/>
      <c r="AA13" s="1895"/>
    </row>
    <row r="14" spans="1:27" x14ac:dyDescent="0.25">
      <c r="A14" s="185">
        <v>9257034</v>
      </c>
      <c r="B14" s="38" t="s">
        <v>74</v>
      </c>
      <c r="C14" s="335">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89</v>
      </c>
      <c r="K14" s="168">
        <f t="shared" si="1"/>
        <v>89</v>
      </c>
      <c r="L14" s="80">
        <f t="shared" si="0"/>
        <v>0</v>
      </c>
      <c r="M14" s="80">
        <f t="shared" si="2"/>
        <v>301957.50144890911</v>
      </c>
      <c r="N14" s="80">
        <f t="shared" si="3"/>
        <v>20004.923935474231</v>
      </c>
      <c r="O14" s="80">
        <f t="shared" si="4"/>
        <v>321962.42538438336</v>
      </c>
      <c r="P14" s="724">
        <f t="shared" si="5"/>
        <v>370833.33333333337</v>
      </c>
      <c r="Q14" s="724">
        <f>(VLOOKUP(A14,'2017-18 Funding Detail'!$A$4:$AK$23,37,FALSE)*5/12)*K14</f>
        <v>123882.47234349116</v>
      </c>
      <c r="R14" s="42"/>
      <c r="S14" s="80"/>
      <c r="T14" s="626"/>
      <c r="U14" s="1895"/>
      <c r="V14" s="1895"/>
      <c r="W14" s="1895"/>
      <c r="X14" s="1895"/>
      <c r="Y14" s="1895"/>
      <c r="Z14" s="1895"/>
      <c r="AA14" s="1895"/>
    </row>
    <row r="15" spans="1:27" x14ac:dyDescent="0.25">
      <c r="A15" s="185">
        <v>9257002</v>
      </c>
      <c r="B15" s="38" t="s">
        <v>75</v>
      </c>
      <c r="C15" s="335">
        <v>5</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125</v>
      </c>
      <c r="K15" s="168">
        <f t="shared" si="1"/>
        <v>125</v>
      </c>
      <c r="L15" s="80">
        <f t="shared" si="0"/>
        <v>0</v>
      </c>
      <c r="M15" s="80">
        <f t="shared" si="2"/>
        <v>376943.02906798979</v>
      </c>
      <c r="N15" s="80">
        <f t="shared" si="3"/>
        <v>12686.242463601851</v>
      </c>
      <c r="O15" s="80">
        <f t="shared" si="4"/>
        <v>389629.27153159166</v>
      </c>
      <c r="P15" s="724">
        <f t="shared" si="5"/>
        <v>520833.33333333337</v>
      </c>
      <c r="Q15" s="724">
        <f>(VLOOKUP(A15,'2017-18 Funding Detail'!$A$4:$AK$23,37,FALSE)*5/12)*K15</f>
        <v>84745.351965175039</v>
      </c>
      <c r="R15" s="42"/>
      <c r="S15" s="80"/>
      <c r="T15" s="626"/>
      <c r="U15" s="1895"/>
      <c r="V15" s="1895"/>
      <c r="W15" s="1895"/>
      <c r="X15" s="1895"/>
      <c r="Y15" s="1895"/>
      <c r="Z15" s="1895"/>
      <c r="AA15" s="1895"/>
    </row>
    <row r="16" spans="1:27" x14ac:dyDescent="0.25">
      <c r="A16" s="185">
        <v>9257009</v>
      </c>
      <c r="B16" s="38" t="s">
        <v>76</v>
      </c>
      <c r="C16" s="335">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128</v>
      </c>
      <c r="K16" s="168">
        <f t="shared" si="1"/>
        <v>128</v>
      </c>
      <c r="L16" s="80">
        <f t="shared" si="0"/>
        <v>0</v>
      </c>
      <c r="M16" s="80">
        <f t="shared" si="2"/>
        <v>386326.99019738677</v>
      </c>
      <c r="N16" s="80">
        <f t="shared" si="3"/>
        <v>19458.815181541268</v>
      </c>
      <c r="O16" s="80">
        <f t="shared" si="4"/>
        <v>405785.80537892802</v>
      </c>
      <c r="P16" s="724">
        <f t="shared" si="5"/>
        <v>533333.33333333337</v>
      </c>
      <c r="Q16" s="724">
        <f>(VLOOKUP(A16,'2017-18 Funding Detail'!$A$4:$AK$23,37,FALSE)*5/12)*K16</f>
        <v>82760.594660838993</v>
      </c>
      <c r="R16" s="42"/>
      <c r="S16" s="80"/>
      <c r="T16" s="626"/>
      <c r="U16" s="1895"/>
      <c r="V16" s="1895"/>
      <c r="W16" s="1895"/>
      <c r="X16" s="1895"/>
      <c r="Y16" s="1895"/>
      <c r="Z16" s="1895"/>
      <c r="AA16" s="1895"/>
    </row>
    <row r="17" spans="1:24" x14ac:dyDescent="0.25">
      <c r="A17" s="185">
        <v>9257029</v>
      </c>
      <c r="B17" s="38" t="s">
        <v>99</v>
      </c>
      <c r="C17" s="667">
        <v>3</v>
      </c>
      <c r="D17" s="49">
        <f>'Revised Band Returns'!F41</f>
        <v>0</v>
      </c>
      <c r="E17" s="49">
        <f>'Revised Band Returns'!H41</f>
        <v>0</v>
      </c>
      <c r="F17" s="49">
        <f>'Revised Band Returns'!J41</f>
        <v>0</v>
      </c>
      <c r="G17" s="49">
        <f>'Revised Band Returns'!L41</f>
        <v>0</v>
      </c>
      <c r="H17" s="49">
        <f>'Revised Band Returns'!N41</f>
        <v>1</v>
      </c>
      <c r="I17" s="233">
        <v>0</v>
      </c>
      <c r="J17" s="233">
        <v>44</v>
      </c>
      <c r="K17" s="168">
        <f t="shared" si="1"/>
        <v>44</v>
      </c>
      <c r="L17" s="80">
        <f t="shared" si="0"/>
        <v>0</v>
      </c>
      <c r="M17" s="80">
        <f t="shared" si="2"/>
        <v>214353.7116984411</v>
      </c>
      <c r="N17" s="80">
        <f t="shared" si="3"/>
        <v>48309.211301395851</v>
      </c>
      <c r="O17" s="80">
        <f t="shared" si="4"/>
        <v>262662.92299983697</v>
      </c>
      <c r="P17" s="724">
        <f t="shared" si="5"/>
        <v>183333.33333333334</v>
      </c>
      <c r="Q17" s="724">
        <f>(VLOOKUP(A17,'2017-18 Funding Detail'!$A$4:$AK$23,37,FALSE)*5/12)*K17</f>
        <v>225229.08036485172</v>
      </c>
      <c r="R17" s="42"/>
      <c r="S17" s="80"/>
      <c r="T17" s="626" t="s">
        <v>402</v>
      </c>
      <c r="U17" s="625" t="s">
        <v>569</v>
      </c>
      <c r="X17" s="42"/>
    </row>
    <row r="18" spans="1:24" x14ac:dyDescent="0.25">
      <c r="A18" s="185">
        <v>9257032</v>
      </c>
      <c r="B18" s="38" t="s">
        <v>100</v>
      </c>
      <c r="C18" s="335">
        <v>4</v>
      </c>
      <c r="D18" s="49">
        <f>'Revised Band Returns'!F42</f>
        <v>0</v>
      </c>
      <c r="E18" s="49">
        <f>'Revised Band Returns'!H42</f>
        <v>0</v>
      </c>
      <c r="F18" s="49">
        <f>'Revised Band Returns'!J42</f>
        <v>0</v>
      </c>
      <c r="G18" s="49">
        <f>'Revised Band Returns'!L42</f>
        <v>0</v>
      </c>
      <c r="H18" s="49">
        <f>'Revised Band Returns'!N42</f>
        <v>1</v>
      </c>
      <c r="I18" s="233">
        <v>0</v>
      </c>
      <c r="J18" s="233">
        <v>60</v>
      </c>
      <c r="K18" s="168">
        <f t="shared" si="1"/>
        <v>60</v>
      </c>
      <c r="L18" s="80">
        <f t="shared" si="0"/>
        <v>0</v>
      </c>
      <c r="M18" s="80">
        <f t="shared" si="2"/>
        <v>292300.51595241966</v>
      </c>
      <c r="N18" s="80">
        <f t="shared" si="3"/>
        <v>65876.197229176163</v>
      </c>
      <c r="O18" s="80">
        <f t="shared" si="4"/>
        <v>358176.71318159584</v>
      </c>
      <c r="P18" s="724">
        <f t="shared" si="5"/>
        <v>250000</v>
      </c>
      <c r="Q18" s="724">
        <f>(VLOOKUP(A18,'2017-18 Funding Detail'!$A$4:$AK$23,37,FALSE)*5/12)*K18</f>
        <v>284712.89351965004</v>
      </c>
      <c r="R18" s="42"/>
      <c r="S18" s="80"/>
      <c r="T18" s="42"/>
      <c r="X18" s="42"/>
    </row>
    <row r="19" spans="1:24" x14ac:dyDescent="0.25">
      <c r="A19" s="185">
        <v>9257030</v>
      </c>
      <c r="B19" s="38" t="s">
        <v>92</v>
      </c>
      <c r="C19" s="667">
        <v>4</v>
      </c>
      <c r="D19" s="49">
        <f>'Revised Band Returns'!F43</f>
        <v>0</v>
      </c>
      <c r="E19" s="49">
        <f>'Revised Band Returns'!H43</f>
        <v>0</v>
      </c>
      <c r="F19" s="49">
        <f>'Revised Band Returns'!J43</f>
        <v>0</v>
      </c>
      <c r="G19" s="49">
        <f>'Revised Band Returns'!L43</f>
        <v>0</v>
      </c>
      <c r="H19" s="49">
        <f>'Revised Band Returns'!N43</f>
        <v>1</v>
      </c>
      <c r="I19" s="233">
        <v>0</v>
      </c>
      <c r="J19" s="233">
        <v>65</v>
      </c>
      <c r="K19" s="168">
        <f t="shared" si="1"/>
        <v>65</v>
      </c>
      <c r="L19" s="80">
        <f t="shared" si="0"/>
        <v>0</v>
      </c>
      <c r="M19" s="80">
        <f t="shared" si="2"/>
        <v>316658.89228178799</v>
      </c>
      <c r="N19" s="80">
        <f t="shared" si="3"/>
        <v>71365.880331607506</v>
      </c>
      <c r="O19" s="80">
        <f t="shared" si="4"/>
        <v>388024.77261339547</v>
      </c>
      <c r="P19" s="724">
        <f t="shared" si="5"/>
        <v>270833.33333333337</v>
      </c>
      <c r="Q19" s="724">
        <f>(VLOOKUP(A19,'2017-18 Funding Detail'!$A$4:$AK$23,37,FALSE)*5/12)*K19</f>
        <v>290939.8448791306</v>
      </c>
      <c r="R19" s="42"/>
      <c r="S19" s="80"/>
      <c r="T19" s="42"/>
      <c r="X19" s="42"/>
    </row>
    <row r="20" spans="1:24" x14ac:dyDescent="0.25">
      <c r="A20" s="185">
        <v>9257028</v>
      </c>
      <c r="B20" s="38" t="s">
        <v>77</v>
      </c>
      <c r="C20" s="335">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523">
        <v>0</v>
      </c>
      <c r="J20" s="233">
        <v>53</v>
      </c>
      <c r="K20" s="168">
        <f t="shared" si="1"/>
        <v>53</v>
      </c>
      <c r="L20" s="525">
        <f t="shared" si="0"/>
        <v>0</v>
      </c>
      <c r="M20" s="80">
        <f t="shared" si="2"/>
        <v>225787.58195988418</v>
      </c>
      <c r="N20" s="80">
        <f t="shared" si="3"/>
        <v>13932.970352931388</v>
      </c>
      <c r="O20" s="80">
        <f t="shared" si="4"/>
        <v>239720.55231281556</v>
      </c>
      <c r="P20" s="724">
        <f t="shared" si="5"/>
        <v>220833.33333333334</v>
      </c>
      <c r="Q20" s="724">
        <f>(VLOOKUP(A20,'2017-18 Funding Detail'!$A$4:$AK$23,37,FALSE)*5/12)*K20</f>
        <v>178815.692572225</v>
      </c>
      <c r="R20" s="42"/>
      <c r="S20" s="80"/>
      <c r="T20" s="42"/>
      <c r="X20" s="42"/>
    </row>
    <row r="21" spans="1:24" x14ac:dyDescent="0.25">
      <c r="A21" s="185">
        <v>9257021</v>
      </c>
      <c r="B21" s="38" t="s">
        <v>78</v>
      </c>
      <c r="C21" s="667">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154</v>
      </c>
      <c r="K21" s="168">
        <f t="shared" si="1"/>
        <v>154</v>
      </c>
      <c r="L21" s="80">
        <f t="shared" si="0"/>
        <v>0</v>
      </c>
      <c r="M21" s="80">
        <f t="shared" si="2"/>
        <v>471649.59215605265</v>
      </c>
      <c r="N21" s="80">
        <f t="shared" si="3"/>
        <v>23814.399937307815</v>
      </c>
      <c r="O21" s="80">
        <f t="shared" si="4"/>
        <v>495463.99209336046</v>
      </c>
      <c r="P21" s="724">
        <f t="shared" si="5"/>
        <v>641666.66666666674</v>
      </c>
      <c r="Q21" s="724">
        <f>(VLOOKUP(A21,'2017-18 Funding Detail'!$A$4:$AK$23,37,FALSE)*5/12)*K21</f>
        <v>86968.116915426741</v>
      </c>
      <c r="R21" s="42"/>
      <c r="S21" s="80"/>
      <c r="T21" s="42"/>
      <c r="X21" s="42"/>
    </row>
    <row r="22" spans="1:24" x14ac:dyDescent="0.25">
      <c r="A22" s="185">
        <v>9257015</v>
      </c>
      <c r="B22" s="38" t="s">
        <v>55</v>
      </c>
      <c r="C22" s="335">
        <v>6</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0</v>
      </c>
      <c r="J22" s="233">
        <v>263</v>
      </c>
      <c r="K22" s="168">
        <f>SUM(I22:J22)</f>
        <v>263</v>
      </c>
      <c r="L22" s="80">
        <f t="shared" si="0"/>
        <v>0</v>
      </c>
      <c r="M22" s="80">
        <f t="shared" si="2"/>
        <v>785727.4416472927</v>
      </c>
      <c r="N22" s="80">
        <f t="shared" si="3"/>
        <v>18629.505237928312</v>
      </c>
      <c r="O22" s="80">
        <f t="shared" si="4"/>
        <v>804356.94688522106</v>
      </c>
      <c r="P22" s="724">
        <f t="shared" si="5"/>
        <v>1095833.3333333335</v>
      </c>
      <c r="Q22" s="724">
        <f>(VLOOKUP(A22,'2017-18 Funding Detail'!$A$4:$AK$23,37,FALSE)*5/12)*K22</f>
        <v>0</v>
      </c>
      <c r="R22" s="42"/>
      <c r="S22" s="80"/>
      <c r="T22" s="42"/>
      <c r="X22" s="42"/>
    </row>
    <row r="23" spans="1:24" x14ac:dyDescent="0.25">
      <c r="A23" s="185">
        <v>9257016</v>
      </c>
      <c r="B23" s="38" t="s">
        <v>80</v>
      </c>
      <c r="C23" s="335">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97</v>
      </c>
      <c r="K23" s="168">
        <f t="shared" si="1"/>
        <v>97</v>
      </c>
      <c r="L23" s="80">
        <f t="shared" si="0"/>
        <v>0</v>
      </c>
      <c r="M23" s="80">
        <f t="shared" si="2"/>
        <v>408938.59857580025</v>
      </c>
      <c r="N23" s="80">
        <f t="shared" si="3"/>
        <v>0</v>
      </c>
      <c r="O23" s="80">
        <f t="shared" si="4"/>
        <v>408938.59857580025</v>
      </c>
      <c r="P23" s="724">
        <f t="shared" si="5"/>
        <v>404166.66666666669</v>
      </c>
      <c r="Q23" s="724">
        <f>(VLOOKUP(A23,'2017-18 Funding Detail'!$A$4:$AK$23,37,FALSE)*5/12)*K23</f>
        <v>243909.00614400953</v>
      </c>
      <c r="R23" s="628" t="s">
        <v>402</v>
      </c>
      <c r="S23" s="80"/>
      <c r="T23" s="42"/>
      <c r="X23" s="42"/>
    </row>
    <row r="24" spans="1:24" x14ac:dyDescent="0.25">
      <c r="A24" s="75"/>
      <c r="B24" s="50"/>
      <c r="C24" s="61"/>
      <c r="D24" s="628"/>
      <c r="E24" s="49"/>
      <c r="F24" s="49"/>
      <c r="G24" s="49"/>
      <c r="H24" s="628" t="s">
        <v>402</v>
      </c>
      <c r="I24" s="168"/>
      <c r="J24" s="168"/>
      <c r="K24" s="628" t="s">
        <v>402</v>
      </c>
      <c r="L24" s="80"/>
      <c r="M24" s="80"/>
      <c r="N24" s="80"/>
      <c r="O24" s="628" t="s">
        <v>402</v>
      </c>
      <c r="P24" s="168"/>
      <c r="Q24" s="168"/>
    </row>
    <row r="25" spans="1:24" ht="13" x14ac:dyDescent="0.3">
      <c r="A25" s="230" t="s">
        <v>283</v>
      </c>
      <c r="B25" s="50"/>
      <c r="C25" s="61"/>
      <c r="D25" s="49"/>
      <c r="E25" s="49"/>
      <c r="F25" s="49"/>
      <c r="G25" s="49"/>
      <c r="H25" s="49"/>
      <c r="I25" s="168"/>
      <c r="J25" s="168"/>
      <c r="K25" s="168"/>
      <c r="L25" s="80"/>
      <c r="M25" s="80"/>
      <c r="N25" s="80"/>
      <c r="O25" s="80"/>
      <c r="P25" s="168"/>
      <c r="Q25" s="168"/>
    </row>
    <row r="26" spans="1:24" x14ac:dyDescent="0.25">
      <c r="A26" s="75"/>
      <c r="B26" s="50"/>
      <c r="C26" s="61"/>
      <c r="D26" s="49"/>
      <c r="E26" s="49"/>
      <c r="F26" s="49"/>
      <c r="G26" s="49"/>
      <c r="H26" s="49"/>
      <c r="I26" s="231" t="s">
        <v>608</v>
      </c>
      <c r="J26" s="168"/>
      <c r="K26" s="168"/>
      <c r="L26" s="80"/>
      <c r="M26" s="1893" t="s">
        <v>332</v>
      </c>
      <c r="N26" s="1894"/>
      <c r="O26" s="80"/>
      <c r="P26" s="168"/>
      <c r="Q26" s="168"/>
    </row>
    <row r="27" spans="1:24" ht="37.5" x14ac:dyDescent="0.25">
      <c r="A27" s="183" t="s">
        <v>201</v>
      </c>
      <c r="B27" s="36" t="s">
        <v>66</v>
      </c>
      <c r="C27" s="659" t="s">
        <v>51</v>
      </c>
      <c r="D27" s="34" t="s">
        <v>256</v>
      </c>
      <c r="E27" s="34" t="s">
        <v>257</v>
      </c>
      <c r="F27" s="34" t="s">
        <v>258</v>
      </c>
      <c r="G27" s="34" t="s">
        <v>259</v>
      </c>
      <c r="H27" s="34" t="s">
        <v>260</v>
      </c>
      <c r="I27" s="663" t="s">
        <v>185</v>
      </c>
      <c r="J27" s="663" t="s">
        <v>288</v>
      </c>
      <c r="K27" s="663" t="s">
        <v>388</v>
      </c>
      <c r="L27" s="663" t="s">
        <v>288</v>
      </c>
      <c r="M27" s="252" t="s">
        <v>330</v>
      </c>
      <c r="N27" s="694" t="s">
        <v>339</v>
      </c>
      <c r="O27" s="663"/>
      <c r="P27" s="663"/>
      <c r="Q27" s="663"/>
    </row>
    <row r="28" spans="1:24" x14ac:dyDescent="0.25">
      <c r="A28" s="185">
        <v>9257010</v>
      </c>
      <c r="B28" s="38" t="s">
        <v>67</v>
      </c>
      <c r="C28" s="337">
        <v>4</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10</v>
      </c>
      <c r="J28" s="80">
        <f t="shared" ref="J28:J45" si="6">((((I28*D28)*$G$92)+((I28*E28)*$G$94)+((I28*F28)*$G$96)+((I28*G28)*$G$98)+((I28*H28)*$G$100)))*(4/12)</f>
        <v>32676.257284106938</v>
      </c>
      <c r="K28" s="80">
        <f>((I28*H28)*$G$102)*(4/12)</f>
        <v>627.39235456358233</v>
      </c>
      <c r="L28" s="80">
        <f>SUM(J28:K28)</f>
        <v>33303.649638670518</v>
      </c>
      <c r="M28" s="724">
        <f>(I28*(4/12))*10000</f>
        <v>33333.333333333328</v>
      </c>
      <c r="N28" s="724">
        <f>(VLOOKUP(A28,'2017-18 Funding Detail'!$A$4:$AK$23,37,FALSE)*4/12)*I28</f>
        <v>33387.374535069306</v>
      </c>
      <c r="O28" s="80"/>
      <c r="P28" s="80"/>
      <c r="Q28" s="80"/>
      <c r="R28" s="80"/>
      <c r="S28" s="42"/>
      <c r="T28" s="626" t="s">
        <v>402</v>
      </c>
      <c r="U28" s="625" t="s">
        <v>593</v>
      </c>
    </row>
    <row r="29" spans="1:24" x14ac:dyDescent="0.25">
      <c r="A29" s="185">
        <v>9257005</v>
      </c>
      <c r="B29" s="38" t="s">
        <v>68</v>
      </c>
      <c r="C29" s="335">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29</v>
      </c>
      <c r="J29" s="80">
        <f t="shared" si="6"/>
        <v>89103.135194826071</v>
      </c>
      <c r="K29" s="80">
        <f t="shared" ref="K29:K45" si="7">((I29*H29)*$G$102)*(4/12)</f>
        <v>5027.3939990687068</v>
      </c>
      <c r="L29" s="80">
        <f>SUM(J29:K29)</f>
        <v>94130.529193894778</v>
      </c>
      <c r="M29" s="724">
        <f>(I29*(4/12))*10000</f>
        <v>96666.666666666657</v>
      </c>
      <c r="N29" s="724">
        <f>(VLOOKUP(A29,'2017-18 Funding Detail'!$A$4:$AK$23,37,FALSE)*4/12)*I29</f>
        <v>62561.192136452984</v>
      </c>
      <c r="O29" s="80"/>
      <c r="P29" s="80"/>
      <c r="Q29" s="80"/>
      <c r="R29" s="80"/>
      <c r="S29" s="42"/>
      <c r="T29" s="42"/>
    </row>
    <row r="30" spans="1:24" x14ac:dyDescent="0.25">
      <c r="A30" s="185">
        <v>9257025</v>
      </c>
      <c r="B30" s="38" t="s">
        <v>69</v>
      </c>
      <c r="C30" s="667">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13</v>
      </c>
      <c r="J30" s="80">
        <f t="shared" si="6"/>
        <v>41519.128077391273</v>
      </c>
      <c r="K30" s="80">
        <f t="shared" si="7"/>
        <v>2369.8858374269662</v>
      </c>
      <c r="L30" s="80">
        <f t="shared" ref="L30:L45" si="8">SUM(J30:K30)</f>
        <v>43889.013914818242</v>
      </c>
      <c r="M30" s="724">
        <f t="shared" ref="M30:M45" si="9">(I30*(4/12))*10000</f>
        <v>43333.333333333328</v>
      </c>
      <c r="N30" s="724">
        <f>(VLOOKUP(A30,'2017-18 Funding Detail'!$A$4:$AK$23,37,FALSE)*4/12)*I30</f>
        <v>35323.31985950641</v>
      </c>
      <c r="O30" s="80"/>
      <c r="P30" s="80"/>
      <c r="Q30" s="80"/>
      <c r="R30" s="80"/>
      <c r="S30" s="42"/>
      <c r="T30" s="42"/>
    </row>
    <row r="31" spans="1:24" x14ac:dyDescent="0.25">
      <c r="A31" s="185">
        <v>9257011</v>
      </c>
      <c r="B31" s="38" t="s">
        <v>70</v>
      </c>
      <c r="C31" s="335">
        <v>4</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3</v>
      </c>
      <c r="J31" s="80">
        <f t="shared" si="6"/>
        <v>9858.7829684831449</v>
      </c>
      <c r="K31" s="80">
        <f t="shared" si="7"/>
        <v>409.8963383148739</v>
      </c>
      <c r="L31" s="80">
        <f t="shared" si="8"/>
        <v>10268.679306798018</v>
      </c>
      <c r="M31" s="724">
        <f t="shared" si="9"/>
        <v>10000</v>
      </c>
      <c r="N31" s="724">
        <f>(VLOOKUP(A31,'2017-18 Funding Detail'!$A$4:$AK$23,37,FALSE)*4/12)*I31</f>
        <v>9591.209762955621</v>
      </c>
      <c r="O31" s="80"/>
      <c r="P31" s="80"/>
      <c r="Q31" s="80"/>
      <c r="R31" s="80"/>
      <c r="S31" s="42"/>
      <c r="T31" s="42"/>
    </row>
    <row r="32" spans="1:24" x14ac:dyDescent="0.25">
      <c r="A32" s="185">
        <v>9257024</v>
      </c>
      <c r="B32" s="38" t="s">
        <v>71</v>
      </c>
      <c r="C32" s="335">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13</v>
      </c>
      <c r="J32" s="80">
        <f t="shared" si="6"/>
        <v>39631.453295768835</v>
      </c>
      <c r="K32" s="80">
        <f t="shared" si="7"/>
        <v>622.82950107584725</v>
      </c>
      <c r="L32" s="80">
        <f t="shared" si="8"/>
        <v>40254.28279684468</v>
      </c>
      <c r="M32" s="724">
        <f t="shared" si="9"/>
        <v>43333.333333333328</v>
      </c>
      <c r="N32" s="724">
        <f>(VLOOKUP(A32,'2017-18 Funding Detail'!$A$4:$AK$23,37,FALSE)*4/12)*I32</f>
        <v>24099.75761287205</v>
      </c>
      <c r="O32" s="80"/>
      <c r="P32" s="80"/>
      <c r="Q32" s="80"/>
      <c r="R32" s="80"/>
      <c r="S32" s="42"/>
      <c r="T32" s="42"/>
    </row>
    <row r="33" spans="1:20" x14ac:dyDescent="0.25">
      <c r="A33" s="185">
        <v>9257031</v>
      </c>
      <c r="B33" s="38" t="s">
        <v>98</v>
      </c>
      <c r="C33" s="335">
        <v>4</v>
      </c>
      <c r="D33" s="49">
        <f>'Revised Band Returns'!F35</f>
        <v>0</v>
      </c>
      <c r="E33" s="49">
        <f>'Revised Band Returns'!H35</f>
        <v>0</v>
      </c>
      <c r="F33" s="49">
        <f>'Revised Band Returns'!J35</f>
        <v>0</v>
      </c>
      <c r="G33" s="49">
        <f>'Revised Band Returns'!L35</f>
        <v>0</v>
      </c>
      <c r="H33" s="49">
        <f>'Revised Band Returns'!N35</f>
        <v>1</v>
      </c>
      <c r="I33" s="233">
        <v>0</v>
      </c>
      <c r="J33" s="80">
        <f t="shared" si="6"/>
        <v>0</v>
      </c>
      <c r="K33" s="80">
        <f t="shared" si="7"/>
        <v>0</v>
      </c>
      <c r="L33" s="80">
        <f t="shared" si="8"/>
        <v>0</v>
      </c>
      <c r="M33" s="724">
        <f t="shared" si="9"/>
        <v>0</v>
      </c>
      <c r="N33" s="724">
        <f>(VLOOKUP(A33,'2017-18 Funding Detail'!$A$4:$AK$23,37,FALSE)*4/12)*I33</f>
        <v>0</v>
      </c>
      <c r="O33" s="80"/>
      <c r="P33" s="80"/>
      <c r="Q33" s="80"/>
      <c r="R33" s="80"/>
      <c r="S33" s="42"/>
      <c r="T33" s="42"/>
    </row>
    <row r="34" spans="1:20" x14ac:dyDescent="0.25">
      <c r="A34" s="185">
        <v>9257033</v>
      </c>
      <c r="B34" s="38" t="s">
        <v>72</v>
      </c>
      <c r="C34" s="335">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6"/>
        <v>0</v>
      </c>
      <c r="K34" s="80">
        <f t="shared" si="7"/>
        <v>0</v>
      </c>
      <c r="L34" s="80">
        <f t="shared" si="8"/>
        <v>0</v>
      </c>
      <c r="M34" s="724">
        <f t="shared" si="9"/>
        <v>0</v>
      </c>
      <c r="N34" s="724">
        <f>(VLOOKUP(A34,'2017-18 Funding Detail'!$A$4:$AK$23,37,FALSE)*4/12)*I34</f>
        <v>0</v>
      </c>
      <c r="O34" s="80"/>
      <c r="P34" s="80"/>
      <c r="Q34" s="80"/>
      <c r="R34" s="80"/>
      <c r="S34" s="42"/>
      <c r="T34" s="42"/>
    </row>
    <row r="35" spans="1:20" x14ac:dyDescent="0.25">
      <c r="A35" s="185">
        <v>9257008</v>
      </c>
      <c r="B35" s="38" t="s">
        <v>73</v>
      </c>
      <c r="C35" s="667">
        <v>4</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6"/>
        <v>0</v>
      </c>
      <c r="K35" s="80">
        <f t="shared" si="7"/>
        <v>0</v>
      </c>
      <c r="L35" s="80">
        <f t="shared" si="8"/>
        <v>0</v>
      </c>
      <c r="M35" s="724">
        <f t="shared" si="9"/>
        <v>0</v>
      </c>
      <c r="N35" s="724">
        <f>(VLOOKUP(A35,'2017-18 Funding Detail'!$A$4:$AK$23,37,FALSE)*4/12)*I35</f>
        <v>0</v>
      </c>
      <c r="O35" s="80"/>
      <c r="P35" s="80"/>
      <c r="Q35" s="80"/>
      <c r="R35" s="80"/>
      <c r="S35" s="42"/>
      <c r="T35" s="42"/>
    </row>
    <row r="36" spans="1:20" x14ac:dyDescent="0.25">
      <c r="A36" s="185">
        <v>9257034</v>
      </c>
      <c r="B36" s="38" t="s">
        <v>74</v>
      </c>
      <c r="C36" s="335">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32</v>
      </c>
      <c r="J36" s="80">
        <f t="shared" si="6"/>
        <v>86855.19142800082</v>
      </c>
      <c r="K36" s="80">
        <f t="shared" si="7"/>
        <v>5754.2253117768569</v>
      </c>
      <c r="L36" s="80">
        <f t="shared" si="8"/>
        <v>92609.416739777676</v>
      </c>
      <c r="M36" s="724">
        <f t="shared" si="9"/>
        <v>106666.66666666666</v>
      </c>
      <c r="N36" s="724">
        <f>(VLOOKUP(A36,'2017-18 Funding Detail'!$A$4:$AK$23,37,FALSE)*4/12)*I36</f>
        <v>35633.610022397457</v>
      </c>
      <c r="O36" s="80"/>
      <c r="P36" s="80"/>
      <c r="Q36" s="80"/>
      <c r="R36" s="80"/>
      <c r="S36" s="42"/>
      <c r="T36" s="42"/>
    </row>
    <row r="37" spans="1:20" x14ac:dyDescent="0.25">
      <c r="A37" s="185">
        <v>9257002</v>
      </c>
      <c r="B37" s="38" t="s">
        <v>75</v>
      </c>
      <c r="C37" s="335">
        <v>5</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6"/>
        <v>0</v>
      </c>
      <c r="K37" s="80">
        <f t="shared" si="7"/>
        <v>0</v>
      </c>
      <c r="L37" s="80">
        <f t="shared" si="8"/>
        <v>0</v>
      </c>
      <c r="M37" s="724">
        <f t="shared" si="9"/>
        <v>0</v>
      </c>
      <c r="N37" s="724">
        <f>(VLOOKUP(A37,'2017-18 Funding Detail'!$A$4:$AK$23,37,FALSE)*4/12)*I37</f>
        <v>0</v>
      </c>
      <c r="O37" s="80"/>
      <c r="P37" s="80"/>
      <c r="Q37" s="80"/>
      <c r="R37" s="80"/>
      <c r="S37" s="42"/>
      <c r="T37" s="42"/>
    </row>
    <row r="38" spans="1:20" x14ac:dyDescent="0.25">
      <c r="A38" s="185">
        <v>9257009</v>
      </c>
      <c r="B38" s="38" t="s">
        <v>76</v>
      </c>
      <c r="C38" s="335">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6"/>
        <v>0</v>
      </c>
      <c r="K38" s="80">
        <f t="shared" si="7"/>
        <v>0</v>
      </c>
      <c r="L38" s="80">
        <f t="shared" si="8"/>
        <v>0</v>
      </c>
      <c r="M38" s="724">
        <f t="shared" si="9"/>
        <v>0</v>
      </c>
      <c r="N38" s="724">
        <f>(VLOOKUP(A38,'2017-18 Funding Detail'!$A$4:$AK$23,37,FALSE)*4/12)*I38</f>
        <v>0</v>
      </c>
      <c r="O38" s="80"/>
      <c r="P38" s="80"/>
      <c r="Q38" s="80"/>
      <c r="R38" s="80"/>
      <c r="S38" s="42"/>
      <c r="T38" s="42"/>
    </row>
    <row r="39" spans="1:20" x14ac:dyDescent="0.25">
      <c r="A39" s="185">
        <v>9257029</v>
      </c>
      <c r="B39" s="38" t="s">
        <v>99</v>
      </c>
      <c r="C39" s="667">
        <v>3</v>
      </c>
      <c r="D39" s="49">
        <f>'Revised Band Returns'!F41</f>
        <v>0</v>
      </c>
      <c r="E39" s="49">
        <f>'Revised Band Returns'!H41</f>
        <v>0</v>
      </c>
      <c r="F39" s="49">
        <f>'Revised Band Returns'!J41</f>
        <v>0</v>
      </c>
      <c r="G39" s="49">
        <f>'Revised Band Returns'!L41</f>
        <v>0</v>
      </c>
      <c r="H39" s="49">
        <f>'Revised Band Returns'!N41</f>
        <v>1</v>
      </c>
      <c r="I39" s="233">
        <v>0</v>
      </c>
      <c r="J39" s="80">
        <f t="shared" si="6"/>
        <v>0</v>
      </c>
      <c r="K39" s="80">
        <f t="shared" si="7"/>
        <v>0</v>
      </c>
      <c r="L39" s="80">
        <f t="shared" si="8"/>
        <v>0</v>
      </c>
      <c r="M39" s="724">
        <f t="shared" si="9"/>
        <v>0</v>
      </c>
      <c r="N39" s="724">
        <f>(VLOOKUP(A39,'2017-18 Funding Detail'!$A$4:$AK$23,37,FALSE)*4/12)*I39</f>
        <v>0</v>
      </c>
      <c r="O39" s="80"/>
      <c r="P39" s="80"/>
      <c r="Q39" s="80"/>
      <c r="R39" s="80"/>
      <c r="S39" s="42"/>
      <c r="T39" s="42"/>
    </row>
    <row r="40" spans="1:20" x14ac:dyDescent="0.25">
      <c r="A40" s="185">
        <v>9257032</v>
      </c>
      <c r="B40" s="38" t="s">
        <v>100</v>
      </c>
      <c r="C40" s="335">
        <v>4</v>
      </c>
      <c r="D40" s="49">
        <f>'Revised Band Returns'!F42</f>
        <v>0</v>
      </c>
      <c r="E40" s="49">
        <f>'Revised Band Returns'!H42</f>
        <v>0</v>
      </c>
      <c r="F40" s="49">
        <f>'Revised Band Returns'!J42</f>
        <v>0</v>
      </c>
      <c r="G40" s="49">
        <f>'Revised Band Returns'!L42</f>
        <v>0</v>
      </c>
      <c r="H40" s="49">
        <f>'Revised Band Returns'!N42</f>
        <v>1</v>
      </c>
      <c r="I40" s="233">
        <v>0</v>
      </c>
      <c r="J40" s="80">
        <f t="shared" si="6"/>
        <v>0</v>
      </c>
      <c r="K40" s="80">
        <f t="shared" si="7"/>
        <v>0</v>
      </c>
      <c r="L40" s="80">
        <f t="shared" si="8"/>
        <v>0</v>
      </c>
      <c r="M40" s="724">
        <f t="shared" si="9"/>
        <v>0</v>
      </c>
      <c r="N40" s="724">
        <f>(VLOOKUP(A40,'2017-18 Funding Detail'!$A$4:$AK$23,37,FALSE)*4/12)*I40</f>
        <v>0</v>
      </c>
      <c r="O40" s="80"/>
      <c r="P40" s="80"/>
      <c r="Q40" s="80"/>
      <c r="R40" s="80"/>
      <c r="S40" s="42"/>
      <c r="T40" s="42"/>
    </row>
    <row r="41" spans="1:20" x14ac:dyDescent="0.25">
      <c r="A41" s="185">
        <v>9257030</v>
      </c>
      <c r="B41" s="38" t="s">
        <v>92</v>
      </c>
      <c r="C41" s="667">
        <v>4</v>
      </c>
      <c r="D41" s="49">
        <f>'Revised Band Returns'!F43</f>
        <v>0</v>
      </c>
      <c r="E41" s="49">
        <f>'Revised Band Returns'!H43</f>
        <v>0</v>
      </c>
      <c r="F41" s="49">
        <f>'Revised Band Returns'!J43</f>
        <v>0</v>
      </c>
      <c r="G41" s="49">
        <f>'Revised Band Returns'!L43</f>
        <v>0</v>
      </c>
      <c r="H41" s="49">
        <f>'Revised Band Returns'!N43</f>
        <v>1</v>
      </c>
      <c r="I41" s="233">
        <v>0</v>
      </c>
      <c r="J41" s="80">
        <f t="shared" si="6"/>
        <v>0</v>
      </c>
      <c r="K41" s="80">
        <f t="shared" si="7"/>
        <v>0</v>
      </c>
      <c r="L41" s="80">
        <f t="shared" si="8"/>
        <v>0</v>
      </c>
      <c r="M41" s="724">
        <f t="shared" si="9"/>
        <v>0</v>
      </c>
      <c r="N41" s="724">
        <f>(VLOOKUP(A41,'2017-18 Funding Detail'!$A$4:$AK$23,37,FALSE)*4/12)*I41</f>
        <v>0</v>
      </c>
      <c r="O41" s="80"/>
      <c r="P41" s="80"/>
      <c r="Q41" s="80"/>
      <c r="R41" s="80"/>
      <c r="S41" s="42"/>
      <c r="T41" s="42"/>
    </row>
    <row r="42" spans="1:20" x14ac:dyDescent="0.25">
      <c r="A42" s="185">
        <v>9257028</v>
      </c>
      <c r="B42" s="38" t="s">
        <v>77</v>
      </c>
      <c r="C42" s="335">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16</v>
      </c>
      <c r="J42" s="80">
        <f t="shared" si="6"/>
        <v>54529.831114839952</v>
      </c>
      <c r="K42" s="80">
        <f t="shared" si="7"/>
        <v>3364.9437833494671</v>
      </c>
      <c r="L42" s="80">
        <f t="shared" si="8"/>
        <v>57894.774898189418</v>
      </c>
      <c r="M42" s="724">
        <f t="shared" si="9"/>
        <v>53333.333333333328</v>
      </c>
      <c r="N42" s="724">
        <f>(VLOOKUP(A42,'2017-18 Funding Detail'!$A$4:$AK$23,37,FALSE)*4/12)*I42</f>
        <v>43185.676696688301</v>
      </c>
      <c r="O42" s="80"/>
      <c r="P42" s="80"/>
      <c r="Q42" s="80"/>
      <c r="R42" s="80"/>
      <c r="S42" s="42"/>
      <c r="T42" s="42"/>
    </row>
    <row r="43" spans="1:20" x14ac:dyDescent="0.25">
      <c r="A43" s="185">
        <v>9257021</v>
      </c>
      <c r="B43" s="38" t="s">
        <v>78</v>
      </c>
      <c r="C43" s="667">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6"/>
        <v>0</v>
      </c>
      <c r="K43" s="80">
        <f t="shared" si="7"/>
        <v>0</v>
      </c>
      <c r="L43" s="80">
        <f t="shared" si="8"/>
        <v>0</v>
      </c>
      <c r="M43" s="724">
        <f t="shared" si="9"/>
        <v>0</v>
      </c>
      <c r="N43" s="724">
        <f>(VLOOKUP(A43,'2017-18 Funding Detail'!$A$4:$AK$23,37,FALSE)*4/12)*I43</f>
        <v>0</v>
      </c>
      <c r="O43" s="80"/>
      <c r="P43" s="80"/>
      <c r="Q43" s="80"/>
      <c r="R43" s="80"/>
      <c r="S43" s="42"/>
      <c r="T43" s="42"/>
    </row>
    <row r="44" spans="1:20" x14ac:dyDescent="0.25">
      <c r="A44" s="185">
        <v>9257015</v>
      </c>
      <c r="B44" s="38" t="s">
        <v>55</v>
      </c>
      <c r="C44" s="335">
        <v>6</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19</v>
      </c>
      <c r="J44" s="80">
        <f t="shared" si="6"/>
        <v>45410.863547676221</v>
      </c>
      <c r="K44" s="80">
        <f t="shared" si="7"/>
        <v>1076.6862342833092</v>
      </c>
      <c r="L44" s="80">
        <f t="shared" si="8"/>
        <v>46487.549781959533</v>
      </c>
      <c r="M44" s="724">
        <f t="shared" si="9"/>
        <v>63333.333333333328</v>
      </c>
      <c r="N44" s="724">
        <f>(VLOOKUP(A44,'2017-18 Funding Detail'!$A$4:$AK$23,37,FALSE)*4/12)*I44</f>
        <v>0</v>
      </c>
      <c r="O44" s="80"/>
      <c r="P44" s="80"/>
      <c r="Q44" s="80"/>
      <c r="R44" s="80"/>
      <c r="S44" s="42"/>
      <c r="T44" s="42"/>
    </row>
    <row r="45" spans="1:20" x14ac:dyDescent="0.25">
      <c r="A45" s="185">
        <v>9257016</v>
      </c>
      <c r="B45" s="38" t="s">
        <v>80</v>
      </c>
      <c r="C45" s="335">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54</v>
      </c>
      <c r="J45" s="80">
        <f t="shared" si="6"/>
        <v>182125.23153066565</v>
      </c>
      <c r="K45" s="80">
        <f t="shared" si="7"/>
        <v>0</v>
      </c>
      <c r="L45" s="80">
        <f t="shared" si="8"/>
        <v>182125.23153066565</v>
      </c>
      <c r="M45" s="724">
        <f t="shared" si="9"/>
        <v>180000</v>
      </c>
      <c r="N45" s="724">
        <f>(VLOOKUP(A45,'2017-18 Funding Detail'!$A$4:$AK$23,37,FALSE)*4/12)*I45</f>
        <v>108627.516138363</v>
      </c>
      <c r="O45" s="628" t="s">
        <v>402</v>
      </c>
      <c r="P45" s="80"/>
      <c r="Q45" s="80"/>
      <c r="R45" s="80"/>
      <c r="S45" s="42"/>
      <c r="T45" s="42"/>
    </row>
    <row r="46" spans="1:20" x14ac:dyDescent="0.25">
      <c r="A46" s="75"/>
      <c r="B46" s="50"/>
      <c r="C46" s="61"/>
      <c r="D46" s="49"/>
      <c r="E46" s="49"/>
      <c r="F46" s="49"/>
      <c r="G46" s="49"/>
      <c r="H46" s="628" t="s">
        <v>402</v>
      </c>
      <c r="I46" s="628" t="s">
        <v>402</v>
      </c>
      <c r="J46" s="168"/>
      <c r="K46" s="168"/>
      <c r="L46" s="628" t="s">
        <v>402</v>
      </c>
      <c r="M46" s="80"/>
      <c r="N46" s="80"/>
      <c r="O46" s="80"/>
      <c r="P46" s="233"/>
      <c r="Q46" s="233"/>
      <c r="R46" s="40"/>
    </row>
    <row r="47" spans="1:20" ht="13" x14ac:dyDescent="0.3">
      <c r="A47" s="230" t="s">
        <v>285</v>
      </c>
      <c r="B47" s="50"/>
      <c r="C47" s="50"/>
    </row>
    <row r="48" spans="1:20" x14ac:dyDescent="0.25">
      <c r="B48" s="50"/>
      <c r="C48" s="50"/>
      <c r="I48" s="231" t="s">
        <v>608</v>
      </c>
      <c r="P48" s="1893" t="s">
        <v>332</v>
      </c>
      <c r="Q48" s="1894"/>
    </row>
    <row r="49" spans="1:21" ht="39.75" customHeight="1" x14ac:dyDescent="0.25">
      <c r="A49" s="183" t="s">
        <v>201</v>
      </c>
      <c r="B49" s="36" t="s">
        <v>66</v>
      </c>
      <c r="C49" s="659" t="s">
        <v>51</v>
      </c>
      <c r="D49" s="34" t="s">
        <v>256</v>
      </c>
      <c r="E49" s="34" t="s">
        <v>257</v>
      </c>
      <c r="F49" s="34" t="s">
        <v>258</v>
      </c>
      <c r="G49" s="34" t="s">
        <v>259</v>
      </c>
      <c r="H49" s="34" t="s">
        <v>260</v>
      </c>
      <c r="I49" s="663" t="s">
        <v>252</v>
      </c>
      <c r="J49" s="663" t="s">
        <v>253</v>
      </c>
      <c r="K49" s="663" t="s">
        <v>251</v>
      </c>
      <c r="L49" s="663" t="s">
        <v>389</v>
      </c>
      <c r="M49" s="663" t="s">
        <v>390</v>
      </c>
      <c r="N49" s="663" t="s">
        <v>391</v>
      </c>
      <c r="O49" s="663" t="s">
        <v>287</v>
      </c>
      <c r="P49" s="93" t="s">
        <v>329</v>
      </c>
      <c r="Q49" s="694" t="s">
        <v>340</v>
      </c>
    </row>
    <row r="50" spans="1:21" x14ac:dyDescent="0.25">
      <c r="A50" s="131">
        <v>9257010</v>
      </c>
      <c r="B50" s="38" t="s">
        <v>67</v>
      </c>
      <c r="C50" s="337">
        <v>4</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524">
        <v>47</v>
      </c>
      <c r="K50" s="233">
        <f>SUM(I50:J50)</f>
        <v>47</v>
      </c>
      <c r="L50" s="42">
        <f t="shared" ref="L50:L67" si="10">((((I50*D50)*$G$92)+((I50*E50)*$G$94)+((I50*F50)*$G$96)+((I50*G50)*$G$98)+((I50*H50)*$G$100)))*(7/12)</f>
        <v>0</v>
      </c>
      <c r="M50" s="42">
        <f t="shared" ref="M50:M67" si="11">((((J50*D50)*$G$92)+((J50*E50)*$G$94)+((J50*F50)*$G$96)+((J50*G50)*$G$98)+((J50*H50)*$G$100)))*(7/12)</f>
        <v>268762.21616177959</v>
      </c>
      <c r="N50" s="42">
        <f>((H50*K50)*$G$102)*(7/12)</f>
        <v>5160.3021162854657</v>
      </c>
      <c r="O50" s="42">
        <f t="shared" ref="O50:O67" si="12">((((K50*D50)*$G$92)+((K50*E50)*$G$94)+((K50*F50)*$G$96)+((K50*G50)*$G$98)+((K50*H50)*$G$100)+((K50*H50)*$G$102)))*(7/12)</f>
        <v>273922.51827806508</v>
      </c>
      <c r="P50" s="724">
        <f>(K50*(7/12))*10000</f>
        <v>274166.66666666669</v>
      </c>
      <c r="Q50" s="724">
        <f>(VLOOKUP(A50,'2017-18 Funding Detail'!$A$4:$AK$23,37,FALSE)*7/12)*K50</f>
        <v>274611.15555094508</v>
      </c>
      <c r="R50" s="42"/>
      <c r="S50" s="42"/>
      <c r="T50" s="626" t="s">
        <v>402</v>
      </c>
      <c r="U50" s="625" t="s">
        <v>595</v>
      </c>
    </row>
    <row r="51" spans="1:21" x14ac:dyDescent="0.25">
      <c r="A51" s="131">
        <v>9257005</v>
      </c>
      <c r="B51" s="38" t="s">
        <v>68</v>
      </c>
      <c r="C51" s="335">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524">
        <v>45</v>
      </c>
      <c r="K51" s="233">
        <f t="shared" ref="K51:K67" si="13">SUM(I51:J51)</f>
        <v>45</v>
      </c>
      <c r="L51" s="42">
        <f t="shared" si="10"/>
        <v>0</v>
      </c>
      <c r="M51" s="42">
        <f t="shared" si="11"/>
        <v>241961.09988250182</v>
      </c>
      <c r="N51" s="42">
        <f t="shared" ref="N51:N67" si="14">((H51*K51)*$G$102)*(7/12)</f>
        <v>13651.975083677955</v>
      </c>
      <c r="O51" s="42">
        <f t="shared" si="12"/>
        <v>255613.07496617976</v>
      </c>
      <c r="P51" s="724">
        <f t="shared" ref="P51:P67" si="15">(K51*(7/12))*10000</f>
        <v>262500</v>
      </c>
      <c r="Q51" s="724">
        <f>(VLOOKUP(A51,'2017-18 Funding Detail'!$A$4:$AK$23,37,FALSE)*7/12)*K51</f>
        <v>169885.99588778184</v>
      </c>
      <c r="R51" s="42"/>
      <c r="S51" s="42"/>
      <c r="T51" s="42"/>
    </row>
    <row r="52" spans="1:21" x14ac:dyDescent="0.25">
      <c r="A52" s="131">
        <v>9257025</v>
      </c>
      <c r="B52" s="38" t="s">
        <v>69</v>
      </c>
      <c r="C52" s="667">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0</v>
      </c>
      <c r="J52" s="524">
        <v>47</v>
      </c>
      <c r="K52" s="233">
        <f t="shared" si="13"/>
        <v>47</v>
      </c>
      <c r="L52" s="42">
        <f t="shared" si="10"/>
        <v>0</v>
      </c>
      <c r="M52" s="42">
        <f t="shared" si="11"/>
        <v>262688.32956657175</v>
      </c>
      <c r="N52" s="42">
        <f t="shared" si="14"/>
        <v>14994.085394489844</v>
      </c>
      <c r="O52" s="42">
        <f t="shared" si="12"/>
        <v>277682.41496106162</v>
      </c>
      <c r="P52" s="724">
        <f t="shared" si="15"/>
        <v>274166.66666666669</v>
      </c>
      <c r="Q52" s="724">
        <f>(VLOOKUP(A52,'2017-18 Funding Detail'!$A$4:$AK$23,37,FALSE)*7/12)*K52</f>
        <v>223487.92757264632</v>
      </c>
      <c r="R52" s="42"/>
      <c r="S52" s="42"/>
      <c r="T52" s="42"/>
    </row>
    <row r="53" spans="1:21" x14ac:dyDescent="0.25">
      <c r="A53" s="131">
        <v>9257011</v>
      </c>
      <c r="B53" s="38" t="s">
        <v>70</v>
      </c>
      <c r="C53" s="335">
        <v>4</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524">
        <v>41</v>
      </c>
      <c r="K53" s="233">
        <f t="shared" si="13"/>
        <v>41</v>
      </c>
      <c r="L53" s="42">
        <f t="shared" si="10"/>
        <v>0</v>
      </c>
      <c r="M53" s="42">
        <f t="shared" si="11"/>
        <v>235789.22599622188</v>
      </c>
      <c r="N53" s="42">
        <f t="shared" si="14"/>
        <v>9803.3540913640682</v>
      </c>
      <c r="O53" s="42">
        <f t="shared" si="12"/>
        <v>245592.58008758596</v>
      </c>
      <c r="P53" s="724">
        <f t="shared" si="15"/>
        <v>239166.66666666669</v>
      </c>
      <c r="Q53" s="724">
        <f>(VLOOKUP(A53,'2017-18 Funding Detail'!$A$4:$AK$23,37,FALSE)*7/12)*K53</f>
        <v>229389.7668306886</v>
      </c>
      <c r="R53" s="42"/>
      <c r="S53" s="42"/>
      <c r="T53" s="42"/>
    </row>
    <row r="54" spans="1:21" x14ac:dyDescent="0.25">
      <c r="A54" s="131">
        <v>9257024</v>
      </c>
      <c r="B54" s="38" t="s">
        <v>71</v>
      </c>
      <c r="C54" s="335">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0</v>
      </c>
      <c r="J54" s="524">
        <v>58</v>
      </c>
      <c r="K54" s="233">
        <f t="shared" si="13"/>
        <v>58</v>
      </c>
      <c r="L54" s="42">
        <f t="shared" si="10"/>
        <v>0</v>
      </c>
      <c r="M54" s="42">
        <f t="shared" si="11"/>
        <v>309430.19304004131</v>
      </c>
      <c r="N54" s="42">
        <f t="shared" si="14"/>
        <v>4862.8611045537318</v>
      </c>
      <c r="O54" s="42">
        <f t="shared" si="12"/>
        <v>314293.05414459505</v>
      </c>
      <c r="P54" s="724">
        <f t="shared" si="15"/>
        <v>338333.33333333337</v>
      </c>
      <c r="Q54" s="724">
        <f>(VLOOKUP(A54,'2017-18 Funding Detail'!$A$4:$AK$23,37,FALSE)*7/12)*K54</f>
        <v>188163.49213127024</v>
      </c>
      <c r="R54" s="42"/>
      <c r="S54" s="42"/>
      <c r="T54" s="42"/>
    </row>
    <row r="55" spans="1:21" x14ac:dyDescent="0.25">
      <c r="A55" s="131">
        <v>9257031</v>
      </c>
      <c r="B55" s="38" t="s">
        <v>98</v>
      </c>
      <c r="C55" s="335">
        <v>4</v>
      </c>
      <c r="D55" s="232">
        <f>'Revised Band Returns'!F35</f>
        <v>0</v>
      </c>
      <c r="E55" s="232">
        <f>'Revised Band Returns'!H35</f>
        <v>0</v>
      </c>
      <c r="F55" s="232">
        <f>'Revised Band Returns'!J35</f>
        <v>0</v>
      </c>
      <c r="G55" s="232">
        <f>'Revised Band Returns'!L35</f>
        <v>0</v>
      </c>
      <c r="H55" s="232">
        <f>'Revised Band Returns'!N35</f>
        <v>1</v>
      </c>
      <c r="I55" s="233">
        <v>0</v>
      </c>
      <c r="J55" s="524">
        <v>70</v>
      </c>
      <c r="K55" s="233">
        <f t="shared" si="13"/>
        <v>70</v>
      </c>
      <c r="L55" s="42">
        <f t="shared" si="10"/>
        <v>0</v>
      </c>
      <c r="M55" s="42">
        <f t="shared" si="11"/>
        <v>477424.17605561879</v>
      </c>
      <c r="N55" s="42">
        <f t="shared" si="14"/>
        <v>107597.78880765439</v>
      </c>
      <c r="O55" s="42">
        <f t="shared" si="12"/>
        <v>585021.9648632732</v>
      </c>
      <c r="P55" s="724">
        <f t="shared" si="15"/>
        <v>408333.33333333337</v>
      </c>
      <c r="Q55" s="724">
        <f>(VLOOKUP(A55,'2017-18 Funding Detail'!$A$4:$AK$23,37,FALSE)*7/12)*K55</f>
        <v>428402.06218314765</v>
      </c>
      <c r="R55" s="42"/>
      <c r="S55" s="42"/>
      <c r="T55" s="42"/>
    </row>
    <row r="56" spans="1:21" x14ac:dyDescent="0.25">
      <c r="A56" s="131">
        <v>9257033</v>
      </c>
      <c r="B56" s="38" t="s">
        <v>72</v>
      </c>
      <c r="C56" s="335">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0</v>
      </c>
      <c r="J56" s="524">
        <v>85</v>
      </c>
      <c r="K56" s="233">
        <f t="shared" si="13"/>
        <v>85</v>
      </c>
      <c r="L56" s="42">
        <f t="shared" si="10"/>
        <v>0</v>
      </c>
      <c r="M56" s="42">
        <f t="shared" si="11"/>
        <v>443425.22294790001</v>
      </c>
      <c r="N56" s="42">
        <f t="shared" si="14"/>
        <v>45135.17634399009</v>
      </c>
      <c r="O56" s="42">
        <f t="shared" si="12"/>
        <v>488560.39929189009</v>
      </c>
      <c r="P56" s="724">
        <f t="shared" si="15"/>
        <v>495833.33333333337</v>
      </c>
      <c r="Q56" s="724">
        <f>(VLOOKUP(A56,'2017-18 Funding Detail'!$A$4:$AK$23,37,FALSE)*7/12)*K56</f>
        <v>262399.38809667545</v>
      </c>
      <c r="R56" s="42"/>
      <c r="S56" s="42"/>
      <c r="T56" s="42"/>
    </row>
    <row r="57" spans="1:21" x14ac:dyDescent="0.25">
      <c r="A57" s="131">
        <v>9257008</v>
      </c>
      <c r="B57" s="38" t="s">
        <v>73</v>
      </c>
      <c r="C57" s="667">
        <v>4</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0</v>
      </c>
      <c r="J57" s="524">
        <v>90</v>
      </c>
      <c r="K57" s="233">
        <f t="shared" si="13"/>
        <v>90</v>
      </c>
      <c r="L57" s="42">
        <f t="shared" si="10"/>
        <v>0</v>
      </c>
      <c r="M57" s="42">
        <f t="shared" si="11"/>
        <v>420072.39061269845</v>
      </c>
      <c r="N57" s="42">
        <f t="shared" si="14"/>
        <v>39060.709886476216</v>
      </c>
      <c r="O57" s="42">
        <f t="shared" si="12"/>
        <v>459133.10049917467</v>
      </c>
      <c r="P57" s="724">
        <f t="shared" si="15"/>
        <v>525000</v>
      </c>
      <c r="Q57" s="724">
        <f>(VLOOKUP(A57,'2017-18 Funding Detail'!$A$4:$AK$23,37,FALSE)*7/12)*K57</f>
        <v>229825.448382284</v>
      </c>
      <c r="R57" s="42"/>
      <c r="S57" s="42"/>
      <c r="T57" s="42"/>
    </row>
    <row r="58" spans="1:21" x14ac:dyDescent="0.25">
      <c r="A58" s="131">
        <v>9257034</v>
      </c>
      <c r="B58" s="38" t="s">
        <v>74</v>
      </c>
      <c r="C58" s="335">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524">
        <v>82</v>
      </c>
      <c r="K58" s="233">
        <f t="shared" si="13"/>
        <v>82</v>
      </c>
      <c r="L58" s="42">
        <f t="shared" si="10"/>
        <v>0</v>
      </c>
      <c r="M58" s="42">
        <f t="shared" si="11"/>
        <v>389491.24905994121</v>
      </c>
      <c r="N58" s="42">
        <f t="shared" si="14"/>
        <v>25804.104132499346</v>
      </c>
      <c r="O58" s="42">
        <f t="shared" si="12"/>
        <v>415295.35319244053</v>
      </c>
      <c r="P58" s="724">
        <f t="shared" si="15"/>
        <v>478333.33333333337</v>
      </c>
      <c r="Q58" s="724">
        <f>(VLOOKUP(A58,'2017-18 Funding Detail'!$A$4:$AK$23,37,FALSE)*7/12)*K58</f>
        <v>159794.4699441886</v>
      </c>
      <c r="R58" s="42"/>
      <c r="S58" s="42"/>
      <c r="T58" s="42"/>
    </row>
    <row r="59" spans="1:21" x14ac:dyDescent="0.25">
      <c r="A59" s="131">
        <v>9257002</v>
      </c>
      <c r="B59" s="38" t="s">
        <v>75</v>
      </c>
      <c r="C59" s="335">
        <v>5</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524">
        <v>142</v>
      </c>
      <c r="K59" s="233">
        <f t="shared" si="13"/>
        <v>142</v>
      </c>
      <c r="L59" s="42">
        <f t="shared" si="10"/>
        <v>0</v>
      </c>
      <c r="M59" s="42">
        <f t="shared" si="11"/>
        <v>599490.19342973107</v>
      </c>
      <c r="N59" s="42">
        <f t="shared" si="14"/>
        <v>20176.20001411239</v>
      </c>
      <c r="O59" s="42">
        <f t="shared" si="12"/>
        <v>619666.39344384347</v>
      </c>
      <c r="P59" s="724">
        <f t="shared" si="15"/>
        <v>828333.33333333337</v>
      </c>
      <c r="Q59" s="724">
        <f>(VLOOKUP(A59,'2017-18 Funding Detail'!$A$4:$AK$23,37,FALSE)*7/12)*K59</f>
        <v>134779.00776541437</v>
      </c>
      <c r="R59" s="42"/>
      <c r="S59" s="42"/>
      <c r="T59" s="42"/>
    </row>
    <row r="60" spans="1:21" x14ac:dyDescent="0.25">
      <c r="A60" s="131">
        <v>9257009</v>
      </c>
      <c r="B60" s="38" t="s">
        <v>76</v>
      </c>
      <c r="C60" s="335">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524">
        <v>129</v>
      </c>
      <c r="K60" s="233">
        <f t="shared" si="13"/>
        <v>129</v>
      </c>
      <c r="L60" s="42">
        <f t="shared" si="10"/>
        <v>0</v>
      </c>
      <c r="M60" s="42">
        <f t="shared" si="11"/>
        <v>545083.23773162556</v>
      </c>
      <c r="N60" s="42">
        <f t="shared" si="14"/>
        <v>27455.17204520588</v>
      </c>
      <c r="O60" s="42">
        <f t="shared" si="12"/>
        <v>572538.40977683139</v>
      </c>
      <c r="P60" s="724">
        <f t="shared" si="15"/>
        <v>752500</v>
      </c>
      <c r="Q60" s="724">
        <f>(VLOOKUP(A60,'2017-18 Funding Detail'!$A$4:$AK$23,37,FALSE)*7/12)*K60</f>
        <v>116770.02652927751</v>
      </c>
      <c r="R60" s="42"/>
      <c r="S60" s="42"/>
      <c r="T60" s="42"/>
    </row>
    <row r="61" spans="1:21" x14ac:dyDescent="0.25">
      <c r="A61" s="131">
        <v>9257029</v>
      </c>
      <c r="B61" s="38" t="s">
        <v>99</v>
      </c>
      <c r="C61" s="667">
        <v>3</v>
      </c>
      <c r="D61" s="232">
        <f>'Revised Band Returns'!F41</f>
        <v>0</v>
      </c>
      <c r="E61" s="232">
        <f>'Revised Band Returns'!H41</f>
        <v>0</v>
      </c>
      <c r="F61" s="232">
        <f>'Revised Band Returns'!J41</f>
        <v>0</v>
      </c>
      <c r="G61" s="232">
        <f>'Revised Band Returns'!L41</f>
        <v>0</v>
      </c>
      <c r="H61" s="232">
        <f>'Revised Band Returns'!N41</f>
        <v>1</v>
      </c>
      <c r="I61" s="233">
        <v>0</v>
      </c>
      <c r="J61" s="524">
        <v>43</v>
      </c>
      <c r="K61" s="233">
        <f t="shared" si="13"/>
        <v>43</v>
      </c>
      <c r="L61" s="42">
        <f t="shared" si="10"/>
        <v>0</v>
      </c>
      <c r="M61" s="42">
        <f t="shared" si="11"/>
        <v>293274.85100559442</v>
      </c>
      <c r="N61" s="42">
        <f t="shared" si="14"/>
        <v>66095.784553273421</v>
      </c>
      <c r="O61" s="42">
        <f t="shared" si="12"/>
        <v>359370.63555886783</v>
      </c>
      <c r="P61" s="724">
        <f t="shared" si="15"/>
        <v>250833.33333333334</v>
      </c>
      <c r="Q61" s="724">
        <f>(VLOOKUP(A61,'2017-18 Funding Detail'!$A$4:$AK$23,37,FALSE)*7/12)*K61</f>
        <v>308154.33268100163</v>
      </c>
      <c r="R61" s="42"/>
      <c r="S61" s="42"/>
      <c r="T61" s="42"/>
    </row>
    <row r="62" spans="1:21" x14ac:dyDescent="0.25">
      <c r="A62" s="131">
        <v>9257032</v>
      </c>
      <c r="B62" s="38" t="s">
        <v>100</v>
      </c>
      <c r="C62" s="335">
        <v>4</v>
      </c>
      <c r="D62" s="232">
        <f>'Revised Band Returns'!F42</f>
        <v>0</v>
      </c>
      <c r="E62" s="232">
        <f>'Revised Band Returns'!H42</f>
        <v>0</v>
      </c>
      <c r="F62" s="232">
        <f>'Revised Band Returns'!J42</f>
        <v>0</v>
      </c>
      <c r="G62" s="232">
        <f>'Revised Band Returns'!L42</f>
        <v>0</v>
      </c>
      <c r="H62" s="232">
        <f>'Revised Band Returns'!N42</f>
        <v>1</v>
      </c>
      <c r="I62" s="233">
        <v>0</v>
      </c>
      <c r="J62" s="524">
        <v>60</v>
      </c>
      <c r="K62" s="233">
        <f t="shared" si="13"/>
        <v>60</v>
      </c>
      <c r="L62" s="42">
        <f t="shared" si="10"/>
        <v>0</v>
      </c>
      <c r="M62" s="42">
        <f t="shared" si="11"/>
        <v>409220.72233338753</v>
      </c>
      <c r="N62" s="42">
        <f t="shared" si="14"/>
        <v>92226.67612084662</v>
      </c>
      <c r="O62" s="42">
        <f t="shared" si="12"/>
        <v>501447.39845423424</v>
      </c>
      <c r="P62" s="724">
        <f t="shared" si="15"/>
        <v>350000</v>
      </c>
      <c r="Q62" s="724">
        <f>(VLOOKUP(A62,'2017-18 Funding Detail'!$A$4:$AK$23,37,FALSE)*7/12)*K62</f>
        <v>398598.05092751002</v>
      </c>
      <c r="R62" s="42"/>
      <c r="S62" s="42"/>
      <c r="T62" s="42"/>
    </row>
    <row r="63" spans="1:21" x14ac:dyDescent="0.25">
      <c r="A63" s="131">
        <v>9257030</v>
      </c>
      <c r="B63" s="38" t="s">
        <v>92</v>
      </c>
      <c r="C63" s="667">
        <v>4</v>
      </c>
      <c r="D63" s="232">
        <f>'Revised Band Returns'!F43</f>
        <v>0</v>
      </c>
      <c r="E63" s="232">
        <f>'Revised Band Returns'!H43</f>
        <v>0</v>
      </c>
      <c r="F63" s="232">
        <f>'Revised Band Returns'!J43</f>
        <v>0</v>
      </c>
      <c r="G63" s="232">
        <f>'Revised Band Returns'!L43</f>
        <v>0</v>
      </c>
      <c r="H63" s="232">
        <f>'Revised Band Returns'!N43</f>
        <v>1</v>
      </c>
      <c r="I63" s="233">
        <v>0</v>
      </c>
      <c r="J63" s="524">
        <v>70</v>
      </c>
      <c r="K63" s="233">
        <f t="shared" si="13"/>
        <v>70</v>
      </c>
      <c r="L63" s="42">
        <f t="shared" si="10"/>
        <v>0</v>
      </c>
      <c r="M63" s="42">
        <f t="shared" si="11"/>
        <v>477424.17605561879</v>
      </c>
      <c r="N63" s="42">
        <f t="shared" si="14"/>
        <v>107597.78880765439</v>
      </c>
      <c r="O63" s="42">
        <f t="shared" si="12"/>
        <v>585021.9648632732</v>
      </c>
      <c r="P63" s="724">
        <f t="shared" si="15"/>
        <v>408333.33333333337</v>
      </c>
      <c r="Q63" s="724">
        <f>(VLOOKUP(A63,'2017-18 Funding Detail'!$A$4:$AK$23,37,FALSE)*7/12)*K63</f>
        <v>438647.76612545847</v>
      </c>
      <c r="R63" s="42"/>
      <c r="S63" s="42"/>
      <c r="T63" s="42"/>
    </row>
    <row r="64" spans="1:21" x14ac:dyDescent="0.25">
      <c r="A64" s="131">
        <v>9257028</v>
      </c>
      <c r="B64" s="38" t="s">
        <v>77</v>
      </c>
      <c r="C64" s="335">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523">
        <v>0</v>
      </c>
      <c r="J64" s="524">
        <v>61</v>
      </c>
      <c r="K64" s="233">
        <f t="shared" si="13"/>
        <v>61</v>
      </c>
      <c r="L64" s="42">
        <f t="shared" si="10"/>
        <v>0</v>
      </c>
      <c r="M64" s="42">
        <f t="shared" si="11"/>
        <v>363816.21696932288</v>
      </c>
      <c r="N64" s="42">
        <f t="shared" si="14"/>
        <v>22450.48430453473</v>
      </c>
      <c r="O64" s="42">
        <f t="shared" si="12"/>
        <v>386266.70127385756</v>
      </c>
      <c r="P64" s="724">
        <f t="shared" si="15"/>
        <v>355833.33333333337</v>
      </c>
      <c r="Q64" s="724">
        <f>(VLOOKUP(A64,'2017-18 Funding Detail'!$A$4:$AK$23,37,FALSE)*7/12)*K64</f>
        <v>288129.43671071727</v>
      </c>
      <c r="R64" s="42"/>
      <c r="S64" s="42"/>
      <c r="T64" s="42"/>
    </row>
    <row r="65" spans="1:21" x14ac:dyDescent="0.25">
      <c r="A65" s="131">
        <v>9257021</v>
      </c>
      <c r="B65" s="38" t="s">
        <v>78</v>
      </c>
      <c r="C65" s="667">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524">
        <v>155</v>
      </c>
      <c r="K65" s="233">
        <f t="shared" si="13"/>
        <v>155</v>
      </c>
      <c r="L65" s="42">
        <f t="shared" si="10"/>
        <v>0</v>
      </c>
      <c r="M65" s="42">
        <f t="shared" si="11"/>
        <v>664597.15258352866</v>
      </c>
      <c r="N65" s="42">
        <f t="shared" si="14"/>
        <v>33556.654457115561</v>
      </c>
      <c r="O65" s="42">
        <f t="shared" si="12"/>
        <v>698153.80704064434</v>
      </c>
      <c r="P65" s="724">
        <f t="shared" si="15"/>
        <v>904166.66666666674</v>
      </c>
      <c r="Q65" s="724">
        <f>(VLOOKUP(A65,'2017-18 Funding Detail'!$A$4:$AK$23,37,FALSE)*7/12)*K65</f>
        <v>122545.98292628313</v>
      </c>
      <c r="R65" s="42"/>
      <c r="S65" s="42"/>
      <c r="T65" s="42"/>
    </row>
    <row r="66" spans="1:21" x14ac:dyDescent="0.25">
      <c r="A66" s="131">
        <v>9257015</v>
      </c>
      <c r="B66" s="38" t="s">
        <v>55</v>
      </c>
      <c r="C66" s="335">
        <v>6</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0</v>
      </c>
      <c r="J66" s="524">
        <v>233</v>
      </c>
      <c r="K66" s="233">
        <f t="shared" si="13"/>
        <v>233</v>
      </c>
      <c r="L66" s="42">
        <f t="shared" si="10"/>
        <v>0</v>
      </c>
      <c r="M66" s="42">
        <f t="shared" si="11"/>
        <v>974541.03218763077</v>
      </c>
      <c r="N66" s="42">
        <f t="shared" si="14"/>
        <v>23106.253264685231</v>
      </c>
      <c r="O66" s="42">
        <f t="shared" si="12"/>
        <v>997647.28545231605</v>
      </c>
      <c r="P66" s="724">
        <f t="shared" si="15"/>
        <v>1359166.6666666667</v>
      </c>
      <c r="Q66" s="724">
        <f>(VLOOKUP(A66,'2017-18 Funding Detail'!$A$4:$AK$23,37,FALSE)*7/12)*K66</f>
        <v>0</v>
      </c>
      <c r="R66" s="42"/>
      <c r="S66" s="42"/>
      <c r="T66" s="42"/>
    </row>
    <row r="67" spans="1:21" x14ac:dyDescent="0.25">
      <c r="A67" s="131">
        <v>9257016</v>
      </c>
      <c r="B67" s="38" t="s">
        <v>80</v>
      </c>
      <c r="C67" s="335">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524">
        <v>89</v>
      </c>
      <c r="K67" s="233">
        <f t="shared" si="13"/>
        <v>89</v>
      </c>
      <c r="L67" s="42">
        <f t="shared" si="10"/>
        <v>0</v>
      </c>
      <c r="M67" s="42">
        <f t="shared" si="11"/>
        <v>525296.38538705895</v>
      </c>
      <c r="N67" s="42">
        <f t="shared" si="14"/>
        <v>0</v>
      </c>
      <c r="O67" s="42">
        <f t="shared" si="12"/>
        <v>525296.38538705895</v>
      </c>
      <c r="P67" s="724">
        <f t="shared" si="15"/>
        <v>519166.66666666669</v>
      </c>
      <c r="Q67" s="724">
        <f>(VLOOKUP(A67,'2017-18 Funding Detail'!$A$4:$AK$23,37,FALSE)*7/12)*K67</f>
        <v>313309.91923240811</v>
      </c>
      <c r="R67" s="628" t="s">
        <v>402</v>
      </c>
      <c r="S67" s="42"/>
      <c r="T67" s="42"/>
    </row>
    <row r="68" spans="1:21" x14ac:dyDescent="0.25">
      <c r="B68" s="50"/>
      <c r="C68" s="50"/>
      <c r="H68" s="628" t="s">
        <v>402</v>
      </c>
      <c r="I68" s="628" t="s">
        <v>402</v>
      </c>
      <c r="K68" s="628" t="s">
        <v>402</v>
      </c>
      <c r="O68" s="628" t="s">
        <v>402</v>
      </c>
    </row>
    <row r="69" spans="1:21" ht="13" x14ac:dyDescent="0.3">
      <c r="A69" s="230" t="s">
        <v>292</v>
      </c>
      <c r="B69" s="50"/>
      <c r="C69" s="50"/>
    </row>
    <row r="70" spans="1:21" x14ac:dyDescent="0.25">
      <c r="B70" s="50"/>
      <c r="C70" s="50"/>
      <c r="M70" s="1893" t="s">
        <v>332</v>
      </c>
      <c r="N70" s="1894"/>
    </row>
    <row r="71" spans="1:21" ht="37.5" x14ac:dyDescent="0.25">
      <c r="A71" s="183" t="s">
        <v>201</v>
      </c>
      <c r="B71" s="36" t="s">
        <v>66</v>
      </c>
      <c r="C71" s="659" t="s">
        <v>51</v>
      </c>
      <c r="D71" s="34" t="s">
        <v>256</v>
      </c>
      <c r="E71" s="34" t="s">
        <v>257</v>
      </c>
      <c r="F71" s="34" t="s">
        <v>258</v>
      </c>
      <c r="G71" s="34" t="s">
        <v>259</v>
      </c>
      <c r="H71" s="34" t="s">
        <v>260</v>
      </c>
      <c r="I71" s="663" t="s">
        <v>185</v>
      </c>
      <c r="J71" s="663" t="s">
        <v>289</v>
      </c>
      <c r="K71" s="663" t="s">
        <v>392</v>
      </c>
      <c r="L71" s="663" t="s">
        <v>289</v>
      </c>
      <c r="M71" s="663" t="s">
        <v>330</v>
      </c>
      <c r="N71" s="694" t="s">
        <v>341</v>
      </c>
      <c r="O71" s="663"/>
      <c r="P71" s="663"/>
      <c r="Q71" s="663"/>
    </row>
    <row r="72" spans="1:21" x14ac:dyDescent="0.25">
      <c r="A72" s="185">
        <v>9257010</v>
      </c>
      <c r="B72" s="38" t="s">
        <v>67</v>
      </c>
      <c r="C72" s="337">
        <v>4</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524">
        <v>5</v>
      </c>
      <c r="J72" s="42">
        <f t="shared" ref="J72:J89" si="16">(((I72*D72)*$G$92)+((I72*E72)*$G$94)+((I72*F72)*$G$96)+((I72*G72)*$G$98)+((I72*H72)*$G$100))*(8/12)</f>
        <v>32676.257284106938</v>
      </c>
      <c r="K72" s="42">
        <f>((H72*I72)*$G$102)*(8/12)</f>
        <v>627.39235456358233</v>
      </c>
      <c r="L72" s="42">
        <f>SUM(J72:K72)</f>
        <v>33303.649638670518</v>
      </c>
      <c r="M72" s="724">
        <f>(I72*(8/12))*10000</f>
        <v>33333.333333333328</v>
      </c>
      <c r="N72" s="724">
        <f>(VLOOKUP(A72,'2017-18 Funding Detail'!$A$4:$AK$23,37,FALSE)*8/12)*I72</f>
        <v>33387.374535069306</v>
      </c>
      <c r="O72" s="80"/>
      <c r="P72" s="42"/>
      <c r="Q72" s="168"/>
      <c r="R72" s="348"/>
      <c r="T72" s="626" t="s">
        <v>402</v>
      </c>
      <c r="U72" s="625" t="s">
        <v>594</v>
      </c>
    </row>
    <row r="73" spans="1:21" x14ac:dyDescent="0.25">
      <c r="A73" s="185">
        <v>9257005</v>
      </c>
      <c r="B73" s="38" t="s">
        <v>68</v>
      </c>
      <c r="C73" s="335">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524">
        <v>30</v>
      </c>
      <c r="J73" s="42">
        <f t="shared" si="16"/>
        <v>184351.31419619187</v>
      </c>
      <c r="K73" s="42">
        <f t="shared" ref="K73:K89" si="17">((H73*I73)*$G$102)*(8/12)</f>
        <v>10401.504825659395</v>
      </c>
      <c r="L73" s="42">
        <f>SUM(J73:K73)</f>
        <v>194752.81902185126</v>
      </c>
      <c r="M73" s="724">
        <f t="shared" ref="M73:M89" si="18">(I73*(8/12))*10000</f>
        <v>200000</v>
      </c>
      <c r="N73" s="724">
        <f>(VLOOKUP(A73,'2017-18 Funding Detail'!$A$4:$AK$23,37,FALSE)*8/12)*I73</f>
        <v>129436.94924783375</v>
      </c>
      <c r="O73" s="80"/>
      <c r="P73" s="42"/>
      <c r="Q73" s="168"/>
      <c r="R73" s="348"/>
    </row>
    <row r="74" spans="1:21" x14ac:dyDescent="0.25">
      <c r="A74" s="185">
        <v>9257025</v>
      </c>
      <c r="B74" s="38" t="s">
        <v>69</v>
      </c>
      <c r="C74" s="667">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524">
        <v>16</v>
      </c>
      <c r="J74" s="42">
        <f t="shared" si="16"/>
        <v>102200.93065204007</v>
      </c>
      <c r="K74" s="42">
        <f t="shared" si="17"/>
        <v>5833.5651382817632</v>
      </c>
      <c r="L74" s="42">
        <f t="shared" ref="L74:L89" si="19">SUM(J74:K74)</f>
        <v>108034.49579032183</v>
      </c>
      <c r="M74" s="724">
        <f t="shared" si="18"/>
        <v>106666.66666666666</v>
      </c>
      <c r="N74" s="724">
        <f>(VLOOKUP(A74,'2017-18 Funding Detail'!$A$4:$AK$23,37,FALSE)*8/12)*I74</f>
        <v>86949.710423400393</v>
      </c>
      <c r="O74" s="80"/>
      <c r="P74" s="42"/>
      <c r="Q74" s="168"/>
      <c r="R74" s="348"/>
    </row>
    <row r="75" spans="1:21" x14ac:dyDescent="0.25">
      <c r="A75" s="185">
        <v>9257011</v>
      </c>
      <c r="B75" s="38" t="s">
        <v>70</v>
      </c>
      <c r="C75" s="335">
        <v>4</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524">
        <v>14</v>
      </c>
      <c r="J75" s="42">
        <f t="shared" si="16"/>
        <v>92015.307705842686</v>
      </c>
      <c r="K75" s="42">
        <f t="shared" si="17"/>
        <v>3825.6991576054897</v>
      </c>
      <c r="L75" s="42">
        <f t="shared" si="19"/>
        <v>95841.006863448172</v>
      </c>
      <c r="M75" s="724">
        <f t="shared" si="18"/>
        <v>93333.333333333328</v>
      </c>
      <c r="N75" s="724">
        <f>(VLOOKUP(A75,'2017-18 Funding Detail'!$A$4:$AK$23,37,FALSE)*8/12)*I75</f>
        <v>89517.957787585794</v>
      </c>
      <c r="O75" s="80"/>
      <c r="P75" s="42"/>
      <c r="Q75" s="168"/>
      <c r="R75" s="348"/>
    </row>
    <row r="76" spans="1:21" x14ac:dyDescent="0.25">
      <c r="A76" s="185">
        <v>9257024</v>
      </c>
      <c r="B76" s="38" t="s">
        <v>71</v>
      </c>
      <c r="C76" s="335">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524">
        <v>11</v>
      </c>
      <c r="J76" s="42">
        <f t="shared" si="16"/>
        <v>67068.613269762631</v>
      </c>
      <c r="K76" s="42">
        <f t="shared" si="17"/>
        <v>1054.0191556668185</v>
      </c>
      <c r="L76" s="42">
        <f t="shared" si="19"/>
        <v>68122.632425429445</v>
      </c>
      <c r="M76" s="724">
        <f t="shared" si="18"/>
        <v>73333.333333333328</v>
      </c>
      <c r="N76" s="724">
        <f>(VLOOKUP(A76,'2017-18 Funding Detail'!$A$4:$AK$23,37,FALSE)*8/12)*I76</f>
        <v>40784.20519101424</v>
      </c>
      <c r="O76" s="80"/>
      <c r="P76" s="42"/>
      <c r="Q76" s="168"/>
      <c r="R76" s="348"/>
    </row>
    <row r="77" spans="1:21" x14ac:dyDescent="0.25">
      <c r="A77" s="185">
        <v>9257031</v>
      </c>
      <c r="B77" s="38" t="s">
        <v>98</v>
      </c>
      <c r="C77" s="335">
        <v>4</v>
      </c>
      <c r="D77" s="49">
        <f>'Revised Band Returns'!F35</f>
        <v>0</v>
      </c>
      <c r="E77" s="49">
        <f>'Revised Band Returns'!H35</f>
        <v>0</v>
      </c>
      <c r="F77" s="49">
        <f>'Revised Band Returns'!J35</f>
        <v>0</v>
      </c>
      <c r="G77" s="49">
        <f>'Revised Band Returns'!L35</f>
        <v>0</v>
      </c>
      <c r="H77" s="49">
        <f>'Revised Band Returns'!N35</f>
        <v>1</v>
      </c>
      <c r="I77" s="524">
        <v>0</v>
      </c>
      <c r="J77" s="42">
        <f t="shared" si="16"/>
        <v>0</v>
      </c>
      <c r="K77" s="42">
        <f t="shared" si="17"/>
        <v>0</v>
      </c>
      <c r="L77" s="42">
        <f t="shared" si="19"/>
        <v>0</v>
      </c>
      <c r="M77" s="724">
        <f t="shared" si="18"/>
        <v>0</v>
      </c>
      <c r="N77" s="724">
        <f>(VLOOKUP(A77,'2017-18 Funding Detail'!$A$4:$AK$23,37,FALSE)*8/12)*I77</f>
        <v>0</v>
      </c>
      <c r="O77" s="80"/>
      <c r="P77" s="42"/>
      <c r="Q77" s="168"/>
      <c r="R77" s="348"/>
    </row>
    <row r="78" spans="1:21" x14ac:dyDescent="0.25">
      <c r="A78" s="185">
        <v>9257033</v>
      </c>
      <c r="B78" s="38" t="s">
        <v>72</v>
      </c>
      <c r="C78" s="335">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524">
        <v>0</v>
      </c>
      <c r="J78" s="42">
        <f t="shared" si="16"/>
        <v>0</v>
      </c>
      <c r="K78" s="42">
        <f t="shared" si="17"/>
        <v>0</v>
      </c>
      <c r="L78" s="42">
        <f t="shared" si="19"/>
        <v>0</v>
      </c>
      <c r="M78" s="724">
        <f t="shared" si="18"/>
        <v>0</v>
      </c>
      <c r="N78" s="724">
        <f>(VLOOKUP(A78,'2017-18 Funding Detail'!$A$4:$AK$23,37,FALSE)*8/12)*I78</f>
        <v>0</v>
      </c>
      <c r="O78" s="80"/>
      <c r="P78" s="42"/>
      <c r="Q78" s="168"/>
      <c r="R78" s="348"/>
    </row>
    <row r="79" spans="1:21" x14ac:dyDescent="0.25">
      <c r="A79" s="185">
        <v>9257008</v>
      </c>
      <c r="B79" s="38" t="s">
        <v>73</v>
      </c>
      <c r="C79" s="667">
        <v>4</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524">
        <v>0</v>
      </c>
      <c r="J79" s="42">
        <f t="shared" si="16"/>
        <v>0</v>
      </c>
      <c r="K79" s="42">
        <f t="shared" si="17"/>
        <v>0</v>
      </c>
      <c r="L79" s="42">
        <f t="shared" si="19"/>
        <v>0</v>
      </c>
      <c r="M79" s="724">
        <f t="shared" si="18"/>
        <v>0</v>
      </c>
      <c r="N79" s="724">
        <f>(VLOOKUP(A79,'2017-18 Funding Detail'!$A$4:$AK$23,37,FALSE)*8/12)*I79</f>
        <v>0</v>
      </c>
      <c r="O79" s="80"/>
      <c r="P79" s="42"/>
      <c r="Q79" s="168"/>
      <c r="R79" s="348"/>
    </row>
    <row r="80" spans="1:21" x14ac:dyDescent="0.25">
      <c r="A80" s="185">
        <v>9257034</v>
      </c>
      <c r="B80" s="38" t="s">
        <v>74</v>
      </c>
      <c r="C80" s="335">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524">
        <v>35</v>
      </c>
      <c r="J80" s="42">
        <f t="shared" si="16"/>
        <v>189995.73124875181</v>
      </c>
      <c r="K80" s="42">
        <f t="shared" si="17"/>
        <v>12587.367869511874</v>
      </c>
      <c r="L80" s="42">
        <f t="shared" si="19"/>
        <v>202583.09911826369</v>
      </c>
      <c r="M80" s="724">
        <f t="shared" si="18"/>
        <v>233333.33333333331</v>
      </c>
      <c r="N80" s="724">
        <f>(VLOOKUP(A80,'2017-18 Funding Detail'!$A$4:$AK$23,37,FALSE)*8/12)*I80</f>
        <v>77948.521923994442</v>
      </c>
      <c r="O80" s="80"/>
      <c r="P80" s="42"/>
      <c r="Q80" s="168"/>
      <c r="R80" s="348"/>
    </row>
    <row r="81" spans="1:18" x14ac:dyDescent="0.25">
      <c r="A81" s="185">
        <v>9257002</v>
      </c>
      <c r="B81" s="38" t="s">
        <v>75</v>
      </c>
      <c r="C81" s="335">
        <v>5</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524">
        <v>0</v>
      </c>
      <c r="J81" s="42">
        <f t="shared" si="16"/>
        <v>0</v>
      </c>
      <c r="K81" s="42">
        <f t="shared" si="17"/>
        <v>0</v>
      </c>
      <c r="L81" s="42">
        <f t="shared" si="19"/>
        <v>0</v>
      </c>
      <c r="M81" s="724">
        <f t="shared" si="18"/>
        <v>0</v>
      </c>
      <c r="N81" s="724">
        <f>(VLOOKUP(A81,'2017-18 Funding Detail'!$A$4:$AK$23,37,FALSE)*8/12)*I81</f>
        <v>0</v>
      </c>
      <c r="O81" s="80"/>
      <c r="P81" s="42"/>
      <c r="Q81" s="168"/>
      <c r="R81" s="348"/>
    </row>
    <row r="82" spans="1:18" x14ac:dyDescent="0.25">
      <c r="A82" s="185">
        <v>9257009</v>
      </c>
      <c r="B82" s="38" t="s">
        <v>76</v>
      </c>
      <c r="C82" s="335">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524">
        <v>0</v>
      </c>
      <c r="J82" s="42">
        <f t="shared" si="16"/>
        <v>0</v>
      </c>
      <c r="K82" s="42">
        <f t="shared" si="17"/>
        <v>0</v>
      </c>
      <c r="L82" s="42">
        <f t="shared" si="19"/>
        <v>0</v>
      </c>
      <c r="M82" s="724">
        <f t="shared" si="18"/>
        <v>0</v>
      </c>
      <c r="N82" s="724">
        <f>(VLOOKUP(A82,'2017-18 Funding Detail'!$A$4:$AK$23,37,FALSE)*8/12)*I82</f>
        <v>0</v>
      </c>
      <c r="O82" s="80"/>
      <c r="P82" s="42"/>
      <c r="Q82" s="168"/>
      <c r="R82" s="348"/>
    </row>
    <row r="83" spans="1:18" x14ac:dyDescent="0.25">
      <c r="A83" s="185">
        <v>9257029</v>
      </c>
      <c r="B83" s="38" t="s">
        <v>99</v>
      </c>
      <c r="C83" s="667">
        <v>3</v>
      </c>
      <c r="D83" s="49">
        <f>'Revised Band Returns'!F41</f>
        <v>0</v>
      </c>
      <c r="E83" s="49">
        <f>'Revised Band Returns'!H41</f>
        <v>0</v>
      </c>
      <c r="F83" s="49">
        <f>'Revised Band Returns'!J41</f>
        <v>0</v>
      </c>
      <c r="G83" s="49">
        <f>'Revised Band Returns'!L41</f>
        <v>0</v>
      </c>
      <c r="H83" s="49">
        <f>'Revised Band Returns'!N41</f>
        <v>1</v>
      </c>
      <c r="I83" s="524">
        <v>0</v>
      </c>
      <c r="J83" s="42">
        <f t="shared" si="16"/>
        <v>0</v>
      </c>
      <c r="K83" s="42">
        <f t="shared" si="17"/>
        <v>0</v>
      </c>
      <c r="L83" s="42">
        <f t="shared" si="19"/>
        <v>0</v>
      </c>
      <c r="M83" s="724">
        <f t="shared" si="18"/>
        <v>0</v>
      </c>
      <c r="N83" s="724">
        <f>(VLOOKUP(A83,'2017-18 Funding Detail'!$A$4:$AK$23,37,FALSE)*8/12)*I83</f>
        <v>0</v>
      </c>
      <c r="O83" s="80"/>
      <c r="P83" s="42"/>
      <c r="Q83" s="168"/>
      <c r="R83" s="348"/>
    </row>
    <row r="84" spans="1:18" x14ac:dyDescent="0.25">
      <c r="A84" s="185">
        <v>9257032</v>
      </c>
      <c r="B84" s="38" t="s">
        <v>100</v>
      </c>
      <c r="C84" s="335">
        <v>4</v>
      </c>
      <c r="D84" s="49">
        <f>'Revised Band Returns'!F42</f>
        <v>0</v>
      </c>
      <c r="E84" s="49">
        <f>'Revised Band Returns'!H42</f>
        <v>0</v>
      </c>
      <c r="F84" s="49">
        <f>'Revised Band Returns'!J42</f>
        <v>0</v>
      </c>
      <c r="G84" s="49">
        <f>'Revised Band Returns'!L42</f>
        <v>0</v>
      </c>
      <c r="H84" s="49">
        <f>'Revised Band Returns'!N42</f>
        <v>1</v>
      </c>
      <c r="I84" s="524">
        <v>0</v>
      </c>
      <c r="J84" s="42">
        <f t="shared" si="16"/>
        <v>0</v>
      </c>
      <c r="K84" s="42">
        <f t="shared" si="17"/>
        <v>0</v>
      </c>
      <c r="L84" s="42">
        <f t="shared" si="19"/>
        <v>0</v>
      </c>
      <c r="M84" s="724">
        <f t="shared" si="18"/>
        <v>0</v>
      </c>
      <c r="N84" s="724">
        <f>(VLOOKUP(A84,'2017-18 Funding Detail'!$A$4:$AK$23,37,FALSE)*8/12)*I84</f>
        <v>0</v>
      </c>
      <c r="O84" s="80"/>
      <c r="P84" s="42"/>
      <c r="Q84" s="168"/>
      <c r="R84" s="348"/>
    </row>
    <row r="85" spans="1:18" x14ac:dyDescent="0.25">
      <c r="A85" s="185">
        <v>9257030</v>
      </c>
      <c r="B85" s="38" t="s">
        <v>92</v>
      </c>
      <c r="C85" s="667">
        <v>4</v>
      </c>
      <c r="D85" s="49">
        <f>'Revised Band Returns'!F43</f>
        <v>0</v>
      </c>
      <c r="E85" s="49">
        <f>'Revised Band Returns'!H43</f>
        <v>0</v>
      </c>
      <c r="F85" s="49">
        <f>'Revised Band Returns'!J43</f>
        <v>0</v>
      </c>
      <c r="G85" s="49">
        <f>'Revised Band Returns'!L43</f>
        <v>0</v>
      </c>
      <c r="H85" s="49">
        <f>'Revised Band Returns'!N43</f>
        <v>1</v>
      </c>
      <c r="I85" s="524">
        <v>0</v>
      </c>
      <c r="J85" s="42">
        <f t="shared" si="16"/>
        <v>0</v>
      </c>
      <c r="K85" s="42">
        <f t="shared" si="17"/>
        <v>0</v>
      </c>
      <c r="L85" s="42">
        <f t="shared" si="19"/>
        <v>0</v>
      </c>
      <c r="M85" s="724">
        <f t="shared" si="18"/>
        <v>0</v>
      </c>
      <c r="N85" s="724">
        <f>(VLOOKUP(A85,'2017-18 Funding Detail'!$A$4:$AK$23,37,FALSE)*8/12)*I85</f>
        <v>0</v>
      </c>
      <c r="O85" s="80"/>
      <c r="P85" s="42"/>
      <c r="Q85" s="168"/>
      <c r="R85" s="348"/>
    </row>
    <row r="86" spans="1:18" x14ac:dyDescent="0.25">
      <c r="A86" s="185">
        <v>9257028</v>
      </c>
      <c r="B86" s="38" t="s">
        <v>77</v>
      </c>
      <c r="C86" s="335">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524">
        <v>18</v>
      </c>
      <c r="J86" s="42">
        <f t="shared" si="16"/>
        <v>122692.12000838989</v>
      </c>
      <c r="K86" s="42">
        <f t="shared" si="17"/>
        <v>7571.1235125363019</v>
      </c>
      <c r="L86" s="42">
        <f t="shared" si="19"/>
        <v>130263.24352092619</v>
      </c>
      <c r="M86" s="724">
        <f t="shared" si="18"/>
        <v>120000</v>
      </c>
      <c r="N86" s="724">
        <f>(VLOOKUP(A86,'2017-18 Funding Detail'!$A$4:$AK$23,37,FALSE)*8/12)*I86</f>
        <v>97167.772567548673</v>
      </c>
      <c r="O86" s="80"/>
      <c r="P86" s="42"/>
      <c r="Q86" s="168"/>
      <c r="R86" s="348"/>
    </row>
    <row r="87" spans="1:18" x14ac:dyDescent="0.25">
      <c r="A87" s="185">
        <v>9257021</v>
      </c>
      <c r="B87" s="38" t="s">
        <v>78</v>
      </c>
      <c r="C87" s="667">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524">
        <v>2</v>
      </c>
      <c r="J87" s="42">
        <f t="shared" si="16"/>
        <v>9800.5110058400533</v>
      </c>
      <c r="K87" s="42">
        <f t="shared" si="17"/>
        <v>494.8446740219805</v>
      </c>
      <c r="L87" s="42">
        <f t="shared" si="19"/>
        <v>10295.355679862034</v>
      </c>
      <c r="M87" s="724">
        <f t="shared" si="18"/>
        <v>13333.333333333332</v>
      </c>
      <c r="N87" s="724">
        <f>(VLOOKUP(A87,'2017-18 Funding Detail'!$A$4:$AK$23,37,FALSE)*8/12)*I87</f>
        <v>1807.1297021387375</v>
      </c>
      <c r="O87" s="80"/>
      <c r="P87" s="42"/>
      <c r="Q87" s="168"/>
      <c r="R87" s="348"/>
    </row>
    <row r="88" spans="1:18" x14ac:dyDescent="0.25">
      <c r="A88" s="185">
        <v>9257015</v>
      </c>
      <c r="B88" s="38" t="s">
        <v>55</v>
      </c>
      <c r="C88" s="335">
        <v>6</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524">
        <v>28</v>
      </c>
      <c r="J88" s="42">
        <f t="shared" si="16"/>
        <v>133842.54519315099</v>
      </c>
      <c r="K88" s="42">
        <f t="shared" si="17"/>
        <v>3173.391006308701</v>
      </c>
      <c r="L88" s="42">
        <f t="shared" si="19"/>
        <v>137015.93619945968</v>
      </c>
      <c r="M88" s="724">
        <f t="shared" si="18"/>
        <v>186666.66666666666</v>
      </c>
      <c r="N88" s="724">
        <f>(VLOOKUP(A88,'2017-18 Funding Detail'!$A$4:$AK$23,37,FALSE)*8/12)*I88</f>
        <v>0</v>
      </c>
      <c r="O88" s="80"/>
      <c r="P88" s="42"/>
      <c r="Q88" s="168"/>
      <c r="R88" s="348"/>
    </row>
    <row r="89" spans="1:18" x14ac:dyDescent="0.25">
      <c r="A89" s="185">
        <v>9257016</v>
      </c>
      <c r="B89" s="38" t="s">
        <v>80</v>
      </c>
      <c r="C89" s="335">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524">
        <v>57</v>
      </c>
      <c r="J89" s="42">
        <f t="shared" si="16"/>
        <v>384486.59989807202</v>
      </c>
      <c r="K89" s="42">
        <f t="shared" si="17"/>
        <v>0</v>
      </c>
      <c r="L89" s="42">
        <f t="shared" si="19"/>
        <v>384486.59989807202</v>
      </c>
      <c r="M89" s="724">
        <f t="shared" si="18"/>
        <v>380000</v>
      </c>
      <c r="N89" s="724">
        <f>(VLOOKUP(A89,'2017-18 Funding Detail'!$A$4:$AK$23,37,FALSE)*8/12)*I89</f>
        <v>229324.75629209969</v>
      </c>
      <c r="O89" s="628" t="s">
        <v>402</v>
      </c>
      <c r="P89" s="42"/>
      <c r="Q89" s="168"/>
      <c r="R89" s="348"/>
    </row>
    <row r="90" spans="1:18" x14ac:dyDescent="0.25">
      <c r="B90" s="50"/>
      <c r="C90" s="50"/>
      <c r="H90" s="628" t="s">
        <v>402</v>
      </c>
      <c r="I90" s="628" t="s">
        <v>402</v>
      </c>
      <c r="L90" s="628" t="s">
        <v>402</v>
      </c>
    </row>
    <row r="92" spans="1:18" x14ac:dyDescent="0.25">
      <c r="C92" s="51"/>
      <c r="D92" s="52"/>
      <c r="E92" s="34" t="s">
        <v>2</v>
      </c>
      <c r="G92" s="42">
        <f>'Funding Model'!D7</f>
        <v>11692.020638096787</v>
      </c>
      <c r="H92" s="53"/>
      <c r="I92" s="53"/>
      <c r="J92" s="53"/>
      <c r="K92" s="53"/>
      <c r="L92" s="53"/>
      <c r="M92" s="53"/>
      <c r="N92" s="53"/>
      <c r="O92" s="53"/>
      <c r="P92" s="53"/>
      <c r="Q92" s="53"/>
    </row>
    <row r="93" spans="1:18" x14ac:dyDescent="0.25">
      <c r="C93" s="54"/>
      <c r="D93" s="52"/>
      <c r="G93" s="42"/>
      <c r="H93" s="53"/>
      <c r="I93" s="53"/>
      <c r="J93" s="53"/>
      <c r="K93" s="53"/>
      <c r="L93" s="53"/>
      <c r="M93" s="53"/>
      <c r="N93" s="53"/>
      <c r="O93" s="53"/>
      <c r="P93" s="53"/>
      <c r="Q93" s="53"/>
    </row>
    <row r="94" spans="1:18" x14ac:dyDescent="0.25">
      <c r="C94" s="51"/>
      <c r="D94" s="52"/>
      <c r="E94" s="34" t="s">
        <v>3</v>
      </c>
      <c r="G94" s="42">
        <f>'Funding Model'!D9</f>
        <v>7350.1419469065795</v>
      </c>
      <c r="H94" s="53"/>
      <c r="I94" s="53"/>
      <c r="J94" s="53"/>
      <c r="K94" s="53"/>
      <c r="L94" s="53"/>
      <c r="M94" s="53"/>
      <c r="N94" s="53"/>
      <c r="O94" s="53"/>
      <c r="P94" s="53"/>
      <c r="Q94" s="53"/>
    </row>
    <row r="95" spans="1:18" x14ac:dyDescent="0.25">
      <c r="C95" s="54"/>
      <c r="D95" s="52"/>
      <c r="G95" s="42"/>
      <c r="H95" s="53"/>
      <c r="I95" s="53"/>
      <c r="J95" s="53"/>
      <c r="K95" s="53"/>
      <c r="L95" s="53"/>
      <c r="M95" s="53"/>
      <c r="N95" s="53"/>
      <c r="O95" s="53"/>
      <c r="P95" s="53"/>
      <c r="Q95" s="53"/>
    </row>
    <row r="96" spans="1:18" x14ac:dyDescent="0.25">
      <c r="C96" s="51"/>
      <c r="D96" s="52"/>
      <c r="E96" s="34" t="s">
        <v>5</v>
      </c>
      <c r="G96" s="42">
        <f>'Funding Model'!D11</f>
        <v>6243.7244928897762</v>
      </c>
      <c r="H96" s="53"/>
      <c r="I96" s="53"/>
      <c r="J96" s="53"/>
      <c r="K96" s="53"/>
      <c r="L96" s="53"/>
      <c r="M96" s="53"/>
      <c r="N96" s="53"/>
      <c r="O96" s="53"/>
      <c r="P96" s="53"/>
      <c r="Q96" s="53"/>
    </row>
    <row r="97" spans="1:42" x14ac:dyDescent="0.25">
      <c r="C97" s="54"/>
      <c r="D97" s="52"/>
      <c r="G97" s="42"/>
      <c r="H97" s="53"/>
      <c r="I97" s="53"/>
      <c r="J97" s="53"/>
      <c r="K97" s="53"/>
      <c r="L97" s="53"/>
      <c r="M97" s="53"/>
      <c r="N97" s="53"/>
      <c r="O97" s="53"/>
      <c r="P97" s="53"/>
      <c r="Q97" s="53"/>
    </row>
    <row r="98" spans="1:42" x14ac:dyDescent="0.25">
      <c r="C98" s="51"/>
      <c r="D98" s="52"/>
      <c r="E98" s="34" t="s">
        <v>7</v>
      </c>
      <c r="G98" s="42">
        <f>'Funding Model'!D13</f>
        <v>11692.020638096787</v>
      </c>
      <c r="H98" s="53"/>
      <c r="I98" s="53"/>
      <c r="J98" s="53"/>
      <c r="K98" s="53"/>
      <c r="L98" s="53"/>
      <c r="M98" s="53"/>
      <c r="N98" s="53"/>
      <c r="O98" s="53"/>
      <c r="P98" s="53"/>
      <c r="Q98" s="53"/>
    </row>
    <row r="99" spans="1:42" x14ac:dyDescent="0.25">
      <c r="C99" s="54"/>
      <c r="D99" s="52"/>
      <c r="G99" s="42"/>
      <c r="H99" s="53"/>
      <c r="I99" s="53"/>
      <c r="J99" s="53"/>
      <c r="K99" s="53"/>
      <c r="L99" s="53"/>
      <c r="M99" s="53"/>
      <c r="N99" s="53"/>
      <c r="O99" s="53"/>
      <c r="P99" s="53"/>
      <c r="Q99" s="53"/>
    </row>
    <row r="100" spans="1:42" x14ac:dyDescent="0.25">
      <c r="C100" s="51"/>
      <c r="D100" s="52"/>
      <c r="E100" s="34" t="s">
        <v>8</v>
      </c>
      <c r="G100" s="42">
        <f>'Funding Model'!D15</f>
        <v>11692.020638096787</v>
      </c>
      <c r="H100" s="53"/>
      <c r="I100" s="53"/>
      <c r="J100" s="53"/>
      <c r="K100" s="53"/>
      <c r="L100" s="53"/>
      <c r="M100" s="53"/>
      <c r="N100" s="53"/>
      <c r="O100" s="53"/>
      <c r="P100" s="53"/>
      <c r="Q100" s="53"/>
    </row>
    <row r="101" spans="1:42" ht="14" x14ac:dyDescent="0.3">
      <c r="B101" s="55"/>
      <c r="C101" s="56"/>
      <c r="D101" s="57"/>
      <c r="E101" s="58"/>
      <c r="H101" s="66"/>
      <c r="I101" s="53"/>
      <c r="J101" s="53"/>
      <c r="K101" s="66"/>
      <c r="L101" s="66"/>
      <c r="M101" s="66"/>
      <c r="N101" s="66"/>
      <c r="O101" s="66"/>
      <c r="P101" s="66"/>
      <c r="Q101" s="66"/>
    </row>
    <row r="102" spans="1:42" ht="14" x14ac:dyDescent="0.3">
      <c r="B102" s="59"/>
      <c r="C102" s="60"/>
      <c r="E102" s="34" t="s">
        <v>108</v>
      </c>
      <c r="G102" s="42">
        <f>'Funding Model'!D17</f>
        <v>2635.0478891670464</v>
      </c>
      <c r="H102" s="53"/>
      <c r="I102" s="53"/>
      <c r="J102" s="53"/>
      <c r="K102" s="53"/>
      <c r="L102" s="53"/>
      <c r="M102" s="53"/>
      <c r="N102" s="53"/>
      <c r="O102" s="53"/>
      <c r="P102" s="53"/>
      <c r="Q102" s="53"/>
    </row>
    <row r="106" spans="1:42" ht="13" x14ac:dyDescent="0.3">
      <c r="D106" s="1896" t="s">
        <v>397</v>
      </c>
      <c r="E106" s="1897"/>
      <c r="F106" s="1898"/>
      <c r="G106" s="1896" t="s">
        <v>397</v>
      </c>
      <c r="H106" s="1897"/>
      <c r="I106" s="1898"/>
      <c r="J106" s="1896" t="s">
        <v>185</v>
      </c>
      <c r="K106" s="1897"/>
      <c r="L106" s="1898"/>
      <c r="M106" s="390" t="s">
        <v>399</v>
      </c>
      <c r="N106" s="1896" t="s">
        <v>397</v>
      </c>
      <c r="O106" s="1897"/>
      <c r="P106" s="1898"/>
      <c r="Q106" s="1896" t="s">
        <v>185</v>
      </c>
      <c r="R106" s="1897"/>
      <c r="S106" s="1898"/>
      <c r="T106" s="390" t="s">
        <v>399</v>
      </c>
      <c r="U106" s="391" t="s">
        <v>399</v>
      </c>
      <c r="V106" s="392"/>
      <c r="W106" s="393"/>
      <c r="AL106" s="1891" t="s">
        <v>467</v>
      </c>
    </row>
    <row r="107" spans="1:42" ht="41.25" customHeight="1" x14ac:dyDescent="0.3">
      <c r="A107" s="388" t="s">
        <v>201</v>
      </c>
      <c r="B107" s="389" t="s">
        <v>66</v>
      </c>
      <c r="C107" s="659" t="s">
        <v>51</v>
      </c>
      <c r="D107" s="664" t="str">
        <f t="shared" ref="D107:D125" si="20">L5</f>
        <v>Assessment Funding (Apr-Aug)</v>
      </c>
      <c r="E107" s="665" t="str">
        <f t="shared" ref="E107:E125" si="21">L49</f>
        <v>Assessment Funding (Sept-Mar)</v>
      </c>
      <c r="F107" s="658" t="s">
        <v>393</v>
      </c>
      <c r="G107" s="665" t="str">
        <f t="shared" ref="G107:G125" si="22">M5</f>
        <v>Pre-16 Funding (Apr-Aug)</v>
      </c>
      <c r="H107" s="664" t="str">
        <f t="shared" ref="H107:H125" si="23">M49</f>
        <v>Pre-16 Funding (Sept-Mar)</v>
      </c>
      <c r="I107" s="658" t="s">
        <v>394</v>
      </c>
      <c r="J107" s="664" t="str">
        <f t="shared" ref="J107:J125" si="24">J27</f>
        <v>Post-16 Funding (Apr-Jul)</v>
      </c>
      <c r="K107" s="665" t="str">
        <f t="shared" ref="K107:K125" si="25">J71</f>
        <v>Post-16 Funding (Aug-Mar)</v>
      </c>
      <c r="L107" s="658" t="s">
        <v>395</v>
      </c>
      <c r="M107" s="658" t="s">
        <v>295</v>
      </c>
      <c r="N107" s="665" t="str">
        <f t="shared" ref="N107:N125" si="26">N5</f>
        <v>Additionality Funding (Apr-Aug)</v>
      </c>
      <c r="O107" s="665" t="str">
        <f t="shared" ref="O107:O125" si="27">N49</f>
        <v>Additionality Funding (Sept-Mar)</v>
      </c>
      <c r="P107" s="658" t="s">
        <v>396</v>
      </c>
      <c r="Q107" s="665" t="str">
        <f t="shared" ref="Q107:Q125" si="28">K27</f>
        <v>Additionality Funding (Apr-Jul)</v>
      </c>
      <c r="R107" s="664" t="str">
        <f t="shared" ref="R107:R125" si="29">K71</f>
        <v>Additionality Funding (Aug-Mar)</v>
      </c>
      <c r="S107" s="658" t="s">
        <v>396</v>
      </c>
      <c r="T107" s="658" t="s">
        <v>401</v>
      </c>
      <c r="U107" s="658" t="s">
        <v>103</v>
      </c>
      <c r="V107" s="665" t="s">
        <v>398</v>
      </c>
      <c r="W107" s="394" t="s">
        <v>261</v>
      </c>
      <c r="X107" s="36"/>
      <c r="Y107" s="665" t="s">
        <v>328</v>
      </c>
      <c r="Z107" s="665" t="s">
        <v>330</v>
      </c>
      <c r="AA107" s="658" t="s">
        <v>331</v>
      </c>
      <c r="AB107" s="690" t="s">
        <v>103</v>
      </c>
      <c r="AC107" s="665" t="s">
        <v>310</v>
      </c>
      <c r="AD107" s="665" t="s">
        <v>335</v>
      </c>
      <c r="AE107" s="665" t="s">
        <v>343</v>
      </c>
      <c r="AF107" s="658" t="s">
        <v>465</v>
      </c>
      <c r="AG107" s="665" t="s">
        <v>342</v>
      </c>
      <c r="AH107" s="665" t="s">
        <v>344</v>
      </c>
      <c r="AI107" s="658" t="s">
        <v>466</v>
      </c>
      <c r="AJ107" s="658" t="s">
        <v>345</v>
      </c>
      <c r="AK107" s="389"/>
      <c r="AL107" s="1892"/>
    </row>
    <row r="108" spans="1:42" ht="13" x14ac:dyDescent="0.3">
      <c r="A108" s="185">
        <v>9257010</v>
      </c>
      <c r="B108" s="38" t="s">
        <v>67</v>
      </c>
      <c r="C108" s="337">
        <v>4</v>
      </c>
      <c r="D108" s="666">
        <f t="shared" si="20"/>
        <v>0</v>
      </c>
      <c r="E108" s="666">
        <f t="shared" si="21"/>
        <v>0</v>
      </c>
      <c r="F108" s="156">
        <f>SUM(D108:E108)</f>
        <v>0</v>
      </c>
      <c r="G108" s="666">
        <f t="shared" si="22"/>
        <v>159296.75426002138</v>
      </c>
      <c r="H108" s="666">
        <f t="shared" si="23"/>
        <v>268762.21616177959</v>
      </c>
      <c r="I108" s="156">
        <f t="shared" ref="I108:I125" si="30">SUM(G108:H108)</f>
        <v>428058.97042180097</v>
      </c>
      <c r="J108" s="666">
        <f t="shared" si="24"/>
        <v>32676.257284106938</v>
      </c>
      <c r="K108" s="666">
        <f t="shared" si="25"/>
        <v>32676.257284106938</v>
      </c>
      <c r="L108" s="156">
        <f>SUM(J108:K108)</f>
        <v>65352.514568213875</v>
      </c>
      <c r="M108" s="156">
        <f>I108+L108</f>
        <v>493411.48499001487</v>
      </c>
      <c r="N108" s="666">
        <f t="shared" si="26"/>
        <v>3058.5377284974647</v>
      </c>
      <c r="O108" s="666">
        <f t="shared" si="27"/>
        <v>5160.3021162854657</v>
      </c>
      <c r="P108" s="156">
        <f>SUM(N108:O108)</f>
        <v>8218.8398447829313</v>
      </c>
      <c r="Q108" s="666">
        <f t="shared" si="28"/>
        <v>627.39235456358233</v>
      </c>
      <c r="R108" s="666">
        <f t="shared" si="29"/>
        <v>627.39235456358233</v>
      </c>
      <c r="S108" s="156">
        <f>SUM(Q108:R108)</f>
        <v>1254.7847091271647</v>
      </c>
      <c r="T108" s="156">
        <f>P108+S108</f>
        <v>9473.6245539100964</v>
      </c>
      <c r="U108" s="156">
        <f t="shared" ref="U108:U125" si="31">F108+I108+L108+P108+S108</f>
        <v>502885.10954392498</v>
      </c>
      <c r="V108" s="334">
        <f>(K6*(5/12))+(K50*(7/12))+(I28*(4/12))+(I72*(8/12))</f>
        <v>50.333333333333343</v>
      </c>
      <c r="W108" s="666">
        <f t="shared" ref="W108:W125" si="32">U108/V108</f>
        <v>9991.0948916011566</v>
      </c>
      <c r="X108" s="36"/>
      <c r="Y108" s="94">
        <f>P6+P50</f>
        <v>436666.66666666669</v>
      </c>
      <c r="Z108" s="666">
        <f>M28+M72</f>
        <v>66666.666666666657</v>
      </c>
      <c r="AA108" s="666">
        <f>Y108+Z108</f>
        <v>503333.33333333337</v>
      </c>
      <c r="AB108" s="666">
        <f>VLOOKUP(A108,'2017-18 Funding Detail'!$A$4:$AK$23,32,FALSE)</f>
        <v>1007482.6888128801</v>
      </c>
      <c r="AC108" s="666">
        <f>AB108-AA108</f>
        <v>504149.35547954671</v>
      </c>
      <c r="AD108" s="666">
        <f>Q6</f>
        <v>162763.45085846286</v>
      </c>
      <c r="AE108" s="666">
        <f>Q50</f>
        <v>274611.15555094508</v>
      </c>
      <c r="AF108" s="666">
        <f>AD108+AE108</f>
        <v>437374.60640940792</v>
      </c>
      <c r="AG108" s="666">
        <f t="shared" ref="AG108:AG125" si="33">N28</f>
        <v>33387.374535069306</v>
      </c>
      <c r="AH108" s="666">
        <f t="shared" ref="AH108:AH125" si="34">N72</f>
        <v>33387.374535069306</v>
      </c>
      <c r="AI108" s="666">
        <f>AG108+AH108</f>
        <v>66774.749070138612</v>
      </c>
      <c r="AJ108" s="666">
        <f>AF108+AI108</f>
        <v>504149.35547954653</v>
      </c>
      <c r="AK108" s="134"/>
      <c r="AL108" s="726">
        <f>AA108+AF108+AI108</f>
        <v>1007482.6888128798</v>
      </c>
      <c r="AM108" s="125" t="s">
        <v>402</v>
      </c>
      <c r="AN108" s="627" t="s">
        <v>402</v>
      </c>
      <c r="AO108" s="125"/>
      <c r="AP108" s="125"/>
    </row>
    <row r="109" spans="1:42" ht="13" x14ac:dyDescent="0.3">
      <c r="A109" s="185">
        <v>9257005</v>
      </c>
      <c r="B109" s="38" t="s">
        <v>68</v>
      </c>
      <c r="C109" s="335">
        <v>4</v>
      </c>
      <c r="D109" s="666">
        <f t="shared" si="20"/>
        <v>0</v>
      </c>
      <c r="E109" s="666">
        <f t="shared" si="21"/>
        <v>0</v>
      </c>
      <c r="F109" s="156">
        <f t="shared" ref="F109:F125" si="35">SUM(D109:E109)</f>
        <v>0</v>
      </c>
      <c r="G109" s="666">
        <f t="shared" si="22"/>
        <v>172829.35705892986</v>
      </c>
      <c r="H109" s="666">
        <f t="shared" si="23"/>
        <v>241961.09988250182</v>
      </c>
      <c r="I109" s="156">
        <f t="shared" si="30"/>
        <v>414790.45694143168</v>
      </c>
      <c r="J109" s="666">
        <f t="shared" si="24"/>
        <v>89103.135194826071</v>
      </c>
      <c r="K109" s="666">
        <f t="shared" si="25"/>
        <v>184351.31419619187</v>
      </c>
      <c r="L109" s="156">
        <f t="shared" ref="L109:L125" si="36">SUM(J109:K109)</f>
        <v>273454.44939101796</v>
      </c>
      <c r="M109" s="156">
        <f t="shared" ref="M109:M124" si="37">I109+L109</f>
        <v>688244.90633244964</v>
      </c>
      <c r="N109" s="666">
        <f t="shared" si="26"/>
        <v>9751.4107740556829</v>
      </c>
      <c r="O109" s="666">
        <f t="shared" si="27"/>
        <v>13651.975083677955</v>
      </c>
      <c r="P109" s="156">
        <f t="shared" ref="P109:P125" si="38">SUM(N109:O109)</f>
        <v>23403.385857733636</v>
      </c>
      <c r="Q109" s="666">
        <f t="shared" si="28"/>
        <v>5027.3939990687068</v>
      </c>
      <c r="R109" s="666">
        <f t="shared" si="29"/>
        <v>10401.504825659395</v>
      </c>
      <c r="S109" s="156">
        <f t="shared" ref="S109:S125" si="39">SUM(Q109:R109)</f>
        <v>15428.898824728101</v>
      </c>
      <c r="T109" s="156">
        <f t="shared" ref="T109:T125" si="40">P109+S109</f>
        <v>38832.284682461737</v>
      </c>
      <c r="U109" s="156">
        <f t="shared" si="31"/>
        <v>727077.1910149114</v>
      </c>
      <c r="V109" s="334">
        <f t="shared" ref="V109:V125" si="41">(K7*(5/12))+(K51*(7/12))+(I29*(4/12))+(I73*(8/12))</f>
        <v>74.666666666666657</v>
      </c>
      <c r="W109" s="666">
        <f t="shared" si="32"/>
        <v>9737.6409510925641</v>
      </c>
      <c r="X109" s="36"/>
      <c r="Y109" s="94">
        <f t="shared" ref="Y109:Y125" si="42">P7+P51</f>
        <v>450000</v>
      </c>
      <c r="Z109" s="666">
        <f t="shared" ref="Z109:Z125" si="43">M29+M73</f>
        <v>296666.66666666663</v>
      </c>
      <c r="AA109" s="666">
        <f t="shared" ref="AA109:AA125" si="44">Y109+Z109</f>
        <v>746666.66666666663</v>
      </c>
      <c r="AB109" s="679">
        <f>VLOOKUP(A109,'2017-18 Funding Detail'!$A$4:$AK$23,32,FALSE)</f>
        <v>1229897.9438585793</v>
      </c>
      <c r="AC109" s="666">
        <f t="shared" ref="AC109:AC125" si="45">AB109-AA109</f>
        <v>483231.27719191264</v>
      </c>
      <c r="AD109" s="666">
        <f t="shared" ref="AD109:AD125" si="46">Q7</f>
        <v>121347.13991984416</v>
      </c>
      <c r="AE109" s="666">
        <f t="shared" ref="AE109:AE125" si="47">Q51</f>
        <v>169885.99588778184</v>
      </c>
      <c r="AF109" s="666">
        <f t="shared" ref="AF109:AF125" si="48">AD109+AE109</f>
        <v>291233.13580762601</v>
      </c>
      <c r="AG109" s="666">
        <f t="shared" si="33"/>
        <v>62561.192136452984</v>
      </c>
      <c r="AH109" s="666">
        <f t="shared" si="34"/>
        <v>129436.94924783375</v>
      </c>
      <c r="AI109" s="666">
        <f t="shared" ref="AI109:AI125" si="49">AG109+AH109</f>
        <v>191998.14138428675</v>
      </c>
      <c r="AJ109" s="666">
        <f t="shared" ref="AJ109:AJ125" si="50">AF109+AI109</f>
        <v>483231.27719191276</v>
      </c>
      <c r="AK109" s="134"/>
      <c r="AL109" s="726">
        <f t="shared" ref="AL109:AL125" si="51">AA109+AF109+AI109</f>
        <v>1229897.9438585795</v>
      </c>
      <c r="AM109" s="125" t="s">
        <v>402</v>
      </c>
      <c r="AN109" s="627" t="s">
        <v>402</v>
      </c>
      <c r="AO109" s="125"/>
      <c r="AP109" s="125"/>
    </row>
    <row r="110" spans="1:42" ht="13" x14ac:dyDescent="0.3">
      <c r="A110" s="185">
        <v>9257025</v>
      </c>
      <c r="B110" s="38" t="s">
        <v>69</v>
      </c>
      <c r="C110" s="667">
        <v>4</v>
      </c>
      <c r="D110" s="666">
        <f t="shared" si="20"/>
        <v>0</v>
      </c>
      <c r="E110" s="666">
        <f t="shared" si="21"/>
        <v>0</v>
      </c>
      <c r="F110" s="156">
        <f>SUM(D110:E110)</f>
        <v>0</v>
      </c>
      <c r="G110" s="666">
        <f t="shared" si="22"/>
        <v>195618.96882617046</v>
      </c>
      <c r="H110" s="666">
        <f t="shared" si="23"/>
        <v>262688.32956657175</v>
      </c>
      <c r="I110" s="156">
        <f t="shared" si="30"/>
        <v>458307.29839274217</v>
      </c>
      <c r="J110" s="666">
        <f t="shared" si="24"/>
        <v>41519.128077391273</v>
      </c>
      <c r="K110" s="666">
        <f t="shared" si="25"/>
        <v>102200.93065204007</v>
      </c>
      <c r="L110" s="156">
        <f t="shared" si="36"/>
        <v>143720.05872943136</v>
      </c>
      <c r="M110" s="156">
        <f t="shared" si="37"/>
        <v>602027.35712217353</v>
      </c>
      <c r="N110" s="666">
        <f t="shared" si="26"/>
        <v>11165.808272492439</v>
      </c>
      <c r="O110" s="666">
        <f t="shared" si="27"/>
        <v>14994.085394489844</v>
      </c>
      <c r="P110" s="156">
        <f t="shared" si="38"/>
        <v>26159.893666982283</v>
      </c>
      <c r="Q110" s="666">
        <f t="shared" si="28"/>
        <v>2369.8858374269662</v>
      </c>
      <c r="R110" s="666">
        <f t="shared" si="29"/>
        <v>5833.5651382817632</v>
      </c>
      <c r="S110" s="156">
        <f t="shared" si="39"/>
        <v>8203.4509757087289</v>
      </c>
      <c r="T110" s="156">
        <f t="shared" si="40"/>
        <v>34363.344642691009</v>
      </c>
      <c r="U110" s="156">
        <f t="shared" si="31"/>
        <v>636390.70176486461</v>
      </c>
      <c r="V110" s="334">
        <f t="shared" si="41"/>
        <v>62.833333333333336</v>
      </c>
      <c r="W110" s="666">
        <f t="shared" si="32"/>
        <v>10128.233980342673</v>
      </c>
      <c r="X110" s="36"/>
      <c r="Y110" s="94">
        <f t="shared" si="42"/>
        <v>478333.33333333337</v>
      </c>
      <c r="Z110" s="666">
        <f t="shared" si="43"/>
        <v>150000</v>
      </c>
      <c r="AA110" s="666">
        <f t="shared" si="44"/>
        <v>628333.33333333337</v>
      </c>
      <c r="AB110" s="679">
        <f>VLOOKUP(A110,'2017-18 Funding Detail'!$A$4:$AK$23,32,FALSE)</f>
        <v>1140521.4712961763</v>
      </c>
      <c r="AC110" s="666">
        <f t="shared" si="45"/>
        <v>512188.13796284294</v>
      </c>
      <c r="AD110" s="666">
        <f t="shared" si="46"/>
        <v>166427.18010728981</v>
      </c>
      <c r="AE110" s="666">
        <f t="shared" si="47"/>
        <v>223487.92757264632</v>
      </c>
      <c r="AF110" s="666">
        <f t="shared" si="48"/>
        <v>389915.1076799361</v>
      </c>
      <c r="AG110" s="666">
        <f t="shared" si="33"/>
        <v>35323.31985950641</v>
      </c>
      <c r="AH110" s="666">
        <f t="shared" si="34"/>
        <v>86949.710423400393</v>
      </c>
      <c r="AI110" s="666">
        <f t="shared" si="49"/>
        <v>122273.03028290681</v>
      </c>
      <c r="AJ110" s="666">
        <f t="shared" si="50"/>
        <v>512188.13796284294</v>
      </c>
      <c r="AK110" s="134"/>
      <c r="AL110" s="726">
        <f t="shared" si="51"/>
        <v>1140521.4712961763</v>
      </c>
      <c r="AM110" s="125" t="s">
        <v>402</v>
      </c>
      <c r="AN110" s="627" t="s">
        <v>402</v>
      </c>
      <c r="AO110" s="125"/>
      <c r="AP110" s="125"/>
    </row>
    <row r="111" spans="1:42" ht="13" x14ac:dyDescent="0.3">
      <c r="A111" s="185">
        <v>9257011</v>
      </c>
      <c r="B111" s="38" t="s">
        <v>70</v>
      </c>
      <c r="C111" s="335">
        <v>4</v>
      </c>
      <c r="D111" s="666">
        <f t="shared" si="20"/>
        <v>0</v>
      </c>
      <c r="E111" s="666">
        <f t="shared" si="21"/>
        <v>0</v>
      </c>
      <c r="F111" s="156">
        <f t="shared" si="35"/>
        <v>0</v>
      </c>
      <c r="G111" s="666">
        <f t="shared" si="22"/>
        <v>193067.83313279488</v>
      </c>
      <c r="H111" s="666">
        <f t="shared" si="23"/>
        <v>235789.22599622188</v>
      </c>
      <c r="I111" s="156">
        <f t="shared" si="30"/>
        <v>428857.05912901676</v>
      </c>
      <c r="J111" s="666">
        <f t="shared" si="24"/>
        <v>9858.7829684831449</v>
      </c>
      <c r="K111" s="666">
        <f t="shared" si="25"/>
        <v>92015.307705842686</v>
      </c>
      <c r="L111" s="156">
        <f t="shared" si="36"/>
        <v>101874.09067432582</v>
      </c>
      <c r="M111" s="156">
        <f t="shared" si="37"/>
        <v>530731.14980334253</v>
      </c>
      <c r="N111" s="666">
        <f t="shared" si="26"/>
        <v>8027.1366253329461</v>
      </c>
      <c r="O111" s="666">
        <f t="shared" si="27"/>
        <v>9803.3540913640682</v>
      </c>
      <c r="P111" s="156">
        <f t="shared" si="38"/>
        <v>17830.490716697015</v>
      </c>
      <c r="Q111" s="666">
        <f t="shared" si="28"/>
        <v>409.8963383148739</v>
      </c>
      <c r="R111" s="666">
        <f t="shared" si="29"/>
        <v>3825.6991576054897</v>
      </c>
      <c r="S111" s="156">
        <f t="shared" si="39"/>
        <v>4235.5954959203636</v>
      </c>
      <c r="T111" s="156">
        <f t="shared" si="40"/>
        <v>22066.086212617378</v>
      </c>
      <c r="U111" s="156">
        <f t="shared" si="31"/>
        <v>552797.23601595999</v>
      </c>
      <c r="V111" s="334">
        <f t="shared" si="41"/>
        <v>53.833333333333329</v>
      </c>
      <c r="W111" s="666">
        <f t="shared" si="32"/>
        <v>10268.67930679802</v>
      </c>
      <c r="X111" s="36"/>
      <c r="Y111" s="94">
        <f t="shared" si="42"/>
        <v>435000</v>
      </c>
      <c r="Z111" s="666">
        <f t="shared" si="43"/>
        <v>103333.33333333333</v>
      </c>
      <c r="AA111" s="666">
        <f t="shared" si="44"/>
        <v>538333.33333333337</v>
      </c>
      <c r="AB111" s="679">
        <f>VLOOKUP(A111,'2017-18 Funding Detail'!$A$4:$AK$23,32,FALSE)</f>
        <v>1054660.1255724442</v>
      </c>
      <c r="AC111" s="666">
        <f t="shared" si="45"/>
        <v>516326.7922391108</v>
      </c>
      <c r="AD111" s="666">
        <f t="shared" si="46"/>
        <v>187827.85785788091</v>
      </c>
      <c r="AE111" s="666">
        <f t="shared" si="47"/>
        <v>229389.7668306886</v>
      </c>
      <c r="AF111" s="666">
        <f t="shared" si="48"/>
        <v>417217.62468856951</v>
      </c>
      <c r="AG111" s="666">
        <f t="shared" si="33"/>
        <v>9591.209762955621</v>
      </c>
      <c r="AH111" s="666">
        <f t="shared" si="34"/>
        <v>89517.957787585794</v>
      </c>
      <c r="AI111" s="666">
        <f t="shared" si="49"/>
        <v>99109.167550541417</v>
      </c>
      <c r="AJ111" s="666">
        <f t="shared" si="50"/>
        <v>516326.79223911092</v>
      </c>
      <c r="AK111" s="134"/>
      <c r="AL111" s="726">
        <f t="shared" si="51"/>
        <v>1054660.1255724444</v>
      </c>
      <c r="AM111" s="125" t="s">
        <v>402</v>
      </c>
      <c r="AN111" s="627" t="s">
        <v>402</v>
      </c>
      <c r="AO111" s="125"/>
      <c r="AP111" s="125"/>
    </row>
    <row r="112" spans="1:42" ht="13" x14ac:dyDescent="0.3">
      <c r="A112" s="185">
        <v>9257024</v>
      </c>
      <c r="B112" s="38" t="s">
        <v>71</v>
      </c>
      <c r="C112" s="335">
        <v>3</v>
      </c>
      <c r="D112" s="666">
        <f t="shared" si="20"/>
        <v>0</v>
      </c>
      <c r="E112" s="666">
        <f t="shared" si="21"/>
        <v>0</v>
      </c>
      <c r="F112" s="156">
        <f t="shared" si="35"/>
        <v>0</v>
      </c>
      <c r="G112" s="666">
        <f t="shared" si="22"/>
        <v>171482.24983746134</v>
      </c>
      <c r="H112" s="666">
        <f t="shared" si="23"/>
        <v>309430.19304004131</v>
      </c>
      <c r="I112" s="156">
        <f t="shared" si="30"/>
        <v>480912.44287750265</v>
      </c>
      <c r="J112" s="666">
        <f t="shared" si="24"/>
        <v>39631.453295768835</v>
      </c>
      <c r="K112" s="666">
        <f t="shared" si="25"/>
        <v>67068.613269762631</v>
      </c>
      <c r="L112" s="156">
        <f t="shared" si="36"/>
        <v>106700.06656553147</v>
      </c>
      <c r="M112" s="156">
        <f t="shared" si="37"/>
        <v>587612.50944303407</v>
      </c>
      <c r="N112" s="666">
        <f t="shared" si="26"/>
        <v>2694.9353411935704</v>
      </c>
      <c r="O112" s="666">
        <f t="shared" si="27"/>
        <v>4862.8611045537318</v>
      </c>
      <c r="P112" s="156">
        <f t="shared" si="38"/>
        <v>7557.7964457473026</v>
      </c>
      <c r="Q112" s="666">
        <f t="shared" si="28"/>
        <v>622.82950107584725</v>
      </c>
      <c r="R112" s="666">
        <f t="shared" si="29"/>
        <v>1054.0191556668185</v>
      </c>
      <c r="S112" s="156">
        <f t="shared" si="39"/>
        <v>1676.8486567426658</v>
      </c>
      <c r="T112" s="156">
        <f t="shared" si="40"/>
        <v>9234.6451024899688</v>
      </c>
      <c r="U112" s="156">
        <f t="shared" si="31"/>
        <v>596847.15454552404</v>
      </c>
      <c r="V112" s="334">
        <f t="shared" si="41"/>
        <v>64.25</v>
      </c>
      <c r="W112" s="666">
        <f t="shared" si="32"/>
        <v>9289.4498761949271</v>
      </c>
      <c r="X112" s="36"/>
      <c r="Y112" s="94">
        <f t="shared" si="42"/>
        <v>525833.33333333337</v>
      </c>
      <c r="Z112" s="666">
        <f t="shared" si="43"/>
        <v>116666.66666666666</v>
      </c>
      <c r="AA112" s="666">
        <f t="shared" si="44"/>
        <v>642500</v>
      </c>
      <c r="AB112" s="679">
        <f>VLOOKUP(A112,'2017-18 Funding Detail'!$A$4:$AK$23,32,FALSE)</f>
        <v>999825.25229854521</v>
      </c>
      <c r="AC112" s="666">
        <f t="shared" si="45"/>
        <v>357325.25229854521</v>
      </c>
      <c r="AD112" s="666">
        <f t="shared" si="46"/>
        <v>104277.79736338869</v>
      </c>
      <c r="AE112" s="666">
        <f t="shared" si="47"/>
        <v>188163.49213127024</v>
      </c>
      <c r="AF112" s="666">
        <f t="shared" si="48"/>
        <v>292441.28949465894</v>
      </c>
      <c r="AG112" s="666">
        <f t="shared" si="33"/>
        <v>24099.75761287205</v>
      </c>
      <c r="AH112" s="666">
        <f t="shared" si="34"/>
        <v>40784.20519101424</v>
      </c>
      <c r="AI112" s="666">
        <f t="shared" si="49"/>
        <v>64883.962803886287</v>
      </c>
      <c r="AJ112" s="666">
        <f t="shared" si="50"/>
        <v>357325.25229854521</v>
      </c>
      <c r="AK112" s="134"/>
      <c r="AL112" s="726">
        <f t="shared" si="51"/>
        <v>999825.25229854521</v>
      </c>
      <c r="AM112" s="125" t="s">
        <v>402</v>
      </c>
      <c r="AN112" s="627" t="s">
        <v>402</v>
      </c>
      <c r="AO112" s="125"/>
      <c r="AP112" s="125"/>
    </row>
    <row r="113" spans="1:42" ht="13" x14ac:dyDescent="0.3">
      <c r="A113" s="185">
        <v>9257031</v>
      </c>
      <c r="B113" s="38" t="s">
        <v>98</v>
      </c>
      <c r="C113" s="335">
        <v>4</v>
      </c>
      <c r="D113" s="666">
        <f t="shared" si="20"/>
        <v>0</v>
      </c>
      <c r="E113" s="666">
        <f t="shared" si="21"/>
        <v>0</v>
      </c>
      <c r="F113" s="156">
        <f t="shared" si="35"/>
        <v>0</v>
      </c>
      <c r="G113" s="666">
        <f t="shared" si="22"/>
        <v>331273.91807940899</v>
      </c>
      <c r="H113" s="666">
        <f t="shared" si="23"/>
        <v>477424.17605561879</v>
      </c>
      <c r="I113" s="156">
        <f t="shared" si="30"/>
        <v>808698.09413502784</v>
      </c>
      <c r="J113" s="666">
        <f t="shared" si="24"/>
        <v>0</v>
      </c>
      <c r="K113" s="666">
        <f t="shared" si="25"/>
        <v>0</v>
      </c>
      <c r="L113" s="156">
        <f t="shared" si="36"/>
        <v>0</v>
      </c>
      <c r="M113" s="156">
        <f t="shared" si="37"/>
        <v>808698.09413502784</v>
      </c>
      <c r="N113" s="666">
        <f t="shared" si="26"/>
        <v>74659.69019306633</v>
      </c>
      <c r="O113" s="666">
        <f t="shared" si="27"/>
        <v>107597.78880765439</v>
      </c>
      <c r="P113" s="156">
        <f t="shared" si="38"/>
        <v>182257.47900072072</v>
      </c>
      <c r="Q113" s="666">
        <f t="shared" si="28"/>
        <v>0</v>
      </c>
      <c r="R113" s="666">
        <f t="shared" si="29"/>
        <v>0</v>
      </c>
      <c r="S113" s="156">
        <f t="shared" si="39"/>
        <v>0</v>
      </c>
      <c r="T113" s="156">
        <f t="shared" si="40"/>
        <v>182257.47900072072</v>
      </c>
      <c r="U113" s="156">
        <f t="shared" si="31"/>
        <v>990955.57313574851</v>
      </c>
      <c r="V113" s="334">
        <f t="shared" si="41"/>
        <v>69.166666666666671</v>
      </c>
      <c r="W113" s="666">
        <f t="shared" si="32"/>
        <v>14327.068527263833</v>
      </c>
      <c r="X113" s="36"/>
      <c r="Y113" s="94">
        <f t="shared" si="42"/>
        <v>691666.66666666674</v>
      </c>
      <c r="Z113" s="666">
        <f t="shared" si="43"/>
        <v>0</v>
      </c>
      <c r="AA113" s="666">
        <f t="shared" si="44"/>
        <v>691666.66666666674</v>
      </c>
      <c r="AB113" s="679">
        <f>VLOOKUP(A113,'2017-18 Funding Detail'!$A$4:$AK$23,32,FALSE)</f>
        <v>1417327.3026095496</v>
      </c>
      <c r="AC113" s="666">
        <f t="shared" si="45"/>
        <v>725660.63594288286</v>
      </c>
      <c r="AD113" s="666">
        <f t="shared" si="46"/>
        <v>297258.57375973515</v>
      </c>
      <c r="AE113" s="666">
        <f t="shared" si="47"/>
        <v>428402.06218314765</v>
      </c>
      <c r="AF113" s="666">
        <f t="shared" si="48"/>
        <v>725660.63594288286</v>
      </c>
      <c r="AG113" s="666">
        <f t="shared" si="33"/>
        <v>0</v>
      </c>
      <c r="AH113" s="666">
        <f t="shared" si="34"/>
        <v>0</v>
      </c>
      <c r="AI113" s="666">
        <f t="shared" si="49"/>
        <v>0</v>
      </c>
      <c r="AJ113" s="666">
        <f t="shared" si="50"/>
        <v>725660.63594288286</v>
      </c>
      <c r="AK113" s="134"/>
      <c r="AL113" s="726">
        <f t="shared" si="51"/>
        <v>1417327.3026095496</v>
      </c>
      <c r="AM113" s="125" t="s">
        <v>402</v>
      </c>
      <c r="AN113" s="627" t="s">
        <v>402</v>
      </c>
      <c r="AO113" s="125"/>
      <c r="AP113" s="125"/>
    </row>
    <row r="114" spans="1:42" ht="13" x14ac:dyDescent="0.3">
      <c r="A114" s="185">
        <v>9257033</v>
      </c>
      <c r="B114" s="38" t="s">
        <v>72</v>
      </c>
      <c r="C114" s="335">
        <v>3</v>
      </c>
      <c r="D114" s="666">
        <f t="shared" si="20"/>
        <v>0</v>
      </c>
      <c r="E114" s="666">
        <f t="shared" si="21"/>
        <v>0</v>
      </c>
      <c r="F114" s="156">
        <f t="shared" si="35"/>
        <v>0</v>
      </c>
      <c r="G114" s="666">
        <f t="shared" si="22"/>
        <v>212396.95552966642</v>
      </c>
      <c r="H114" s="666">
        <f t="shared" si="23"/>
        <v>443425.22294790001</v>
      </c>
      <c r="I114" s="156">
        <f t="shared" si="30"/>
        <v>655822.17847756646</v>
      </c>
      <c r="J114" s="666">
        <f t="shared" si="24"/>
        <v>0</v>
      </c>
      <c r="K114" s="666">
        <f t="shared" si="25"/>
        <v>0</v>
      </c>
      <c r="L114" s="156">
        <f t="shared" si="36"/>
        <v>0</v>
      </c>
      <c r="M114" s="156">
        <f t="shared" si="37"/>
        <v>655822.17847756646</v>
      </c>
      <c r="N114" s="666">
        <f t="shared" si="26"/>
        <v>21619.370181575086</v>
      </c>
      <c r="O114" s="666">
        <f t="shared" si="27"/>
        <v>45135.17634399009</v>
      </c>
      <c r="P114" s="156">
        <f t="shared" si="38"/>
        <v>66754.54652556518</v>
      </c>
      <c r="Q114" s="666">
        <f t="shared" si="28"/>
        <v>0</v>
      </c>
      <c r="R114" s="666">
        <f t="shared" si="29"/>
        <v>0</v>
      </c>
      <c r="S114" s="156">
        <f t="shared" si="39"/>
        <v>0</v>
      </c>
      <c r="T114" s="156">
        <f t="shared" si="40"/>
        <v>66754.54652556518</v>
      </c>
      <c r="U114" s="156">
        <f t="shared" si="31"/>
        <v>722576.72500313167</v>
      </c>
      <c r="V114" s="334">
        <f t="shared" si="41"/>
        <v>73.333333333333343</v>
      </c>
      <c r="W114" s="666">
        <f t="shared" si="32"/>
        <v>9853.3189773154299</v>
      </c>
      <c r="X114" s="36"/>
      <c r="Y114" s="94">
        <f t="shared" si="42"/>
        <v>733333.33333333337</v>
      </c>
      <c r="Z114" s="666">
        <f t="shared" si="43"/>
        <v>0</v>
      </c>
      <c r="AA114" s="666">
        <f t="shared" si="44"/>
        <v>733333.33333333337</v>
      </c>
      <c r="AB114" s="679">
        <f>VLOOKUP(A114,'2017-18 Funding Detail'!$A$4:$AK$23,32,FALSE)</f>
        <v>1121419.8232914417</v>
      </c>
      <c r="AC114" s="666">
        <f t="shared" si="45"/>
        <v>388086.48995810829</v>
      </c>
      <c r="AD114" s="666">
        <f t="shared" si="46"/>
        <v>125687.10186143278</v>
      </c>
      <c r="AE114" s="666">
        <f t="shared" si="47"/>
        <v>262399.38809667545</v>
      </c>
      <c r="AF114" s="666">
        <f t="shared" si="48"/>
        <v>388086.48995810823</v>
      </c>
      <c r="AG114" s="666">
        <f t="shared" si="33"/>
        <v>0</v>
      </c>
      <c r="AH114" s="666">
        <f t="shared" si="34"/>
        <v>0</v>
      </c>
      <c r="AI114" s="666">
        <f t="shared" si="49"/>
        <v>0</v>
      </c>
      <c r="AJ114" s="666">
        <f t="shared" si="50"/>
        <v>388086.48995810823</v>
      </c>
      <c r="AK114" s="134"/>
      <c r="AL114" s="726">
        <f t="shared" si="51"/>
        <v>1121419.8232914417</v>
      </c>
      <c r="AM114" s="125" t="s">
        <v>402</v>
      </c>
      <c r="AN114" s="627" t="s">
        <v>402</v>
      </c>
      <c r="AO114" s="125"/>
      <c r="AP114" s="125"/>
    </row>
    <row r="115" spans="1:42" ht="13" x14ac:dyDescent="0.3">
      <c r="A115" s="185">
        <v>9257008</v>
      </c>
      <c r="B115" s="38" t="s">
        <v>73</v>
      </c>
      <c r="C115" s="667">
        <v>4</v>
      </c>
      <c r="D115" s="666">
        <f t="shared" si="20"/>
        <v>0</v>
      </c>
      <c r="E115" s="666">
        <f t="shared" si="21"/>
        <v>0</v>
      </c>
      <c r="F115" s="156">
        <f t="shared" si="35"/>
        <v>0</v>
      </c>
      <c r="G115" s="666">
        <f t="shared" si="22"/>
        <v>300051.70758049889</v>
      </c>
      <c r="H115" s="666">
        <f t="shared" si="23"/>
        <v>420072.39061269845</v>
      </c>
      <c r="I115" s="156">
        <f t="shared" si="30"/>
        <v>720124.09819319728</v>
      </c>
      <c r="J115" s="666">
        <f t="shared" si="24"/>
        <v>0</v>
      </c>
      <c r="K115" s="666">
        <f t="shared" si="25"/>
        <v>0</v>
      </c>
      <c r="L115" s="156">
        <f t="shared" si="36"/>
        <v>0</v>
      </c>
      <c r="M115" s="156">
        <f t="shared" si="37"/>
        <v>720124.09819319728</v>
      </c>
      <c r="N115" s="666">
        <f t="shared" si="26"/>
        <v>27900.507061768727</v>
      </c>
      <c r="O115" s="666">
        <f t="shared" si="27"/>
        <v>39060.709886476216</v>
      </c>
      <c r="P115" s="156">
        <f t="shared" si="38"/>
        <v>66961.216948244939</v>
      </c>
      <c r="Q115" s="666">
        <f t="shared" si="28"/>
        <v>0</v>
      </c>
      <c r="R115" s="666">
        <f t="shared" si="29"/>
        <v>0</v>
      </c>
      <c r="S115" s="156">
        <f t="shared" si="39"/>
        <v>0</v>
      </c>
      <c r="T115" s="156">
        <f t="shared" si="40"/>
        <v>66961.216948244939</v>
      </c>
      <c r="U115" s="156">
        <f t="shared" si="31"/>
        <v>787085.31514144223</v>
      </c>
      <c r="V115" s="334">
        <f t="shared" si="41"/>
        <v>90</v>
      </c>
      <c r="W115" s="666">
        <f t="shared" si="32"/>
        <v>8745.392390460469</v>
      </c>
      <c r="X115" s="36"/>
      <c r="Y115" s="94">
        <f>P13+P57</f>
        <v>900000</v>
      </c>
      <c r="Z115" s="666">
        <f t="shared" si="43"/>
        <v>0</v>
      </c>
      <c r="AA115" s="666">
        <f t="shared" si="44"/>
        <v>900000</v>
      </c>
      <c r="AB115" s="679">
        <f>VLOOKUP(A115,'2017-18 Funding Detail'!$A$4:$AK$23,32,FALSE)</f>
        <v>1293986.4829410582</v>
      </c>
      <c r="AC115" s="666">
        <f t="shared" si="45"/>
        <v>393986.48294105823</v>
      </c>
      <c r="AD115" s="666">
        <f t="shared" si="46"/>
        <v>164161.03455877426</v>
      </c>
      <c r="AE115" s="666">
        <f t="shared" si="47"/>
        <v>229825.448382284</v>
      </c>
      <c r="AF115" s="666">
        <f t="shared" si="48"/>
        <v>393986.48294105823</v>
      </c>
      <c r="AG115" s="666">
        <f t="shared" si="33"/>
        <v>0</v>
      </c>
      <c r="AH115" s="666">
        <f t="shared" si="34"/>
        <v>0</v>
      </c>
      <c r="AI115" s="666">
        <f t="shared" si="49"/>
        <v>0</v>
      </c>
      <c r="AJ115" s="666">
        <f t="shared" si="50"/>
        <v>393986.48294105823</v>
      </c>
      <c r="AK115" s="134"/>
      <c r="AL115" s="726">
        <f t="shared" si="51"/>
        <v>1293986.4829410582</v>
      </c>
      <c r="AM115" s="125" t="s">
        <v>402</v>
      </c>
      <c r="AN115" s="627" t="s">
        <v>402</v>
      </c>
      <c r="AO115" s="125"/>
      <c r="AP115" s="125"/>
    </row>
    <row r="116" spans="1:42" ht="13" x14ac:dyDescent="0.3">
      <c r="A116" s="185">
        <v>9257034</v>
      </c>
      <c r="B116" s="38" t="s">
        <v>74</v>
      </c>
      <c r="C116" s="335">
        <v>5</v>
      </c>
      <c r="D116" s="666">
        <f t="shared" si="20"/>
        <v>0</v>
      </c>
      <c r="E116" s="666">
        <f t="shared" si="21"/>
        <v>0</v>
      </c>
      <c r="F116" s="156">
        <f t="shared" si="35"/>
        <v>0</v>
      </c>
      <c r="G116" s="666">
        <f t="shared" si="22"/>
        <v>301957.50144890911</v>
      </c>
      <c r="H116" s="666">
        <f t="shared" si="23"/>
        <v>389491.24905994121</v>
      </c>
      <c r="I116" s="156">
        <f t="shared" si="30"/>
        <v>691448.75050885032</v>
      </c>
      <c r="J116" s="666">
        <f t="shared" si="24"/>
        <v>86855.19142800082</v>
      </c>
      <c r="K116" s="666">
        <f t="shared" si="25"/>
        <v>189995.73124875181</v>
      </c>
      <c r="L116" s="156">
        <f t="shared" si="36"/>
        <v>276850.92267675261</v>
      </c>
      <c r="M116" s="156">
        <f t="shared" si="37"/>
        <v>968299.67318560299</v>
      </c>
      <c r="N116" s="666">
        <f t="shared" si="26"/>
        <v>20004.923935474231</v>
      </c>
      <c r="O116" s="666">
        <f t="shared" si="27"/>
        <v>25804.104132499346</v>
      </c>
      <c r="P116" s="156">
        <f t="shared" si="38"/>
        <v>45809.028067973573</v>
      </c>
      <c r="Q116" s="666">
        <f t="shared" si="28"/>
        <v>5754.2253117768569</v>
      </c>
      <c r="R116" s="666">
        <f t="shared" si="29"/>
        <v>12587.367869511874</v>
      </c>
      <c r="S116" s="156">
        <f t="shared" si="39"/>
        <v>18341.593181288732</v>
      </c>
      <c r="T116" s="156">
        <f t="shared" si="40"/>
        <v>64150.621249262302</v>
      </c>
      <c r="U116" s="156">
        <f t="shared" si="31"/>
        <v>1032450.2944348652</v>
      </c>
      <c r="V116" s="334">
        <f t="shared" si="41"/>
        <v>118.91666666666667</v>
      </c>
      <c r="W116" s="666">
        <f t="shared" si="32"/>
        <v>8682.1328193541576</v>
      </c>
      <c r="X116" s="36"/>
      <c r="Y116" s="94">
        <f t="shared" si="42"/>
        <v>849166.66666666674</v>
      </c>
      <c r="Z116" s="666">
        <f t="shared" si="43"/>
        <v>340000</v>
      </c>
      <c r="AA116" s="666">
        <f t="shared" si="44"/>
        <v>1189166.6666666667</v>
      </c>
      <c r="AB116" s="679">
        <f>VLOOKUP(A116,'2017-18 Funding Detail'!$A$4:$AK$23,32,FALSE)</f>
        <v>1586425.7409007384</v>
      </c>
      <c r="AC116" s="666">
        <f t="shared" si="45"/>
        <v>397259.07423407165</v>
      </c>
      <c r="AD116" s="666">
        <f t="shared" si="46"/>
        <v>123882.47234349116</v>
      </c>
      <c r="AE116" s="666">
        <f t="shared" si="47"/>
        <v>159794.4699441886</v>
      </c>
      <c r="AF116" s="666">
        <f t="shared" si="48"/>
        <v>283676.94228767976</v>
      </c>
      <c r="AG116" s="666">
        <f t="shared" si="33"/>
        <v>35633.610022397457</v>
      </c>
      <c r="AH116" s="666">
        <f t="shared" si="34"/>
        <v>77948.521923994442</v>
      </c>
      <c r="AI116" s="666">
        <f t="shared" si="49"/>
        <v>113582.13194639189</v>
      </c>
      <c r="AJ116" s="666">
        <f t="shared" si="50"/>
        <v>397259.07423407165</v>
      </c>
      <c r="AK116" s="134"/>
      <c r="AL116" s="726">
        <f t="shared" si="51"/>
        <v>1586425.7409007384</v>
      </c>
      <c r="AM116" s="125" t="s">
        <v>402</v>
      </c>
      <c r="AN116" s="627" t="s">
        <v>402</v>
      </c>
      <c r="AO116" s="125"/>
      <c r="AP116" s="125"/>
    </row>
    <row r="117" spans="1:42" ht="13" x14ac:dyDescent="0.3">
      <c r="A117" s="185">
        <v>9257002</v>
      </c>
      <c r="B117" s="38" t="s">
        <v>75</v>
      </c>
      <c r="C117" s="335">
        <v>5</v>
      </c>
      <c r="D117" s="666">
        <f t="shared" si="20"/>
        <v>0</v>
      </c>
      <c r="E117" s="666">
        <f t="shared" si="21"/>
        <v>0</v>
      </c>
      <c r="F117" s="156">
        <f t="shared" si="35"/>
        <v>0</v>
      </c>
      <c r="G117" s="666">
        <f t="shared" si="22"/>
        <v>376943.02906798979</v>
      </c>
      <c r="H117" s="666">
        <f t="shared" si="23"/>
        <v>599490.19342973107</v>
      </c>
      <c r="I117" s="156">
        <f t="shared" si="30"/>
        <v>976433.22249772085</v>
      </c>
      <c r="J117" s="666">
        <f t="shared" si="24"/>
        <v>0</v>
      </c>
      <c r="K117" s="666">
        <f t="shared" si="25"/>
        <v>0</v>
      </c>
      <c r="L117" s="156">
        <f t="shared" si="36"/>
        <v>0</v>
      </c>
      <c r="M117" s="156">
        <f t="shared" si="37"/>
        <v>976433.22249772085</v>
      </c>
      <c r="N117" s="666">
        <f t="shared" si="26"/>
        <v>12686.242463601851</v>
      </c>
      <c r="O117" s="666">
        <f t="shared" si="27"/>
        <v>20176.20001411239</v>
      </c>
      <c r="P117" s="156">
        <f t="shared" si="38"/>
        <v>32862.442477714241</v>
      </c>
      <c r="Q117" s="666">
        <f t="shared" si="28"/>
        <v>0</v>
      </c>
      <c r="R117" s="666">
        <f t="shared" si="29"/>
        <v>0</v>
      </c>
      <c r="S117" s="156">
        <f t="shared" si="39"/>
        <v>0</v>
      </c>
      <c r="T117" s="156">
        <f t="shared" si="40"/>
        <v>32862.442477714241</v>
      </c>
      <c r="U117" s="156">
        <f t="shared" si="31"/>
        <v>1009295.6649754351</v>
      </c>
      <c r="V117" s="334">
        <f t="shared" si="41"/>
        <v>134.91666666666669</v>
      </c>
      <c r="W117" s="666">
        <f t="shared" si="32"/>
        <v>7480.8820134065591</v>
      </c>
      <c r="X117" s="36"/>
      <c r="Y117" s="94">
        <f t="shared" si="42"/>
        <v>1349166.6666666667</v>
      </c>
      <c r="Z117" s="666">
        <f t="shared" si="43"/>
        <v>0</v>
      </c>
      <c r="AA117" s="666">
        <f t="shared" si="44"/>
        <v>1349166.6666666667</v>
      </c>
      <c r="AB117" s="679">
        <f>VLOOKUP(A117,'2017-18 Funding Detail'!$A$4:$AK$23,32,FALSE)</f>
        <v>1568691.0263972562</v>
      </c>
      <c r="AC117" s="666">
        <f t="shared" si="45"/>
        <v>219524.35973058944</v>
      </c>
      <c r="AD117" s="666">
        <f t="shared" si="46"/>
        <v>84745.351965175039</v>
      </c>
      <c r="AE117" s="666">
        <f t="shared" si="47"/>
        <v>134779.00776541437</v>
      </c>
      <c r="AF117" s="666">
        <f t="shared" si="48"/>
        <v>219524.35973058941</v>
      </c>
      <c r="AG117" s="666">
        <f t="shared" si="33"/>
        <v>0</v>
      </c>
      <c r="AH117" s="666">
        <f t="shared" si="34"/>
        <v>0</v>
      </c>
      <c r="AI117" s="666">
        <f t="shared" si="49"/>
        <v>0</v>
      </c>
      <c r="AJ117" s="666">
        <f t="shared" si="50"/>
        <v>219524.35973058941</v>
      </c>
      <c r="AK117" s="134"/>
      <c r="AL117" s="726">
        <f t="shared" si="51"/>
        <v>1568691.0263972562</v>
      </c>
      <c r="AM117" s="125" t="s">
        <v>402</v>
      </c>
      <c r="AN117" s="627" t="s">
        <v>402</v>
      </c>
      <c r="AO117" s="125"/>
      <c r="AP117" s="125"/>
    </row>
    <row r="118" spans="1:42" ht="13" x14ac:dyDescent="0.3">
      <c r="A118" s="185">
        <v>9257009</v>
      </c>
      <c r="B118" s="38" t="s">
        <v>76</v>
      </c>
      <c r="C118" s="335">
        <v>4</v>
      </c>
      <c r="D118" s="666">
        <f t="shared" si="20"/>
        <v>0</v>
      </c>
      <c r="E118" s="666">
        <f t="shared" si="21"/>
        <v>0</v>
      </c>
      <c r="F118" s="156">
        <f t="shared" si="35"/>
        <v>0</v>
      </c>
      <c r="G118" s="666">
        <f t="shared" si="22"/>
        <v>386326.99019738677</v>
      </c>
      <c r="H118" s="666">
        <f t="shared" si="23"/>
        <v>545083.23773162556</v>
      </c>
      <c r="I118" s="156">
        <f t="shared" si="30"/>
        <v>931410.22792901238</v>
      </c>
      <c r="J118" s="666">
        <f t="shared" si="24"/>
        <v>0</v>
      </c>
      <c r="K118" s="666">
        <f t="shared" si="25"/>
        <v>0</v>
      </c>
      <c r="L118" s="156">
        <f t="shared" si="36"/>
        <v>0</v>
      </c>
      <c r="M118" s="156">
        <f t="shared" si="37"/>
        <v>931410.22792901238</v>
      </c>
      <c r="N118" s="666">
        <f t="shared" si="26"/>
        <v>19458.815181541268</v>
      </c>
      <c r="O118" s="666">
        <f t="shared" si="27"/>
        <v>27455.17204520588</v>
      </c>
      <c r="P118" s="156">
        <f t="shared" si="38"/>
        <v>46913.987226747151</v>
      </c>
      <c r="Q118" s="666">
        <f t="shared" si="28"/>
        <v>0</v>
      </c>
      <c r="R118" s="666">
        <f t="shared" si="29"/>
        <v>0</v>
      </c>
      <c r="S118" s="156">
        <f t="shared" si="39"/>
        <v>0</v>
      </c>
      <c r="T118" s="156">
        <f t="shared" si="40"/>
        <v>46913.987226747151</v>
      </c>
      <c r="U118" s="156">
        <f t="shared" si="31"/>
        <v>978324.21515575959</v>
      </c>
      <c r="V118" s="334">
        <f t="shared" si="41"/>
        <v>128.58333333333334</v>
      </c>
      <c r="W118" s="666">
        <f t="shared" si="32"/>
        <v>7608.4838508549019</v>
      </c>
      <c r="X118" s="36"/>
      <c r="Y118" s="94">
        <f t="shared" si="42"/>
        <v>1285833.3333333335</v>
      </c>
      <c r="Z118" s="666">
        <f t="shared" si="43"/>
        <v>0</v>
      </c>
      <c r="AA118" s="666">
        <f t="shared" si="44"/>
        <v>1285833.3333333335</v>
      </c>
      <c r="AB118" s="679">
        <f>VLOOKUP(A118,'2017-18 Funding Detail'!$A$4:$AK$23,32,FALSE)</f>
        <v>1485363.95452345</v>
      </c>
      <c r="AC118" s="666">
        <f t="shared" si="45"/>
        <v>199530.62119011651</v>
      </c>
      <c r="AD118" s="666">
        <f t="shared" si="46"/>
        <v>82760.594660838993</v>
      </c>
      <c r="AE118" s="666">
        <f t="shared" si="47"/>
        <v>116770.02652927751</v>
      </c>
      <c r="AF118" s="666">
        <f t="shared" si="48"/>
        <v>199530.62119011651</v>
      </c>
      <c r="AG118" s="666">
        <f t="shared" si="33"/>
        <v>0</v>
      </c>
      <c r="AH118" s="666">
        <f t="shared" si="34"/>
        <v>0</v>
      </c>
      <c r="AI118" s="666">
        <f t="shared" si="49"/>
        <v>0</v>
      </c>
      <c r="AJ118" s="666">
        <f t="shared" si="50"/>
        <v>199530.62119011651</v>
      </c>
      <c r="AK118" s="134"/>
      <c r="AL118" s="726">
        <f t="shared" si="51"/>
        <v>1485363.95452345</v>
      </c>
      <c r="AM118" s="125" t="s">
        <v>402</v>
      </c>
      <c r="AN118" s="627" t="s">
        <v>402</v>
      </c>
      <c r="AO118" s="125"/>
      <c r="AP118" s="125"/>
    </row>
    <row r="119" spans="1:42" ht="13" x14ac:dyDescent="0.3">
      <c r="A119" s="185">
        <v>9257029</v>
      </c>
      <c r="B119" s="38" t="s">
        <v>99</v>
      </c>
      <c r="C119" s="667">
        <v>3</v>
      </c>
      <c r="D119" s="666">
        <f t="shared" si="20"/>
        <v>0</v>
      </c>
      <c r="E119" s="666">
        <f t="shared" si="21"/>
        <v>0</v>
      </c>
      <c r="F119" s="156">
        <f t="shared" si="35"/>
        <v>0</v>
      </c>
      <c r="G119" s="666">
        <f t="shared" si="22"/>
        <v>214353.7116984411</v>
      </c>
      <c r="H119" s="666">
        <f t="shared" si="23"/>
        <v>293274.85100559442</v>
      </c>
      <c r="I119" s="156">
        <f t="shared" si="30"/>
        <v>507628.56270403555</v>
      </c>
      <c r="J119" s="666">
        <f t="shared" si="24"/>
        <v>0</v>
      </c>
      <c r="K119" s="666">
        <f t="shared" si="25"/>
        <v>0</v>
      </c>
      <c r="L119" s="156">
        <f t="shared" si="36"/>
        <v>0</v>
      </c>
      <c r="M119" s="156">
        <f t="shared" si="37"/>
        <v>507628.56270403555</v>
      </c>
      <c r="N119" s="666">
        <f t="shared" si="26"/>
        <v>48309.211301395851</v>
      </c>
      <c r="O119" s="666">
        <f t="shared" si="27"/>
        <v>66095.784553273421</v>
      </c>
      <c r="P119" s="156">
        <f t="shared" si="38"/>
        <v>114404.99585466928</v>
      </c>
      <c r="Q119" s="666">
        <f t="shared" si="28"/>
        <v>0</v>
      </c>
      <c r="R119" s="666">
        <f t="shared" si="29"/>
        <v>0</v>
      </c>
      <c r="S119" s="156">
        <f t="shared" si="39"/>
        <v>0</v>
      </c>
      <c r="T119" s="156">
        <f t="shared" si="40"/>
        <v>114404.99585466928</v>
      </c>
      <c r="U119" s="156">
        <f t="shared" si="31"/>
        <v>622033.5585587048</v>
      </c>
      <c r="V119" s="334">
        <f t="shared" si="41"/>
        <v>43.416666666666671</v>
      </c>
      <c r="W119" s="666">
        <f t="shared" si="32"/>
        <v>14327.068527263833</v>
      </c>
      <c r="X119" s="36"/>
      <c r="Y119" s="94">
        <f t="shared" si="42"/>
        <v>434166.66666666669</v>
      </c>
      <c r="Z119" s="666">
        <f t="shared" si="43"/>
        <v>0</v>
      </c>
      <c r="AA119" s="666">
        <f t="shared" si="44"/>
        <v>434166.66666666669</v>
      </c>
      <c r="AB119" s="679">
        <f>VLOOKUP(A119,'2017-18 Funding Detail'!$A$4:$AK$23,32,FALSE)</f>
        <v>967550.07971252012</v>
      </c>
      <c r="AC119" s="666">
        <f t="shared" si="45"/>
        <v>533383.41304585338</v>
      </c>
      <c r="AD119" s="666">
        <f t="shared" si="46"/>
        <v>225229.08036485172</v>
      </c>
      <c r="AE119" s="666">
        <f t="shared" si="47"/>
        <v>308154.33268100163</v>
      </c>
      <c r="AF119" s="666">
        <f t="shared" si="48"/>
        <v>533383.41304585338</v>
      </c>
      <c r="AG119" s="666">
        <f t="shared" si="33"/>
        <v>0</v>
      </c>
      <c r="AH119" s="666">
        <f t="shared" si="34"/>
        <v>0</v>
      </c>
      <c r="AI119" s="666">
        <f t="shared" si="49"/>
        <v>0</v>
      </c>
      <c r="AJ119" s="666">
        <f t="shared" si="50"/>
        <v>533383.41304585338</v>
      </c>
      <c r="AK119" s="134"/>
      <c r="AL119" s="726">
        <f t="shared" si="51"/>
        <v>967550.07971252012</v>
      </c>
      <c r="AM119" s="125" t="s">
        <v>402</v>
      </c>
      <c r="AN119" s="627" t="s">
        <v>402</v>
      </c>
      <c r="AO119" s="125"/>
      <c r="AP119" s="125"/>
    </row>
    <row r="120" spans="1:42" ht="13" x14ac:dyDescent="0.3">
      <c r="A120" s="185">
        <v>9257032</v>
      </c>
      <c r="B120" s="38" t="s">
        <v>100</v>
      </c>
      <c r="C120" s="335">
        <v>4</v>
      </c>
      <c r="D120" s="666">
        <f t="shared" si="20"/>
        <v>0</v>
      </c>
      <c r="E120" s="666">
        <f t="shared" si="21"/>
        <v>0</v>
      </c>
      <c r="F120" s="156">
        <f t="shared" si="35"/>
        <v>0</v>
      </c>
      <c r="G120" s="666">
        <f t="shared" si="22"/>
        <v>292300.51595241966</v>
      </c>
      <c r="H120" s="666">
        <f t="shared" si="23"/>
        <v>409220.72233338753</v>
      </c>
      <c r="I120" s="156">
        <f t="shared" si="30"/>
        <v>701521.23828580719</v>
      </c>
      <c r="J120" s="666">
        <f t="shared" si="24"/>
        <v>0</v>
      </c>
      <c r="K120" s="666">
        <f t="shared" si="25"/>
        <v>0</v>
      </c>
      <c r="L120" s="156">
        <f t="shared" si="36"/>
        <v>0</v>
      </c>
      <c r="M120" s="156">
        <f t="shared" si="37"/>
        <v>701521.23828580719</v>
      </c>
      <c r="N120" s="666">
        <f t="shared" si="26"/>
        <v>65876.197229176163</v>
      </c>
      <c r="O120" s="666">
        <f t="shared" si="27"/>
        <v>92226.67612084662</v>
      </c>
      <c r="P120" s="156">
        <f t="shared" si="38"/>
        <v>158102.87335002277</v>
      </c>
      <c r="Q120" s="666">
        <f t="shared" si="28"/>
        <v>0</v>
      </c>
      <c r="R120" s="666">
        <f t="shared" si="29"/>
        <v>0</v>
      </c>
      <c r="S120" s="156">
        <f t="shared" si="39"/>
        <v>0</v>
      </c>
      <c r="T120" s="156">
        <f t="shared" si="40"/>
        <v>158102.87335002277</v>
      </c>
      <c r="U120" s="156">
        <f t="shared" si="31"/>
        <v>859624.11163583002</v>
      </c>
      <c r="V120" s="334">
        <f t="shared" si="41"/>
        <v>60</v>
      </c>
      <c r="W120" s="666">
        <f t="shared" si="32"/>
        <v>14327.068527263833</v>
      </c>
      <c r="X120" s="36"/>
      <c r="Y120" s="94">
        <f t="shared" si="42"/>
        <v>600000</v>
      </c>
      <c r="Z120" s="666">
        <f t="shared" si="43"/>
        <v>0</v>
      </c>
      <c r="AA120" s="666">
        <f t="shared" si="44"/>
        <v>600000</v>
      </c>
      <c r="AB120" s="679">
        <f>VLOOKUP(A120,'2017-18 Funding Detail'!$A$4:$AK$23,32,FALSE)</f>
        <v>1283310.94444716</v>
      </c>
      <c r="AC120" s="666">
        <f t="shared" si="45"/>
        <v>683310.94444716</v>
      </c>
      <c r="AD120" s="666">
        <f t="shared" si="46"/>
        <v>284712.89351965004</v>
      </c>
      <c r="AE120" s="666">
        <f t="shared" si="47"/>
        <v>398598.05092751002</v>
      </c>
      <c r="AF120" s="666">
        <f t="shared" si="48"/>
        <v>683310.94444716</v>
      </c>
      <c r="AG120" s="666">
        <f t="shared" si="33"/>
        <v>0</v>
      </c>
      <c r="AH120" s="666">
        <f t="shared" si="34"/>
        <v>0</v>
      </c>
      <c r="AI120" s="666">
        <f t="shared" si="49"/>
        <v>0</v>
      </c>
      <c r="AJ120" s="666">
        <f t="shared" si="50"/>
        <v>683310.94444716</v>
      </c>
      <c r="AK120" s="134"/>
      <c r="AL120" s="726">
        <f t="shared" si="51"/>
        <v>1283310.94444716</v>
      </c>
      <c r="AM120" s="125" t="s">
        <v>402</v>
      </c>
      <c r="AN120" s="627" t="s">
        <v>402</v>
      </c>
      <c r="AO120" s="125"/>
      <c r="AP120" s="125"/>
    </row>
    <row r="121" spans="1:42" ht="13" x14ac:dyDescent="0.3">
      <c r="A121" s="185">
        <v>9257030</v>
      </c>
      <c r="B121" s="38" t="s">
        <v>92</v>
      </c>
      <c r="C121" s="667">
        <v>4</v>
      </c>
      <c r="D121" s="666">
        <f t="shared" si="20"/>
        <v>0</v>
      </c>
      <c r="E121" s="666">
        <f t="shared" si="21"/>
        <v>0</v>
      </c>
      <c r="F121" s="156">
        <f t="shared" si="35"/>
        <v>0</v>
      </c>
      <c r="G121" s="666">
        <f t="shared" si="22"/>
        <v>316658.89228178799</v>
      </c>
      <c r="H121" s="666">
        <f t="shared" si="23"/>
        <v>477424.17605561879</v>
      </c>
      <c r="I121" s="156">
        <f t="shared" si="30"/>
        <v>794083.06833740673</v>
      </c>
      <c r="J121" s="666">
        <f t="shared" si="24"/>
        <v>0</v>
      </c>
      <c r="K121" s="666">
        <f t="shared" si="25"/>
        <v>0</v>
      </c>
      <c r="L121" s="156">
        <f t="shared" si="36"/>
        <v>0</v>
      </c>
      <c r="M121" s="156">
        <f t="shared" si="37"/>
        <v>794083.06833740673</v>
      </c>
      <c r="N121" s="666">
        <f t="shared" si="26"/>
        <v>71365.880331607506</v>
      </c>
      <c r="O121" s="666">
        <f t="shared" si="27"/>
        <v>107597.78880765439</v>
      </c>
      <c r="P121" s="156">
        <f t="shared" si="38"/>
        <v>178963.66913926188</v>
      </c>
      <c r="Q121" s="666">
        <f t="shared" si="28"/>
        <v>0</v>
      </c>
      <c r="R121" s="666">
        <f t="shared" si="29"/>
        <v>0</v>
      </c>
      <c r="S121" s="156">
        <f t="shared" si="39"/>
        <v>0</v>
      </c>
      <c r="T121" s="156">
        <f t="shared" si="40"/>
        <v>178963.66913926188</v>
      </c>
      <c r="U121" s="156">
        <f t="shared" si="31"/>
        <v>973046.73747666855</v>
      </c>
      <c r="V121" s="334">
        <f t="shared" si="41"/>
        <v>67.916666666666671</v>
      </c>
      <c r="W121" s="666">
        <f t="shared" si="32"/>
        <v>14327.068527263831</v>
      </c>
      <c r="X121" s="36"/>
      <c r="Y121" s="94">
        <f t="shared" si="42"/>
        <v>679166.66666666674</v>
      </c>
      <c r="Z121" s="666">
        <f t="shared" si="43"/>
        <v>0</v>
      </c>
      <c r="AA121" s="666">
        <f t="shared" si="44"/>
        <v>679166.66666666674</v>
      </c>
      <c r="AB121" s="679">
        <f>VLOOKUP(A121,'2017-18 Funding Detail'!$A$4:$AK$23,32,FALSE)</f>
        <v>1408754.2776712559</v>
      </c>
      <c r="AC121" s="666">
        <f t="shared" si="45"/>
        <v>729587.61100458913</v>
      </c>
      <c r="AD121" s="666">
        <f t="shared" si="46"/>
        <v>290939.8448791306</v>
      </c>
      <c r="AE121" s="666">
        <f t="shared" si="47"/>
        <v>438647.76612545847</v>
      </c>
      <c r="AF121" s="666">
        <f t="shared" si="48"/>
        <v>729587.61100458913</v>
      </c>
      <c r="AG121" s="666">
        <f t="shared" si="33"/>
        <v>0</v>
      </c>
      <c r="AH121" s="666">
        <f t="shared" si="34"/>
        <v>0</v>
      </c>
      <c r="AI121" s="666">
        <f t="shared" si="49"/>
        <v>0</v>
      </c>
      <c r="AJ121" s="666">
        <f t="shared" si="50"/>
        <v>729587.61100458913</v>
      </c>
      <c r="AK121" s="134"/>
      <c r="AL121" s="726">
        <f t="shared" si="51"/>
        <v>1408754.2776712559</v>
      </c>
      <c r="AM121" s="125" t="s">
        <v>402</v>
      </c>
      <c r="AN121" s="627" t="s">
        <v>402</v>
      </c>
      <c r="AO121" s="125"/>
      <c r="AP121" s="125"/>
    </row>
    <row r="122" spans="1:42" ht="13" x14ac:dyDescent="0.3">
      <c r="A122" s="185">
        <v>9257028</v>
      </c>
      <c r="B122" s="38" t="s">
        <v>77</v>
      </c>
      <c r="C122" s="335">
        <v>5</v>
      </c>
      <c r="D122" s="666">
        <f t="shared" si="20"/>
        <v>0</v>
      </c>
      <c r="E122" s="666">
        <f t="shared" si="21"/>
        <v>0</v>
      </c>
      <c r="F122" s="156">
        <f t="shared" si="35"/>
        <v>0</v>
      </c>
      <c r="G122" s="666">
        <f t="shared" si="22"/>
        <v>225787.58195988418</v>
      </c>
      <c r="H122" s="666">
        <f t="shared" si="23"/>
        <v>363816.21696932288</v>
      </c>
      <c r="I122" s="156">
        <f t="shared" si="30"/>
        <v>589603.79892920703</v>
      </c>
      <c r="J122" s="666">
        <f t="shared" si="24"/>
        <v>54529.831114839952</v>
      </c>
      <c r="K122" s="666">
        <f t="shared" si="25"/>
        <v>122692.12000838989</v>
      </c>
      <c r="L122" s="156">
        <f t="shared" si="36"/>
        <v>177221.95112322984</v>
      </c>
      <c r="M122" s="156">
        <f t="shared" si="37"/>
        <v>766825.75005243684</v>
      </c>
      <c r="N122" s="666">
        <f t="shared" si="26"/>
        <v>13932.970352931388</v>
      </c>
      <c r="O122" s="666">
        <f t="shared" si="27"/>
        <v>22450.48430453473</v>
      </c>
      <c r="P122" s="156">
        <f t="shared" si="38"/>
        <v>36383.454657466122</v>
      </c>
      <c r="Q122" s="666">
        <f t="shared" si="28"/>
        <v>3364.9437833494671</v>
      </c>
      <c r="R122" s="666">
        <f t="shared" si="29"/>
        <v>7571.1235125363019</v>
      </c>
      <c r="S122" s="156">
        <f t="shared" si="39"/>
        <v>10936.067295885769</v>
      </c>
      <c r="T122" s="156">
        <f t="shared" si="40"/>
        <v>47319.52195335189</v>
      </c>
      <c r="U122" s="156">
        <f t="shared" si="31"/>
        <v>814145.27200578875</v>
      </c>
      <c r="V122" s="334">
        <f t="shared" si="41"/>
        <v>75</v>
      </c>
      <c r="W122" s="666">
        <f t="shared" si="32"/>
        <v>10855.270293410516</v>
      </c>
      <c r="X122" s="36"/>
      <c r="Y122" s="94">
        <f t="shared" si="42"/>
        <v>576666.66666666674</v>
      </c>
      <c r="Z122" s="666">
        <f t="shared" si="43"/>
        <v>173333.33333333331</v>
      </c>
      <c r="AA122" s="666">
        <f t="shared" si="44"/>
        <v>750000</v>
      </c>
      <c r="AB122" s="679">
        <f>VLOOKUP(A122,'2017-18 Funding Detail'!$A$4:$AK$23,32,FALSE)</f>
        <v>1357298.5785471792</v>
      </c>
      <c r="AC122" s="666">
        <f t="shared" si="45"/>
        <v>607298.57854717923</v>
      </c>
      <c r="AD122" s="666">
        <f t="shared" si="46"/>
        <v>178815.692572225</v>
      </c>
      <c r="AE122" s="666">
        <f t="shared" si="47"/>
        <v>288129.43671071727</v>
      </c>
      <c r="AF122" s="666">
        <f t="shared" si="48"/>
        <v>466945.12928294227</v>
      </c>
      <c r="AG122" s="666">
        <f t="shared" si="33"/>
        <v>43185.676696688301</v>
      </c>
      <c r="AH122" s="666">
        <f t="shared" si="34"/>
        <v>97167.772567548673</v>
      </c>
      <c r="AI122" s="666">
        <f t="shared" si="49"/>
        <v>140353.44926423696</v>
      </c>
      <c r="AJ122" s="666">
        <f t="shared" si="50"/>
        <v>607298.57854717923</v>
      </c>
      <c r="AK122" s="134"/>
      <c r="AL122" s="726">
        <f t="shared" si="51"/>
        <v>1357298.5785471792</v>
      </c>
      <c r="AM122" s="125" t="s">
        <v>402</v>
      </c>
      <c r="AN122" s="627" t="s">
        <v>402</v>
      </c>
      <c r="AO122" s="125"/>
      <c r="AP122" s="125"/>
    </row>
    <row r="123" spans="1:42" ht="13" x14ac:dyDescent="0.3">
      <c r="A123" s="185">
        <v>9257021</v>
      </c>
      <c r="B123" s="38" t="s">
        <v>78</v>
      </c>
      <c r="C123" s="667">
        <v>5</v>
      </c>
      <c r="D123" s="666">
        <f t="shared" si="20"/>
        <v>0</v>
      </c>
      <c r="E123" s="666">
        <f t="shared" si="21"/>
        <v>0</v>
      </c>
      <c r="F123" s="156">
        <f t="shared" si="35"/>
        <v>0</v>
      </c>
      <c r="G123" s="666">
        <f t="shared" si="22"/>
        <v>471649.59215605265</v>
      </c>
      <c r="H123" s="666">
        <f t="shared" si="23"/>
        <v>664597.15258352866</v>
      </c>
      <c r="I123" s="156">
        <f t="shared" si="30"/>
        <v>1136246.7447395814</v>
      </c>
      <c r="J123" s="666">
        <f t="shared" si="24"/>
        <v>0</v>
      </c>
      <c r="K123" s="666">
        <f t="shared" si="25"/>
        <v>9800.5110058400533</v>
      </c>
      <c r="L123" s="156">
        <f t="shared" si="36"/>
        <v>9800.5110058400533</v>
      </c>
      <c r="M123" s="156">
        <f t="shared" si="37"/>
        <v>1146047.2557454214</v>
      </c>
      <c r="N123" s="666">
        <f t="shared" si="26"/>
        <v>23814.399937307815</v>
      </c>
      <c r="O123" s="666">
        <f t="shared" si="27"/>
        <v>33556.654457115561</v>
      </c>
      <c r="P123" s="156">
        <f t="shared" si="38"/>
        <v>57371.05439442338</v>
      </c>
      <c r="Q123" s="666">
        <f t="shared" si="28"/>
        <v>0</v>
      </c>
      <c r="R123" s="666">
        <f t="shared" si="29"/>
        <v>494.8446740219805</v>
      </c>
      <c r="S123" s="156">
        <f t="shared" si="39"/>
        <v>494.8446740219805</v>
      </c>
      <c r="T123" s="156">
        <f t="shared" si="40"/>
        <v>57865.89906844536</v>
      </c>
      <c r="U123" s="156">
        <f t="shared" si="31"/>
        <v>1203913.1548138666</v>
      </c>
      <c r="V123" s="334">
        <f t="shared" si="41"/>
        <v>155.91666666666669</v>
      </c>
      <c r="W123" s="666">
        <f t="shared" si="32"/>
        <v>7721.5167598965245</v>
      </c>
      <c r="X123" s="36"/>
      <c r="Y123" s="94">
        <f t="shared" si="42"/>
        <v>1545833.3333333335</v>
      </c>
      <c r="Z123" s="666">
        <f t="shared" si="43"/>
        <v>13333.333333333332</v>
      </c>
      <c r="AA123" s="666">
        <f t="shared" si="44"/>
        <v>1559166.6666666667</v>
      </c>
      <c r="AB123" s="679">
        <f>VLOOKUP(A123,'2017-18 Funding Detail'!$A$4:$AK$23,32,FALSE)</f>
        <v>1770487.8962105154</v>
      </c>
      <c r="AC123" s="666">
        <f t="shared" si="45"/>
        <v>211321.22954384866</v>
      </c>
      <c r="AD123" s="666">
        <f t="shared" si="46"/>
        <v>86968.116915426741</v>
      </c>
      <c r="AE123" s="666">
        <f t="shared" si="47"/>
        <v>122545.98292628313</v>
      </c>
      <c r="AF123" s="666">
        <f t="shared" si="48"/>
        <v>209514.09984170989</v>
      </c>
      <c r="AG123" s="666">
        <f t="shared" si="33"/>
        <v>0</v>
      </c>
      <c r="AH123" s="666">
        <f t="shared" si="34"/>
        <v>1807.1297021387375</v>
      </c>
      <c r="AI123" s="666">
        <f t="shared" si="49"/>
        <v>1807.1297021387375</v>
      </c>
      <c r="AJ123" s="666">
        <f t="shared" si="50"/>
        <v>211321.22954384863</v>
      </c>
      <c r="AK123" s="134"/>
      <c r="AL123" s="726">
        <f t="shared" si="51"/>
        <v>1770487.8962105154</v>
      </c>
      <c r="AM123" s="125" t="s">
        <v>402</v>
      </c>
      <c r="AN123" s="627" t="s">
        <v>402</v>
      </c>
      <c r="AO123" s="125"/>
      <c r="AP123" s="125"/>
    </row>
    <row r="124" spans="1:42" ht="13" x14ac:dyDescent="0.3">
      <c r="A124" s="131">
        <v>9257015</v>
      </c>
      <c r="B124" s="38" t="s">
        <v>55</v>
      </c>
      <c r="C124" s="335">
        <v>6</v>
      </c>
      <c r="D124" s="666">
        <f t="shared" si="20"/>
        <v>0</v>
      </c>
      <c r="E124" s="666">
        <f t="shared" si="21"/>
        <v>0</v>
      </c>
      <c r="F124" s="156">
        <f t="shared" si="35"/>
        <v>0</v>
      </c>
      <c r="G124" s="666">
        <f t="shared" si="22"/>
        <v>785727.4416472927</v>
      </c>
      <c r="H124" s="666">
        <f t="shared" si="23"/>
        <v>974541.03218763077</v>
      </c>
      <c r="I124" s="156">
        <f t="shared" si="30"/>
        <v>1760268.4738349235</v>
      </c>
      <c r="J124" s="666">
        <f t="shared" si="24"/>
        <v>45410.863547676221</v>
      </c>
      <c r="K124" s="666">
        <f t="shared" si="25"/>
        <v>133842.54519315099</v>
      </c>
      <c r="L124" s="156">
        <f t="shared" si="36"/>
        <v>179253.4087408272</v>
      </c>
      <c r="M124" s="156">
        <f t="shared" si="37"/>
        <v>1939521.8825757506</v>
      </c>
      <c r="N124" s="666">
        <f t="shared" si="26"/>
        <v>18629.505237928312</v>
      </c>
      <c r="O124" s="666">
        <f t="shared" si="27"/>
        <v>23106.253264685231</v>
      </c>
      <c r="P124" s="156">
        <f t="shared" si="38"/>
        <v>41735.758502613542</v>
      </c>
      <c r="Q124" s="666">
        <f t="shared" si="28"/>
        <v>1076.6862342833092</v>
      </c>
      <c r="R124" s="666">
        <f t="shared" si="29"/>
        <v>3173.391006308701</v>
      </c>
      <c r="S124" s="156">
        <f t="shared" si="39"/>
        <v>4250.0772405920106</v>
      </c>
      <c r="T124" s="156">
        <f t="shared" si="40"/>
        <v>45985.835743205549</v>
      </c>
      <c r="U124" s="156">
        <f t="shared" si="31"/>
        <v>1985507.7183189562</v>
      </c>
      <c r="V124" s="334">
        <f t="shared" si="41"/>
        <v>270.50000000000006</v>
      </c>
      <c r="W124" s="666">
        <f t="shared" si="32"/>
        <v>7340.1394392567681</v>
      </c>
      <c r="X124" s="36"/>
      <c r="Y124" s="94">
        <f t="shared" si="42"/>
        <v>2455000</v>
      </c>
      <c r="Z124" s="666">
        <f t="shared" si="43"/>
        <v>250000</v>
      </c>
      <c r="AA124" s="666">
        <f t="shared" si="44"/>
        <v>2705000</v>
      </c>
      <c r="AB124" s="679">
        <f>VLOOKUP(A124,'2017-18 Funding Detail'!$A$4:$AK$23,32,FALSE)</f>
        <v>2705000.0000000005</v>
      </c>
      <c r="AC124" s="666">
        <f t="shared" si="45"/>
        <v>0</v>
      </c>
      <c r="AD124" s="666">
        <f t="shared" si="46"/>
        <v>0</v>
      </c>
      <c r="AE124" s="666">
        <f t="shared" si="47"/>
        <v>0</v>
      </c>
      <c r="AF124" s="666">
        <f t="shared" si="48"/>
        <v>0</v>
      </c>
      <c r="AG124" s="666">
        <f t="shared" si="33"/>
        <v>0</v>
      </c>
      <c r="AH124" s="666">
        <f t="shared" si="34"/>
        <v>0</v>
      </c>
      <c r="AI124" s="666">
        <f t="shared" si="49"/>
        <v>0</v>
      </c>
      <c r="AJ124" s="666">
        <f t="shared" si="50"/>
        <v>0</v>
      </c>
      <c r="AK124" s="134"/>
      <c r="AL124" s="726">
        <f t="shared" si="51"/>
        <v>2705000</v>
      </c>
      <c r="AM124" s="125" t="s">
        <v>402</v>
      </c>
      <c r="AN124" s="627" t="s">
        <v>402</v>
      </c>
      <c r="AO124" s="125"/>
      <c r="AP124" s="125"/>
    </row>
    <row r="125" spans="1:42" ht="13" x14ac:dyDescent="0.3">
      <c r="A125" s="185">
        <v>9257016</v>
      </c>
      <c r="B125" s="38" t="s">
        <v>80</v>
      </c>
      <c r="C125" s="335">
        <v>6</v>
      </c>
      <c r="D125" s="666">
        <f t="shared" si="20"/>
        <v>0</v>
      </c>
      <c r="E125" s="666">
        <f t="shared" si="21"/>
        <v>0</v>
      </c>
      <c r="F125" s="156">
        <f t="shared" si="35"/>
        <v>0</v>
      </c>
      <c r="G125" s="666">
        <f t="shared" si="22"/>
        <v>408938.59857580025</v>
      </c>
      <c r="H125" s="666">
        <f t="shared" si="23"/>
        <v>525296.38538705895</v>
      </c>
      <c r="I125" s="156">
        <f t="shared" si="30"/>
        <v>934234.98396285926</v>
      </c>
      <c r="J125" s="666">
        <f t="shared" si="24"/>
        <v>182125.23153066565</v>
      </c>
      <c r="K125" s="666">
        <f t="shared" si="25"/>
        <v>384486.59989807202</v>
      </c>
      <c r="L125" s="156">
        <f t="shared" si="36"/>
        <v>566611.83142873761</v>
      </c>
      <c r="M125" s="156">
        <f>I125+L125</f>
        <v>1500846.8153915969</v>
      </c>
      <c r="N125" s="666">
        <f t="shared" si="26"/>
        <v>0</v>
      </c>
      <c r="O125" s="666">
        <f t="shared" si="27"/>
        <v>0</v>
      </c>
      <c r="P125" s="156">
        <f t="shared" si="38"/>
        <v>0</v>
      </c>
      <c r="Q125" s="666">
        <f t="shared" si="28"/>
        <v>0</v>
      </c>
      <c r="R125" s="666">
        <f t="shared" si="29"/>
        <v>0</v>
      </c>
      <c r="S125" s="156">
        <f t="shared" si="39"/>
        <v>0</v>
      </c>
      <c r="T125" s="156">
        <f t="shared" si="40"/>
        <v>0</v>
      </c>
      <c r="U125" s="156">
        <f t="shared" si="31"/>
        <v>1500846.8153915969</v>
      </c>
      <c r="V125" s="334">
        <f t="shared" si="41"/>
        <v>148.33333333333334</v>
      </c>
      <c r="W125" s="666">
        <f t="shared" si="32"/>
        <v>10118.068418370316</v>
      </c>
      <c r="X125" s="36"/>
      <c r="Y125" s="94">
        <f t="shared" si="42"/>
        <v>923333.33333333337</v>
      </c>
      <c r="Z125" s="666">
        <f t="shared" si="43"/>
        <v>560000</v>
      </c>
      <c r="AA125" s="666">
        <f t="shared" si="44"/>
        <v>1483333.3333333335</v>
      </c>
      <c r="AB125" s="679">
        <f>VLOOKUP(A125,'2017-18 Funding Detail'!$A$4:$AK$23,32,FALSE)</f>
        <v>2378504.5311402138</v>
      </c>
      <c r="AC125" s="666">
        <f t="shared" si="45"/>
        <v>895171.19780688034</v>
      </c>
      <c r="AD125" s="666">
        <f t="shared" si="46"/>
        <v>243909.00614400953</v>
      </c>
      <c r="AE125" s="666">
        <f t="shared" si="47"/>
        <v>313309.91923240811</v>
      </c>
      <c r="AF125" s="666">
        <f t="shared" si="48"/>
        <v>557218.92537641758</v>
      </c>
      <c r="AG125" s="666">
        <f t="shared" si="33"/>
        <v>108627.516138363</v>
      </c>
      <c r="AH125" s="666">
        <f t="shared" si="34"/>
        <v>229324.75629209969</v>
      </c>
      <c r="AI125" s="666">
        <f t="shared" si="49"/>
        <v>337952.2724304627</v>
      </c>
      <c r="AJ125" s="666">
        <f t="shared" si="50"/>
        <v>895171.19780688034</v>
      </c>
      <c r="AK125" s="134"/>
      <c r="AL125" s="726">
        <f t="shared" si="51"/>
        <v>2378504.5311402138</v>
      </c>
      <c r="AM125" s="125" t="s">
        <v>402</v>
      </c>
      <c r="AN125" s="627" t="s">
        <v>402</v>
      </c>
      <c r="AO125" s="125"/>
      <c r="AP125" s="125"/>
    </row>
    <row r="126" spans="1:42" x14ac:dyDescent="0.25">
      <c r="V126" s="347"/>
    </row>
    <row r="127" spans="1:42" ht="13" thickBot="1" x14ac:dyDescent="0.3">
      <c r="D127" s="70">
        <f>SUM(D108:D125)</f>
        <v>0</v>
      </c>
      <c r="E127" s="70">
        <f t="shared" ref="E127:S127" si="52">SUM(E108:E125)</f>
        <v>0</v>
      </c>
      <c r="F127" s="70">
        <f t="shared" si="52"/>
        <v>0</v>
      </c>
      <c r="G127" s="70">
        <f t="shared" si="52"/>
        <v>5516661.5992909176</v>
      </c>
      <c r="H127" s="70">
        <f t="shared" si="52"/>
        <v>7901788.0710067721</v>
      </c>
      <c r="I127" s="70">
        <f t="shared" si="52"/>
        <v>13418449.67029769</v>
      </c>
      <c r="J127" s="70">
        <f t="shared" si="52"/>
        <v>581709.87444175896</v>
      </c>
      <c r="K127" s="70">
        <f t="shared" si="52"/>
        <v>1319129.930462149</v>
      </c>
      <c r="L127" s="70">
        <f t="shared" si="52"/>
        <v>1900839.8049039077</v>
      </c>
      <c r="M127" s="70">
        <f>SUM(M108:M125)</f>
        <v>15319289.475201599</v>
      </c>
      <c r="N127" s="70">
        <f t="shared" si="52"/>
        <v>452955.54214894661</v>
      </c>
      <c r="O127" s="70">
        <f t="shared" si="52"/>
        <v>658735.37052841939</v>
      </c>
      <c r="P127" s="70">
        <f t="shared" si="52"/>
        <v>1111690.9126773661</v>
      </c>
      <c r="Q127" s="70">
        <f t="shared" si="52"/>
        <v>19253.253359859609</v>
      </c>
      <c r="R127" s="70">
        <f t="shared" si="52"/>
        <v>45568.907694155903</v>
      </c>
      <c r="S127" s="70">
        <f t="shared" si="52"/>
        <v>64822.161054015509</v>
      </c>
      <c r="T127" s="70">
        <f>SUM(T108:T125)</f>
        <v>1176513.0737313814</v>
      </c>
      <c r="U127" s="70">
        <f>SUM(U108:U125)</f>
        <v>16495802.548932979</v>
      </c>
      <c r="V127" s="250">
        <f>SUM(V108:V125)</f>
        <v>1741.9166666666667</v>
      </c>
      <c r="W127" s="70">
        <f>AVERAGE(W108:W125)</f>
        <v>10284.921004300575</v>
      </c>
      <c r="Y127" s="730">
        <f>SUM(Y108:Y125)</f>
        <v>15349166.666666668</v>
      </c>
      <c r="Z127" s="730">
        <f t="shared" ref="Z127:AL127" si="53">SUM(Z108:Z125)</f>
        <v>2069999.9999999998</v>
      </c>
      <c r="AA127" s="729">
        <f t="shared" si="53"/>
        <v>17419166.666666664</v>
      </c>
      <c r="AB127" s="729">
        <f t="shared" si="53"/>
        <v>25776508.120230958</v>
      </c>
      <c r="AC127" s="729">
        <f t="shared" si="53"/>
        <v>8357341.4535642974</v>
      </c>
      <c r="AD127" s="729">
        <f t="shared" si="53"/>
        <v>2931713.1896516071</v>
      </c>
      <c r="AE127" s="729">
        <f t="shared" si="53"/>
        <v>4286894.229477698</v>
      </c>
      <c r="AF127" s="729">
        <f t="shared" si="53"/>
        <v>7218607.4191293065</v>
      </c>
      <c r="AG127" s="729">
        <f t="shared" si="53"/>
        <v>352409.65676430508</v>
      </c>
      <c r="AH127" s="729">
        <f t="shared" si="53"/>
        <v>786324.37767068495</v>
      </c>
      <c r="AI127" s="729">
        <f t="shared" si="53"/>
        <v>1138734.0344349903</v>
      </c>
      <c r="AJ127" s="729">
        <f t="shared" si="53"/>
        <v>8357341.4535642974</v>
      </c>
      <c r="AK127" s="642"/>
      <c r="AL127" s="729">
        <f t="shared" si="53"/>
        <v>25776508.120230958</v>
      </c>
    </row>
    <row r="129" spans="4:38" x14ac:dyDescent="0.25">
      <c r="D129" s="627" t="s">
        <v>402</v>
      </c>
      <c r="E129" s="627" t="s">
        <v>402</v>
      </c>
      <c r="F129" s="627" t="s">
        <v>402</v>
      </c>
      <c r="G129" s="627" t="s">
        <v>402</v>
      </c>
      <c r="H129" s="627" t="s">
        <v>402</v>
      </c>
      <c r="I129" s="627" t="s">
        <v>402</v>
      </c>
      <c r="J129" s="627" t="s">
        <v>402</v>
      </c>
      <c r="K129" s="627" t="s">
        <v>402</v>
      </c>
      <c r="L129" s="627" t="s">
        <v>402</v>
      </c>
      <c r="M129" s="627" t="s">
        <v>402</v>
      </c>
      <c r="N129" s="627" t="s">
        <v>402</v>
      </c>
      <c r="O129" s="627" t="s">
        <v>402</v>
      </c>
      <c r="P129" s="627" t="s">
        <v>402</v>
      </c>
      <c r="Q129" s="627" t="s">
        <v>402</v>
      </c>
      <c r="R129" s="627" t="s">
        <v>402</v>
      </c>
      <c r="S129" s="627" t="s">
        <v>402</v>
      </c>
      <c r="T129" s="627" t="s">
        <v>402</v>
      </c>
      <c r="U129" s="627" t="s">
        <v>402</v>
      </c>
      <c r="V129" s="627" t="s">
        <v>402</v>
      </c>
      <c r="W129" s="627" t="s">
        <v>402</v>
      </c>
      <c r="Y129" s="627" t="s">
        <v>402</v>
      </c>
      <c r="Z129" s="627" t="s">
        <v>402</v>
      </c>
      <c r="AA129" s="627" t="s">
        <v>402</v>
      </c>
      <c r="AB129" s="627" t="s">
        <v>402</v>
      </c>
      <c r="AC129" s="627" t="s">
        <v>402</v>
      </c>
      <c r="AD129" s="627" t="s">
        <v>402</v>
      </c>
      <c r="AE129" s="627" t="s">
        <v>402</v>
      </c>
      <c r="AF129" s="627" t="s">
        <v>402</v>
      </c>
      <c r="AG129" s="627" t="s">
        <v>402</v>
      </c>
      <c r="AH129" s="627" t="s">
        <v>402</v>
      </c>
      <c r="AI129" s="627" t="s">
        <v>402</v>
      </c>
      <c r="AJ129" s="627" t="s">
        <v>402</v>
      </c>
      <c r="AK129" s="627"/>
      <c r="AL129" s="627" t="s">
        <v>402</v>
      </c>
    </row>
  </sheetData>
  <mergeCells count="17">
    <mergeCell ref="S1:S4"/>
    <mergeCell ref="U1:W1"/>
    <mergeCell ref="U2:W2"/>
    <mergeCell ref="U3:W3"/>
    <mergeCell ref="P4:Q4"/>
    <mergeCell ref="U4:W4"/>
    <mergeCell ref="D106:F106"/>
    <mergeCell ref="G106:I106"/>
    <mergeCell ref="J106:L106"/>
    <mergeCell ref="N106:P106"/>
    <mergeCell ref="Q106:S106"/>
    <mergeCell ref="AL106:AL107"/>
    <mergeCell ref="U8:AA10"/>
    <mergeCell ref="U11:AA16"/>
    <mergeCell ref="M26:N26"/>
    <mergeCell ref="P48:Q48"/>
    <mergeCell ref="M70:N7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2:AS67"/>
  <sheetViews>
    <sheetView topLeftCell="AA1" workbookViewId="0">
      <selection activeCell="AW64" sqref="AW64"/>
    </sheetView>
  </sheetViews>
  <sheetFormatPr defaultColWidth="9.1796875" defaultRowHeight="12" customHeight="1" x14ac:dyDescent="0.35"/>
  <cols>
    <col min="1" max="1" width="10.54296875" style="188" bestFit="1" customWidth="1"/>
    <col min="2" max="5" width="9.1796875" style="187"/>
    <col min="6" max="6" width="10.26953125" style="187" customWidth="1"/>
    <col min="7" max="8" width="9.1796875" style="187" customWidth="1"/>
    <col min="9" max="9" width="10.7265625" style="187" customWidth="1"/>
    <col min="10" max="12" width="10.7265625" style="188" customWidth="1"/>
    <col min="13" max="14" width="10.7265625" style="189" customWidth="1"/>
    <col min="15" max="19" width="10.7265625" style="187" customWidth="1"/>
    <col min="20" max="20" width="3.26953125" style="187" customWidth="1"/>
    <col min="21" max="23" width="10.7265625" style="187" customWidth="1"/>
    <col min="24" max="24" width="9.1796875" style="187" customWidth="1"/>
    <col min="25" max="25" width="10.81640625" style="188" customWidth="1"/>
    <col min="26" max="28" width="9.1796875" style="187" customWidth="1"/>
    <col min="29" max="29" width="11.26953125" style="189" customWidth="1"/>
    <col min="30" max="30" width="11.1796875" style="189" customWidth="1"/>
    <col min="31" max="31" width="14.453125" style="189" customWidth="1"/>
    <col min="32" max="32" width="9.1796875" style="189"/>
    <col min="33" max="33" width="8.81640625" style="189" bestFit="1" customWidth="1"/>
    <col min="34" max="36" width="9.1796875" style="189"/>
    <col min="37" max="37" width="10.453125" style="189" customWidth="1"/>
    <col min="38" max="38" width="13.453125" style="189" customWidth="1"/>
    <col min="39" max="43" width="9.1796875" style="189"/>
    <col min="44" max="44" width="11.1796875" style="189" customWidth="1"/>
    <col min="45" max="45" width="14.26953125" style="189" customWidth="1"/>
    <col min="46" max="50" width="9.1796875" style="189"/>
    <col min="51" max="51" width="10.1796875" style="189" bestFit="1" customWidth="1"/>
    <col min="52" max="52" width="14.26953125" style="189" customWidth="1"/>
    <col min="53" max="16384" width="9.1796875" style="189"/>
  </cols>
  <sheetData>
    <row r="2" spans="1:45" ht="12" customHeight="1" x14ac:dyDescent="0.35">
      <c r="B2" s="186" t="s">
        <v>219</v>
      </c>
      <c r="V2" s="1903" t="s">
        <v>280</v>
      </c>
    </row>
    <row r="3" spans="1:45" ht="12" customHeight="1" x14ac:dyDescent="0.35">
      <c r="V3" s="1904"/>
      <c r="X3" s="209" t="s">
        <v>250</v>
      </c>
    </row>
    <row r="4" spans="1:45" s="190" customFormat="1" ht="12" customHeight="1" x14ac:dyDescent="0.3">
      <c r="A4" s="188"/>
      <c r="B4" s="187"/>
      <c r="C4" s="187"/>
      <c r="D4" s="187"/>
      <c r="E4" s="187"/>
      <c r="F4" s="1905" t="s">
        <v>206</v>
      </c>
      <c r="G4" s="1905" t="s">
        <v>207</v>
      </c>
      <c r="H4" s="1905" t="s">
        <v>218</v>
      </c>
      <c r="I4" s="1906" t="s">
        <v>274</v>
      </c>
      <c r="J4" s="1907" t="s">
        <v>208</v>
      </c>
      <c r="K4" s="1907" t="s">
        <v>275</v>
      </c>
      <c r="L4" s="1907" t="s">
        <v>276</v>
      </c>
      <c r="M4" s="1907" t="s">
        <v>209</v>
      </c>
      <c r="N4" s="1907" t="s">
        <v>210</v>
      </c>
      <c r="O4" s="1907" t="s">
        <v>211</v>
      </c>
      <c r="P4" s="1907" t="s">
        <v>222</v>
      </c>
      <c r="Q4" s="1907" t="s">
        <v>277</v>
      </c>
      <c r="R4" s="1907" t="s">
        <v>228</v>
      </c>
      <c r="S4" s="1907" t="s">
        <v>229</v>
      </c>
      <c r="T4" s="209"/>
      <c r="U4" s="1907" t="s">
        <v>278</v>
      </c>
      <c r="V4" s="1910" t="s">
        <v>279</v>
      </c>
      <c r="W4" s="209"/>
      <c r="X4" s="1907" t="s">
        <v>249</v>
      </c>
      <c r="Y4" s="1907" t="s">
        <v>281</v>
      </c>
      <c r="Z4" s="1906" t="s">
        <v>430</v>
      </c>
      <c r="AA4" s="1907" t="s">
        <v>431</v>
      </c>
      <c r="AB4" s="1907" t="s">
        <v>432</v>
      </c>
      <c r="AC4" s="1910" t="s">
        <v>433</v>
      </c>
      <c r="AD4" s="1907" t="s">
        <v>434</v>
      </c>
      <c r="AE4" s="1907" t="s">
        <v>435</v>
      </c>
      <c r="AG4" s="1928" t="s">
        <v>541</v>
      </c>
      <c r="AH4" s="1926" t="s">
        <v>542</v>
      </c>
      <c r="AI4" s="1926" t="s">
        <v>543</v>
      </c>
      <c r="AJ4" s="1929" t="s">
        <v>544</v>
      </c>
      <c r="AK4" s="1926" t="s">
        <v>545</v>
      </c>
      <c r="AL4" s="1907" t="s">
        <v>435</v>
      </c>
      <c r="AN4" s="1928" t="s">
        <v>609</v>
      </c>
      <c r="AO4" s="1926" t="s">
        <v>610</v>
      </c>
      <c r="AP4" s="1926" t="s">
        <v>611</v>
      </c>
      <c r="AQ4" s="1929" t="s">
        <v>612</v>
      </c>
      <c r="AR4" s="1926" t="s">
        <v>613</v>
      </c>
      <c r="AS4" s="1907" t="s">
        <v>435</v>
      </c>
    </row>
    <row r="5" spans="1:45" s="190" customFormat="1" ht="12" customHeight="1" x14ac:dyDescent="0.3">
      <c r="A5" s="188"/>
      <c r="B5" s="187"/>
      <c r="C5" s="187"/>
      <c r="D5" s="187"/>
      <c r="E5" s="187"/>
      <c r="F5" s="1905"/>
      <c r="G5" s="1905"/>
      <c r="H5" s="1905"/>
      <c r="I5" s="1906"/>
      <c r="J5" s="1907"/>
      <c r="K5" s="1907"/>
      <c r="L5" s="1907"/>
      <c r="M5" s="1907"/>
      <c r="N5" s="1907"/>
      <c r="O5" s="1907"/>
      <c r="P5" s="1907"/>
      <c r="Q5" s="1907"/>
      <c r="R5" s="1907"/>
      <c r="S5" s="1907"/>
      <c r="T5" s="209"/>
      <c r="U5" s="1907"/>
      <c r="V5" s="1911"/>
      <c r="W5" s="209"/>
      <c r="X5" s="1907"/>
      <c r="Y5" s="1907"/>
      <c r="Z5" s="1906"/>
      <c r="AA5" s="1907"/>
      <c r="AB5" s="1907"/>
      <c r="AC5" s="1911"/>
      <c r="AD5" s="1907"/>
      <c r="AE5" s="1907"/>
      <c r="AG5" s="1906"/>
      <c r="AH5" s="1907"/>
      <c r="AI5" s="1907"/>
      <c r="AJ5" s="1911"/>
      <c r="AK5" s="1907"/>
      <c r="AL5" s="1907"/>
      <c r="AN5" s="1906"/>
      <c r="AO5" s="1907"/>
      <c r="AP5" s="1907"/>
      <c r="AQ5" s="1911"/>
      <c r="AR5" s="1907"/>
      <c r="AS5" s="1907"/>
    </row>
    <row r="6" spans="1:45" s="190" customFormat="1" ht="12" customHeight="1" x14ac:dyDescent="0.3">
      <c r="A6" s="188"/>
      <c r="B6" s="1913" t="s">
        <v>158</v>
      </c>
      <c r="C6" s="1914"/>
      <c r="D6" s="1914"/>
      <c r="E6" s="1915"/>
      <c r="F6" s="1905"/>
      <c r="G6" s="1905"/>
      <c r="H6" s="1905"/>
      <c r="I6" s="1906"/>
      <c r="J6" s="1907"/>
      <c r="K6" s="1907"/>
      <c r="L6" s="1907"/>
      <c r="M6" s="1907"/>
      <c r="N6" s="1907"/>
      <c r="O6" s="1907"/>
      <c r="P6" s="1907"/>
      <c r="Q6" s="1907"/>
      <c r="R6" s="1907"/>
      <c r="S6" s="1907"/>
      <c r="T6" s="209"/>
      <c r="U6" s="1907"/>
      <c r="V6" s="1912"/>
      <c r="W6" s="209"/>
      <c r="X6" s="1907"/>
      <c r="Y6" s="1907"/>
      <c r="Z6" s="1906"/>
      <c r="AA6" s="1907"/>
      <c r="AB6" s="1907"/>
      <c r="AC6" s="1912"/>
      <c r="AD6" s="1907"/>
      <c r="AE6" s="1907"/>
      <c r="AG6" s="1906"/>
      <c r="AH6" s="1907"/>
      <c r="AI6" s="1907"/>
      <c r="AJ6" s="1912"/>
      <c r="AK6" s="1907"/>
      <c r="AL6" s="1907"/>
      <c r="AN6" s="1906"/>
      <c r="AO6" s="1907"/>
      <c r="AP6" s="1907"/>
      <c r="AQ6" s="1912"/>
      <c r="AR6" s="1907"/>
      <c r="AS6" s="1907"/>
    </row>
    <row r="7" spans="1:45" ht="12" customHeight="1" x14ac:dyDescent="0.35">
      <c r="A7" s="220">
        <v>9257010</v>
      </c>
      <c r="B7" s="1916" t="s">
        <v>86</v>
      </c>
      <c r="C7" s="1917"/>
      <c r="D7" s="1917"/>
      <c r="E7" s="1917"/>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row>
    <row r="8" spans="1:45" ht="12" customHeight="1" x14ac:dyDescent="0.35">
      <c r="A8" s="220">
        <v>9257030</v>
      </c>
      <c r="B8" s="1908" t="s">
        <v>161</v>
      </c>
      <c r="C8" s="1909"/>
      <c r="D8" s="1909"/>
      <c r="E8" s="1909"/>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67"/>
      <c r="AD8" s="194"/>
      <c r="AE8" s="194">
        <f t="shared" ref="AE8:AE26" si="1">SUM(Z8:AD8)</f>
        <v>0</v>
      </c>
      <c r="AG8" s="194"/>
      <c r="AH8" s="194"/>
      <c r="AI8" s="194"/>
      <c r="AJ8" s="367"/>
      <c r="AK8" s="194"/>
      <c r="AL8" s="194">
        <f t="shared" ref="AL8:AL26" si="2">SUM(AG8:AK8)</f>
        <v>0</v>
      </c>
      <c r="AN8" s="194"/>
      <c r="AO8" s="194"/>
      <c r="AP8" s="194"/>
      <c r="AQ8" s="367"/>
      <c r="AR8" s="194"/>
      <c r="AS8" s="194">
        <f t="shared" ref="AS8:AS26" si="3">SUM(AN8:AR8)</f>
        <v>0</v>
      </c>
    </row>
    <row r="9" spans="1:45" ht="12" customHeight="1" x14ac:dyDescent="0.35">
      <c r="A9" s="220">
        <v>9257031</v>
      </c>
      <c r="B9" s="1908" t="s">
        <v>162</v>
      </c>
      <c r="C9" s="1909"/>
      <c r="D9" s="1909"/>
      <c r="E9" s="1909"/>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67"/>
      <c r="AD9" s="194"/>
      <c r="AE9" s="194">
        <f t="shared" si="1"/>
        <v>0</v>
      </c>
      <c r="AG9" s="194"/>
      <c r="AH9" s="194"/>
      <c r="AI9" s="194"/>
      <c r="AJ9" s="367"/>
      <c r="AK9" s="194"/>
      <c r="AL9" s="194">
        <f t="shared" si="2"/>
        <v>0</v>
      </c>
      <c r="AN9" s="194"/>
      <c r="AO9" s="194"/>
      <c r="AP9" s="194"/>
      <c r="AQ9" s="367"/>
      <c r="AR9" s="194"/>
      <c r="AS9" s="194">
        <f t="shared" si="3"/>
        <v>0</v>
      </c>
    </row>
    <row r="10" spans="1:45" ht="12" customHeight="1" x14ac:dyDescent="0.35">
      <c r="A10" s="220">
        <v>9257008</v>
      </c>
      <c r="B10" s="1916" t="s">
        <v>87</v>
      </c>
      <c r="C10" s="1917"/>
      <c r="D10" s="1917"/>
      <c r="E10" s="1917"/>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c r="AN10" s="194"/>
      <c r="AO10" s="194"/>
      <c r="AP10" s="194">
        <v>617500</v>
      </c>
      <c r="AQ10" s="194">
        <v>0</v>
      </c>
      <c r="AR10" s="194"/>
      <c r="AS10" s="194">
        <f t="shared" si="3"/>
        <v>617500</v>
      </c>
    </row>
    <row r="11" spans="1:45" ht="12" customHeight="1" x14ac:dyDescent="0.35">
      <c r="A11" s="220">
        <v>9257002</v>
      </c>
      <c r="B11" s="1916" t="s">
        <v>53</v>
      </c>
      <c r="C11" s="1917"/>
      <c r="D11" s="1917"/>
      <c r="E11" s="1917"/>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67"/>
      <c r="AD11" s="194"/>
      <c r="AE11" s="194">
        <f t="shared" si="1"/>
        <v>0</v>
      </c>
      <c r="AG11" s="194"/>
      <c r="AH11" s="194"/>
      <c r="AI11" s="194"/>
      <c r="AJ11" s="367"/>
      <c r="AK11" s="194"/>
      <c r="AL11" s="194">
        <f t="shared" si="2"/>
        <v>0</v>
      </c>
      <c r="AN11" s="194"/>
      <c r="AO11" s="194"/>
      <c r="AP11" s="194"/>
      <c r="AQ11" s="367"/>
      <c r="AR11" s="194"/>
      <c r="AS11" s="194">
        <f t="shared" si="3"/>
        <v>0</v>
      </c>
    </row>
    <row r="12" spans="1:45" ht="12" customHeight="1" x14ac:dyDescent="0.35">
      <c r="A12" s="220">
        <v>9257005</v>
      </c>
      <c r="B12" s="1916" t="s">
        <v>88</v>
      </c>
      <c r="C12" s="1917"/>
      <c r="D12" s="1917"/>
      <c r="E12" s="1917"/>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67"/>
      <c r="AD12" s="194"/>
      <c r="AE12" s="194">
        <f t="shared" si="1"/>
        <v>35258</v>
      </c>
      <c r="AG12" s="194">
        <v>35258</v>
      </c>
      <c r="AH12" s="194"/>
      <c r="AI12" s="194"/>
      <c r="AJ12" s="367"/>
      <c r="AK12" s="194"/>
      <c r="AL12" s="194">
        <f t="shared" si="2"/>
        <v>35258</v>
      </c>
      <c r="AN12" s="194">
        <v>26443.5</v>
      </c>
      <c r="AO12" s="194"/>
      <c r="AP12" s="194"/>
      <c r="AQ12" s="367"/>
      <c r="AR12" s="194"/>
      <c r="AS12" s="194">
        <f t="shared" si="3"/>
        <v>26443.5</v>
      </c>
    </row>
    <row r="13" spans="1:45" ht="12" customHeight="1" x14ac:dyDescent="0.35">
      <c r="A13" s="220">
        <v>9257034</v>
      </c>
      <c r="B13" s="1916" t="s">
        <v>163</v>
      </c>
      <c r="C13" s="1917"/>
      <c r="D13" s="1917"/>
      <c r="E13" s="1917"/>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67"/>
      <c r="AD13" s="194"/>
      <c r="AE13" s="194">
        <f t="shared" si="1"/>
        <v>0</v>
      </c>
      <c r="AG13" s="194"/>
      <c r="AH13" s="194"/>
      <c r="AI13" s="194"/>
      <c r="AJ13" s="367"/>
      <c r="AK13" s="194"/>
      <c r="AL13" s="194">
        <f t="shared" si="2"/>
        <v>0</v>
      </c>
      <c r="AN13" s="194"/>
      <c r="AO13" s="194"/>
      <c r="AP13" s="194"/>
      <c r="AQ13" s="367"/>
      <c r="AR13" s="194"/>
      <c r="AS13" s="194">
        <f t="shared" si="3"/>
        <v>0</v>
      </c>
    </row>
    <row r="14" spans="1:45" ht="12" customHeight="1" x14ac:dyDescent="0.35">
      <c r="A14" s="220">
        <v>9257021</v>
      </c>
      <c r="B14" s="1916" t="s">
        <v>56</v>
      </c>
      <c r="C14" s="1917"/>
      <c r="D14" s="1917"/>
      <c r="E14" s="1917"/>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67"/>
      <c r="AD14" s="194"/>
      <c r="AE14" s="194">
        <f t="shared" si="1"/>
        <v>35258</v>
      </c>
      <c r="AG14" s="194">
        <v>35258</v>
      </c>
      <c r="AH14" s="194"/>
      <c r="AI14" s="194"/>
      <c r="AJ14" s="367"/>
      <c r="AK14" s="565"/>
      <c r="AL14" s="194">
        <f t="shared" si="2"/>
        <v>35258</v>
      </c>
      <c r="AN14" s="194">
        <v>26443.5</v>
      </c>
      <c r="AO14" s="194"/>
      <c r="AP14" s="194"/>
      <c r="AQ14" s="367"/>
      <c r="AR14" s="565"/>
      <c r="AS14" s="194">
        <f t="shared" si="3"/>
        <v>26443.5</v>
      </c>
    </row>
    <row r="15" spans="1:45" s="187" customFormat="1" ht="12" customHeight="1" x14ac:dyDescent="0.3">
      <c r="A15" s="220">
        <v>9257033</v>
      </c>
      <c r="B15" s="1916" t="s">
        <v>164</v>
      </c>
      <c r="C15" s="1917"/>
      <c r="D15" s="1917"/>
      <c r="E15" s="1917"/>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c r="AN15" s="194">
        <v>26443.5</v>
      </c>
      <c r="AO15" s="194"/>
      <c r="AP15" s="194"/>
      <c r="AQ15" s="194">
        <v>0</v>
      </c>
      <c r="AR15" s="194"/>
      <c r="AS15" s="194">
        <f t="shared" si="3"/>
        <v>26443.5</v>
      </c>
    </row>
    <row r="16" spans="1:45" s="187" customFormat="1" ht="12" customHeight="1" x14ac:dyDescent="0.3">
      <c r="A16" s="220">
        <v>9257017</v>
      </c>
      <c r="B16" s="1916" t="s">
        <v>54</v>
      </c>
      <c r="C16" s="1917"/>
      <c r="D16" s="1917"/>
      <c r="E16" s="1917"/>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c r="AN16" s="194"/>
      <c r="AO16" s="194"/>
      <c r="AP16" s="194"/>
      <c r="AQ16" s="194"/>
      <c r="AR16" s="194"/>
      <c r="AS16" s="194">
        <f t="shared" si="3"/>
        <v>0</v>
      </c>
    </row>
    <row r="17" spans="1:45" ht="12" customHeight="1" x14ac:dyDescent="0.35">
      <c r="A17" s="220">
        <v>9257015</v>
      </c>
      <c r="B17" s="1916" t="s">
        <v>94</v>
      </c>
      <c r="C17" s="1917"/>
      <c r="D17" s="1917"/>
      <c r="E17" s="1917"/>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67"/>
      <c r="AD17" s="194"/>
      <c r="AE17" s="194">
        <f t="shared" si="1"/>
        <v>56716.333333333336</v>
      </c>
      <c r="AG17" s="194">
        <v>35258</v>
      </c>
      <c r="AH17" s="194"/>
      <c r="AI17" s="194">
        <v>0</v>
      </c>
      <c r="AJ17" s="367"/>
      <c r="AK17" s="194"/>
      <c r="AL17" s="194">
        <f t="shared" si="2"/>
        <v>35258</v>
      </c>
      <c r="AN17" s="194">
        <v>26443.5</v>
      </c>
      <c r="AO17" s="194"/>
      <c r="AP17" s="194">
        <v>0</v>
      </c>
      <c r="AQ17" s="367"/>
      <c r="AR17" s="194"/>
      <c r="AS17" s="194">
        <f t="shared" si="3"/>
        <v>26443.5</v>
      </c>
    </row>
    <row r="18" spans="1:45" ht="12" customHeight="1" x14ac:dyDescent="0.35">
      <c r="A18" s="220">
        <v>9257016</v>
      </c>
      <c r="B18" s="1916" t="s">
        <v>95</v>
      </c>
      <c r="C18" s="1917"/>
      <c r="D18" s="1917"/>
      <c r="E18" s="1917"/>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67"/>
      <c r="AD18" s="194">
        <f>U18</f>
        <v>582568</v>
      </c>
      <c r="AE18" s="194">
        <f t="shared" si="1"/>
        <v>644624.66666666663</v>
      </c>
      <c r="AG18" s="194"/>
      <c r="AH18" s="194">
        <v>0</v>
      </c>
      <c r="AI18" s="194">
        <v>140436</v>
      </c>
      <c r="AJ18" s="367"/>
      <c r="AK18" s="194">
        <v>582568</v>
      </c>
      <c r="AL18" s="194">
        <f t="shared" si="2"/>
        <v>723004</v>
      </c>
      <c r="AN18" s="194"/>
      <c r="AO18" s="194">
        <v>0</v>
      </c>
      <c r="AP18" s="194">
        <v>140436</v>
      </c>
      <c r="AQ18" s="367"/>
      <c r="AR18" s="194">
        <v>582568</v>
      </c>
      <c r="AS18" s="194">
        <f t="shared" si="3"/>
        <v>723004</v>
      </c>
    </row>
    <row r="19" spans="1:45" ht="12" customHeight="1" x14ac:dyDescent="0.35">
      <c r="A19" s="220">
        <v>9257032</v>
      </c>
      <c r="B19" s="1918" t="s">
        <v>165</v>
      </c>
      <c r="C19" s="1919"/>
      <c r="D19" s="1919"/>
      <c r="E19" s="1920"/>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67"/>
      <c r="AD19" s="194"/>
      <c r="AE19" s="194">
        <f t="shared" si="1"/>
        <v>25000</v>
      </c>
      <c r="AG19" s="194"/>
      <c r="AH19" s="194">
        <v>0</v>
      </c>
      <c r="AI19" s="194"/>
      <c r="AJ19" s="367"/>
      <c r="AK19" s="194"/>
      <c r="AL19" s="194">
        <f t="shared" si="2"/>
        <v>0</v>
      </c>
      <c r="AN19" s="194"/>
      <c r="AO19" s="194">
        <v>0</v>
      </c>
      <c r="AP19" s="194"/>
      <c r="AQ19" s="367"/>
      <c r="AR19" s="194"/>
      <c r="AS19" s="194">
        <f t="shared" si="3"/>
        <v>0</v>
      </c>
    </row>
    <row r="20" spans="1:45" ht="12" customHeight="1" x14ac:dyDescent="0.35">
      <c r="A20" s="220">
        <v>9257025</v>
      </c>
      <c r="B20" s="1916" t="s">
        <v>52</v>
      </c>
      <c r="C20" s="1917"/>
      <c r="D20" s="1917"/>
      <c r="E20" s="1917"/>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c r="AN20" s="194">
        <v>26443.5</v>
      </c>
      <c r="AO20" s="194"/>
      <c r="AP20" s="194"/>
      <c r="AQ20" s="194">
        <v>0</v>
      </c>
      <c r="AR20" s="194">
        <f>327644+209307</f>
        <v>536951</v>
      </c>
      <c r="AS20" s="194">
        <f t="shared" si="3"/>
        <v>563394.5</v>
      </c>
    </row>
    <row r="21" spans="1:45" ht="12" customHeight="1" x14ac:dyDescent="0.35">
      <c r="A21" s="220">
        <v>9257011</v>
      </c>
      <c r="B21" s="1916" t="s">
        <v>89</v>
      </c>
      <c r="C21" s="1917"/>
      <c r="D21" s="1917"/>
      <c r="E21" s="1917"/>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c r="AN21" s="194">
        <v>26443.5</v>
      </c>
      <c r="AO21" s="194"/>
      <c r="AP21" s="194"/>
      <c r="AQ21" s="194">
        <v>0</v>
      </c>
      <c r="AR21" s="194"/>
      <c r="AS21" s="194">
        <f t="shared" si="3"/>
        <v>26443.5</v>
      </c>
    </row>
    <row r="22" spans="1:45" ht="12" customHeight="1" x14ac:dyDescent="0.35">
      <c r="A22" s="220">
        <v>9257009</v>
      </c>
      <c r="B22" s="1916" t="s">
        <v>93</v>
      </c>
      <c r="C22" s="1917"/>
      <c r="D22" s="1917"/>
      <c r="E22" s="1917"/>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c r="AN22" s="194"/>
      <c r="AO22" s="194"/>
      <c r="AP22" s="194"/>
      <c r="AQ22" s="194">
        <v>0</v>
      </c>
      <c r="AR22" s="194"/>
      <c r="AS22" s="194">
        <f t="shared" si="3"/>
        <v>0</v>
      </c>
    </row>
    <row r="23" spans="1:45" ht="12" customHeight="1" x14ac:dyDescent="0.35">
      <c r="A23" s="220">
        <v>9257024</v>
      </c>
      <c r="B23" s="1916" t="s">
        <v>90</v>
      </c>
      <c r="C23" s="1917"/>
      <c r="D23" s="1917"/>
      <c r="E23" s="1917"/>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67"/>
      <c r="AD23" s="194"/>
      <c r="AE23" s="194">
        <f t="shared" si="1"/>
        <v>60258</v>
      </c>
      <c r="AG23" s="194">
        <v>35258</v>
      </c>
      <c r="AH23" s="194">
        <v>0</v>
      </c>
      <c r="AI23" s="194"/>
      <c r="AJ23" s="367"/>
      <c r="AK23" s="194"/>
      <c r="AL23" s="194">
        <f t="shared" si="2"/>
        <v>35258</v>
      </c>
      <c r="AN23" s="194">
        <v>26443.5</v>
      </c>
      <c r="AO23" s="194">
        <v>0</v>
      </c>
      <c r="AP23" s="194"/>
      <c r="AQ23" s="367"/>
      <c r="AR23" s="194"/>
      <c r="AS23" s="194">
        <f t="shared" si="3"/>
        <v>26443.5</v>
      </c>
    </row>
    <row r="24" spans="1:45" ht="12" customHeight="1" x14ac:dyDescent="0.35">
      <c r="A24" s="220">
        <v>9257028</v>
      </c>
      <c r="B24" s="1916" t="s">
        <v>135</v>
      </c>
      <c r="C24" s="1917"/>
      <c r="D24" s="1917"/>
      <c r="E24" s="1917"/>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67"/>
      <c r="AD24" s="194"/>
      <c r="AE24" s="194">
        <f t="shared" si="1"/>
        <v>35258</v>
      </c>
      <c r="AG24" s="194">
        <v>35258</v>
      </c>
      <c r="AH24" s="194"/>
      <c r="AI24" s="194"/>
      <c r="AJ24" s="367"/>
      <c r="AK24" s="194"/>
      <c r="AL24" s="194">
        <f t="shared" si="2"/>
        <v>35258</v>
      </c>
      <c r="AN24" s="194">
        <v>26443.5</v>
      </c>
      <c r="AO24" s="194"/>
      <c r="AP24" s="194"/>
      <c r="AQ24" s="367"/>
      <c r="AR24" s="194"/>
      <c r="AS24" s="194">
        <f t="shared" si="3"/>
        <v>26443.5</v>
      </c>
    </row>
    <row r="25" spans="1:45" ht="12" customHeight="1" x14ac:dyDescent="0.35">
      <c r="A25" s="220">
        <v>9257029</v>
      </c>
      <c r="B25" s="1921" t="s">
        <v>91</v>
      </c>
      <c r="C25" s="1922"/>
      <c r="D25" s="1922"/>
      <c r="E25" s="1923"/>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67"/>
      <c r="AD25" s="194"/>
      <c r="AE25" s="194">
        <f t="shared" si="1"/>
        <v>25000</v>
      </c>
      <c r="AG25" s="194"/>
      <c r="AH25" s="194">
        <v>0</v>
      </c>
      <c r="AI25" s="194"/>
      <c r="AJ25" s="367"/>
      <c r="AK25" s="194"/>
      <c r="AL25" s="194">
        <f t="shared" si="2"/>
        <v>0</v>
      </c>
      <c r="AN25" s="194"/>
      <c r="AO25" s="194">
        <v>0</v>
      </c>
      <c r="AP25" s="194"/>
      <c r="AQ25" s="367"/>
      <c r="AR25" s="194"/>
      <c r="AS25" s="194">
        <f t="shared" si="3"/>
        <v>0</v>
      </c>
    </row>
    <row r="26" spans="1:45" ht="12" customHeight="1" x14ac:dyDescent="0.35">
      <c r="B26" s="1924" t="s">
        <v>62</v>
      </c>
      <c r="C26" s="1924"/>
      <c r="D26" s="1924"/>
      <c r="E26" s="1924"/>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c r="AN26" s="194">
        <f>SUM(AN7:AN25)</f>
        <v>237991.5</v>
      </c>
      <c r="AO26" s="194">
        <f>SUM(AO7:AO25)</f>
        <v>0</v>
      </c>
      <c r="AP26" s="194">
        <f>SUM(AP7:AP25)</f>
        <v>757936</v>
      </c>
      <c r="AQ26" s="194">
        <f>SUM(AQ7:AQ25)</f>
        <v>0</v>
      </c>
      <c r="AR26" s="194">
        <f>SUM(AR7:AR25)</f>
        <v>1119519</v>
      </c>
      <c r="AS26" s="194">
        <f t="shared" si="3"/>
        <v>2115446.5</v>
      </c>
    </row>
    <row r="27" spans="1:45" ht="15" customHeight="1" x14ac:dyDescent="0.35"/>
    <row r="28" spans="1:45" ht="15" hidden="1" customHeight="1" x14ac:dyDescent="0.35">
      <c r="B28" s="199" t="s">
        <v>115</v>
      </c>
    </row>
    <row r="29" spans="1:45" ht="15" hidden="1" customHeight="1" x14ac:dyDescent="0.35">
      <c r="B29" s="200" t="s">
        <v>213</v>
      </c>
    </row>
    <row r="30" spans="1:45" ht="15" hidden="1" customHeight="1" x14ac:dyDescent="0.35">
      <c r="B30" s="1930" t="s">
        <v>223</v>
      </c>
      <c r="C30" s="1930"/>
      <c r="D30" s="1930"/>
      <c r="E30" s="1930"/>
      <c r="F30" s="1930"/>
      <c r="G30" s="1930"/>
      <c r="H30" s="1930"/>
      <c r="I30" s="1930"/>
      <c r="J30" s="1930"/>
      <c r="K30" s="1930"/>
      <c r="L30" s="1930"/>
      <c r="M30" s="1930"/>
      <c r="N30" s="1930"/>
      <c r="O30" s="1930"/>
      <c r="P30" s="1930"/>
      <c r="Q30" s="1930"/>
      <c r="R30" s="1930"/>
      <c r="S30" s="1930"/>
      <c r="T30" s="1930"/>
      <c r="U30" s="1930"/>
      <c r="V30" s="1930"/>
    </row>
    <row r="31" spans="1:45" ht="15" hidden="1" customHeight="1" x14ac:dyDescent="0.35">
      <c r="B31" s="1930"/>
      <c r="C31" s="1930"/>
      <c r="D31" s="1930"/>
      <c r="E31" s="1930"/>
      <c r="F31" s="1930"/>
      <c r="G31" s="1930"/>
      <c r="H31" s="1930"/>
      <c r="I31" s="1930"/>
      <c r="J31" s="1930"/>
      <c r="K31" s="1930"/>
      <c r="L31" s="1930"/>
      <c r="M31" s="1930"/>
      <c r="N31" s="1930"/>
      <c r="O31" s="1930"/>
      <c r="P31" s="1930"/>
      <c r="Q31" s="1930"/>
      <c r="R31" s="1930"/>
      <c r="S31" s="1930"/>
      <c r="T31" s="1930"/>
      <c r="U31" s="1930"/>
      <c r="V31" s="1930"/>
    </row>
    <row r="32" spans="1:45" ht="15" hidden="1" customHeight="1" x14ac:dyDescent="0.35">
      <c r="B32" s="1930"/>
      <c r="C32" s="1930"/>
      <c r="D32" s="1930"/>
      <c r="E32" s="1930"/>
      <c r="F32" s="1930"/>
      <c r="G32" s="1930"/>
      <c r="H32" s="1930"/>
      <c r="I32" s="1930"/>
      <c r="J32" s="1930"/>
      <c r="K32" s="1930"/>
      <c r="L32" s="1930"/>
      <c r="M32" s="1930"/>
      <c r="N32" s="1930"/>
      <c r="O32" s="1930"/>
      <c r="P32" s="1930"/>
      <c r="Q32" s="1930"/>
      <c r="R32" s="1930"/>
      <c r="S32" s="1930"/>
      <c r="T32" s="1930"/>
      <c r="U32" s="1930"/>
      <c r="V32" s="1930"/>
    </row>
    <row r="33" spans="1:28" ht="18.75" hidden="1" customHeight="1" x14ac:dyDescent="0.35">
      <c r="B33" s="1930"/>
      <c r="C33" s="1930"/>
      <c r="D33" s="1930"/>
      <c r="E33" s="1930"/>
      <c r="F33" s="1930"/>
      <c r="G33" s="1930"/>
      <c r="H33" s="1930"/>
      <c r="I33" s="1930"/>
      <c r="J33" s="1930"/>
      <c r="K33" s="1930"/>
      <c r="L33" s="1930"/>
      <c r="M33" s="1930"/>
      <c r="N33" s="1930"/>
      <c r="O33" s="1930"/>
      <c r="P33" s="1930"/>
      <c r="Q33" s="1930"/>
      <c r="R33" s="1930"/>
      <c r="S33" s="1930"/>
      <c r="T33" s="1930"/>
      <c r="U33" s="1930"/>
      <c r="V33" s="1930"/>
    </row>
    <row r="34" spans="1:28" ht="15" hidden="1" customHeight="1" x14ac:dyDescent="0.35">
      <c r="B34" s="201"/>
      <c r="C34" s="201"/>
      <c r="D34" s="201"/>
      <c r="E34" s="201"/>
      <c r="F34" s="201"/>
      <c r="G34" s="201"/>
      <c r="H34" s="201"/>
      <c r="I34" s="201"/>
      <c r="J34" s="660"/>
      <c r="K34" s="660"/>
      <c r="L34" s="660"/>
      <c r="M34" s="201"/>
      <c r="N34" s="201"/>
    </row>
    <row r="35" spans="1:28" ht="15" hidden="1" customHeight="1" x14ac:dyDescent="0.35">
      <c r="B35" s="200" t="s">
        <v>139</v>
      </c>
    </row>
    <row r="36" spans="1:28" ht="15" hidden="1" customHeight="1" x14ac:dyDescent="0.35">
      <c r="B36" s="1930" t="s">
        <v>214</v>
      </c>
      <c r="C36" s="1930"/>
      <c r="D36" s="1930"/>
      <c r="E36" s="1930"/>
      <c r="F36" s="1930"/>
      <c r="G36" s="1930"/>
      <c r="H36" s="1930"/>
      <c r="I36" s="1930"/>
      <c r="J36" s="1930"/>
      <c r="K36" s="1930"/>
      <c r="L36" s="1930"/>
      <c r="M36" s="1930"/>
      <c r="N36" s="1930"/>
      <c r="O36" s="1930"/>
      <c r="P36" s="1930"/>
      <c r="Q36" s="1930"/>
      <c r="R36" s="1930"/>
      <c r="S36" s="1930"/>
      <c r="T36" s="1930"/>
      <c r="U36" s="1930"/>
      <c r="V36" s="1930"/>
    </row>
    <row r="37" spans="1:28" ht="15" hidden="1" customHeight="1" x14ac:dyDescent="0.35">
      <c r="B37" s="1930"/>
      <c r="C37" s="1930"/>
      <c r="D37" s="1930"/>
      <c r="E37" s="1930"/>
      <c r="F37" s="1930"/>
      <c r="G37" s="1930"/>
      <c r="H37" s="1930"/>
      <c r="I37" s="1930"/>
      <c r="J37" s="1930"/>
      <c r="K37" s="1930"/>
      <c r="L37" s="1930"/>
      <c r="M37" s="1930"/>
      <c r="N37" s="1930"/>
      <c r="O37" s="1930"/>
      <c r="P37" s="1930"/>
      <c r="Q37" s="1930"/>
      <c r="R37" s="1930"/>
      <c r="S37" s="1930"/>
      <c r="T37" s="1930"/>
      <c r="U37" s="1930"/>
      <c r="V37" s="1930"/>
    </row>
    <row r="38" spans="1:28" ht="23.25" hidden="1" customHeight="1" x14ac:dyDescent="0.35">
      <c r="B38" s="1930"/>
      <c r="C38" s="1930"/>
      <c r="D38" s="1930"/>
      <c r="E38" s="1930"/>
      <c r="F38" s="1930"/>
      <c r="G38" s="1930"/>
      <c r="H38" s="1930"/>
      <c r="I38" s="1930"/>
      <c r="J38" s="1930"/>
      <c r="K38" s="1930"/>
      <c r="L38" s="1930"/>
      <c r="M38" s="1930"/>
      <c r="N38" s="1930"/>
      <c r="O38" s="1930"/>
      <c r="P38" s="1930"/>
      <c r="Q38" s="1930"/>
      <c r="R38" s="1930"/>
      <c r="S38" s="1930"/>
      <c r="T38" s="1930"/>
      <c r="U38" s="1930"/>
      <c r="V38" s="1930"/>
    </row>
    <row r="39" spans="1:28" s="205" customFormat="1" ht="15.5" hidden="1" x14ac:dyDescent="0.3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5" hidden="1" x14ac:dyDescent="0.3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35">
      <c r="A41" s="188"/>
      <c r="B41" s="1931" t="s">
        <v>216</v>
      </c>
      <c r="C41" s="1931"/>
      <c r="D41" s="1931"/>
      <c r="E41" s="1931"/>
      <c r="F41" s="1931"/>
      <c r="G41" s="1931"/>
      <c r="H41" s="1931"/>
      <c r="I41" s="1931"/>
      <c r="J41" s="1931"/>
      <c r="K41" s="1931"/>
      <c r="L41" s="1931"/>
      <c r="M41" s="1931"/>
      <c r="N41" s="1931"/>
      <c r="O41" s="1931"/>
      <c r="P41" s="1931"/>
      <c r="Q41" s="1931"/>
      <c r="R41" s="1931"/>
      <c r="S41" s="1931"/>
      <c r="T41" s="1931"/>
      <c r="U41" s="1931"/>
      <c r="V41" s="1931"/>
      <c r="W41" s="204"/>
      <c r="X41" s="204"/>
      <c r="Y41" s="188"/>
      <c r="Z41" s="204"/>
      <c r="AA41" s="204"/>
      <c r="AB41" s="204"/>
    </row>
    <row r="42" spans="1:28" s="205" customFormat="1" ht="15.5" hidden="1" x14ac:dyDescent="0.35">
      <c r="A42" s="188"/>
      <c r="B42" s="1931"/>
      <c r="C42" s="1931"/>
      <c r="D42" s="1931"/>
      <c r="E42" s="1931"/>
      <c r="F42" s="1931"/>
      <c r="G42" s="1931"/>
      <c r="H42" s="1931"/>
      <c r="I42" s="1931"/>
      <c r="J42" s="1931"/>
      <c r="K42" s="1931"/>
      <c r="L42" s="1931"/>
      <c r="M42" s="1931"/>
      <c r="N42" s="1931"/>
      <c r="O42" s="1931"/>
      <c r="P42" s="1931"/>
      <c r="Q42" s="1931"/>
      <c r="R42" s="1931"/>
      <c r="S42" s="1931"/>
      <c r="T42" s="1931"/>
      <c r="U42" s="1931"/>
      <c r="V42" s="1931"/>
      <c r="W42" s="204"/>
      <c r="X42" s="204"/>
      <c r="Y42" s="188"/>
      <c r="Z42" s="204"/>
      <c r="AA42" s="204"/>
      <c r="AB42" s="204"/>
    </row>
    <row r="43" spans="1:28" s="205" customFormat="1" ht="15.5" hidden="1" x14ac:dyDescent="0.35">
      <c r="A43" s="188"/>
      <c r="B43" s="1931"/>
      <c r="C43" s="1931"/>
      <c r="D43" s="1931"/>
      <c r="E43" s="1931"/>
      <c r="F43" s="1931"/>
      <c r="G43" s="1931"/>
      <c r="H43" s="1931"/>
      <c r="I43" s="1931"/>
      <c r="J43" s="1931"/>
      <c r="K43" s="1931"/>
      <c r="L43" s="1931"/>
      <c r="M43" s="1931"/>
      <c r="N43" s="1931"/>
      <c r="O43" s="1931"/>
      <c r="P43" s="1931"/>
      <c r="Q43" s="1931"/>
      <c r="R43" s="1931"/>
      <c r="S43" s="1931"/>
      <c r="T43" s="1931"/>
      <c r="U43" s="1931"/>
      <c r="V43" s="1931"/>
      <c r="W43" s="204"/>
      <c r="X43" s="204"/>
      <c r="Y43" s="188"/>
      <c r="Z43" s="204"/>
      <c r="AA43" s="204"/>
      <c r="AB43" s="204"/>
    </row>
    <row r="44" spans="1:28" s="205" customFormat="1" ht="15.5" hidden="1" x14ac:dyDescent="0.35">
      <c r="A44" s="188"/>
      <c r="B44" s="1931"/>
      <c r="C44" s="1931"/>
      <c r="D44" s="1931"/>
      <c r="E44" s="1931"/>
      <c r="F44" s="1931"/>
      <c r="G44" s="1931"/>
      <c r="H44" s="1931"/>
      <c r="I44" s="1931"/>
      <c r="J44" s="1931"/>
      <c r="K44" s="1931"/>
      <c r="L44" s="1931"/>
      <c r="M44" s="1931"/>
      <c r="N44" s="1931"/>
      <c r="O44" s="1931"/>
      <c r="P44" s="1931"/>
      <c r="Q44" s="1931"/>
      <c r="R44" s="1931"/>
      <c r="S44" s="1931"/>
      <c r="T44" s="1931"/>
      <c r="U44" s="1931"/>
      <c r="V44" s="1931"/>
      <c r="W44" s="204"/>
      <c r="X44" s="204"/>
      <c r="Y44" s="188"/>
      <c r="Z44" s="204"/>
      <c r="AA44" s="204"/>
      <c r="AB44" s="204"/>
    </row>
    <row r="45" spans="1:28" s="205" customFormat="1" ht="15" hidden="1" customHeight="1" x14ac:dyDescent="0.3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35">
      <c r="B46" s="1930" t="s">
        <v>217</v>
      </c>
      <c r="C46" s="1930"/>
      <c r="D46" s="1930"/>
      <c r="E46" s="1930"/>
      <c r="F46" s="1930"/>
      <c r="G46" s="1930"/>
      <c r="H46" s="1930"/>
      <c r="I46" s="1930"/>
      <c r="J46" s="1930"/>
      <c r="K46" s="1930"/>
      <c r="L46" s="1930"/>
      <c r="M46" s="1930"/>
      <c r="N46" s="1930"/>
      <c r="O46" s="1930"/>
      <c r="P46" s="1930"/>
      <c r="Q46" s="1930"/>
      <c r="R46" s="1930"/>
      <c r="S46" s="1930"/>
      <c r="T46" s="1930"/>
      <c r="U46" s="1930"/>
      <c r="V46" s="1930"/>
    </row>
    <row r="47" spans="1:28" ht="15.5" hidden="1" x14ac:dyDescent="0.35">
      <c r="B47" s="1930"/>
      <c r="C47" s="1930"/>
      <c r="D47" s="1930"/>
      <c r="E47" s="1930"/>
      <c r="F47" s="1930"/>
      <c r="G47" s="1930"/>
      <c r="H47" s="1930"/>
      <c r="I47" s="1930"/>
      <c r="J47" s="1930"/>
      <c r="K47" s="1930"/>
      <c r="L47" s="1930"/>
      <c r="M47" s="1930"/>
      <c r="N47" s="1930"/>
      <c r="O47" s="1930"/>
      <c r="P47" s="1930"/>
      <c r="Q47" s="1930"/>
      <c r="R47" s="1930"/>
      <c r="S47" s="1930"/>
      <c r="T47" s="1930"/>
      <c r="U47" s="1930"/>
      <c r="V47" s="1930"/>
    </row>
    <row r="48" spans="1:28" ht="15" hidden="1" customHeight="1" x14ac:dyDescent="0.35">
      <c r="B48" s="1930" t="s">
        <v>221</v>
      </c>
      <c r="C48" s="1930"/>
      <c r="D48" s="1930"/>
      <c r="E48" s="1930"/>
      <c r="F48" s="1930"/>
      <c r="G48" s="1930"/>
      <c r="H48" s="1930"/>
      <c r="I48" s="1930"/>
      <c r="J48" s="1930"/>
      <c r="K48" s="1930"/>
      <c r="L48" s="1930"/>
      <c r="M48" s="1930"/>
      <c r="N48" s="1930"/>
      <c r="O48" s="1930"/>
      <c r="P48" s="1930"/>
      <c r="Q48" s="1930"/>
      <c r="R48" s="1930"/>
      <c r="S48" s="1930"/>
      <c r="T48" s="1930"/>
      <c r="U48" s="1930"/>
      <c r="V48" s="1930"/>
    </row>
    <row r="49" spans="1:39" ht="37.5" hidden="1" customHeight="1" x14ac:dyDescent="0.35">
      <c r="B49" s="1930"/>
      <c r="C49" s="1930"/>
      <c r="D49" s="1930"/>
      <c r="E49" s="1930"/>
      <c r="F49" s="1930"/>
      <c r="G49" s="1930"/>
      <c r="H49" s="1930"/>
      <c r="I49" s="1930"/>
      <c r="J49" s="1930"/>
      <c r="K49" s="1930"/>
      <c r="L49" s="1930"/>
      <c r="M49" s="1930"/>
      <c r="N49" s="1930"/>
      <c r="O49" s="1930"/>
      <c r="P49" s="1930"/>
      <c r="Q49" s="1930"/>
      <c r="R49" s="1930"/>
      <c r="S49" s="1930"/>
      <c r="T49" s="1930"/>
      <c r="U49" s="1930"/>
      <c r="V49" s="1930"/>
    </row>
    <row r="50" spans="1:39" ht="15" hidden="1" customHeight="1" x14ac:dyDescent="0.35"/>
    <row r="51" spans="1:39" ht="15" hidden="1" customHeight="1" x14ac:dyDescent="0.35">
      <c r="B51" s="200" t="s">
        <v>184</v>
      </c>
      <c r="F51" s="211" t="s">
        <v>142</v>
      </c>
      <c r="G51" s="211" t="s">
        <v>225</v>
      </c>
    </row>
    <row r="52" spans="1:39" ht="15" hidden="1" customHeight="1" x14ac:dyDescent="0.35">
      <c r="A52" s="188">
        <v>9257021</v>
      </c>
      <c r="B52" s="1908" t="s">
        <v>56</v>
      </c>
      <c r="C52" s="1909"/>
      <c r="D52" s="1909"/>
      <c r="E52" s="1932"/>
      <c r="F52" s="194">
        <v>274420</v>
      </c>
      <c r="G52" s="194">
        <f>F52*(3/12)</f>
        <v>68605</v>
      </c>
      <c r="J52" s="188" t="s">
        <v>226</v>
      </c>
    </row>
    <row r="53" spans="1:39" ht="15" hidden="1" customHeight="1" x14ac:dyDescent="0.35">
      <c r="A53" s="188">
        <v>9257016</v>
      </c>
      <c r="B53" s="1916" t="s">
        <v>95</v>
      </c>
      <c r="C53" s="1917"/>
      <c r="D53" s="1917"/>
      <c r="E53" s="1927"/>
      <c r="F53" s="194">
        <v>582568</v>
      </c>
      <c r="G53" s="194">
        <f>F53</f>
        <v>582568</v>
      </c>
    </row>
    <row r="54" spans="1:39" ht="15" hidden="1" customHeight="1" x14ac:dyDescent="0.35">
      <c r="A54" s="188">
        <v>9257025</v>
      </c>
      <c r="B54" s="1916" t="s">
        <v>52</v>
      </c>
      <c r="C54" s="1917"/>
      <c r="D54" s="1917"/>
      <c r="E54" s="1927"/>
      <c r="F54" s="194">
        <v>327644</v>
      </c>
      <c r="G54" s="194">
        <f>F54</f>
        <v>327644</v>
      </c>
    </row>
    <row r="55" spans="1:39" ht="15" hidden="1" customHeight="1" x14ac:dyDescent="0.35">
      <c r="F55" s="210">
        <f>SUM(F52:F54)</f>
        <v>1184632</v>
      </c>
      <c r="G55" s="212">
        <f>SUM(G52:G54)</f>
        <v>978817</v>
      </c>
      <c r="H55" s="187" t="s">
        <v>227</v>
      </c>
    </row>
    <row r="56" spans="1:39" ht="15" hidden="1" customHeight="1" x14ac:dyDescent="0.35">
      <c r="F56" s="208"/>
      <c r="G56" s="208"/>
    </row>
    <row r="57" spans="1:39" ht="15" hidden="1" customHeight="1" x14ac:dyDescent="0.35">
      <c r="B57" s="187" t="s">
        <v>224</v>
      </c>
    </row>
    <row r="58" spans="1:39" ht="15" hidden="1" customHeight="1" x14ac:dyDescent="0.35"/>
    <row r="59" spans="1:39" ht="15" customHeight="1" x14ac:dyDescent="0.3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35">
      <c r="AC60" s="366"/>
      <c r="AD60" s="208"/>
      <c r="AE60" s="208"/>
      <c r="AG60" s="621"/>
      <c r="AH60" s="621"/>
      <c r="AI60" s="621"/>
      <c r="AJ60" s="621"/>
      <c r="AK60" s="621"/>
      <c r="AL60" s="621"/>
      <c r="AM60" s="621"/>
    </row>
    <row r="61" spans="1:39" ht="15" customHeight="1" x14ac:dyDescent="0.3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35">
      <c r="AA62" s="208">
        <f>((L18+L19+L23+L24+L25)*(7/12))+L11</f>
        <v>235000</v>
      </c>
      <c r="AB62" s="366">
        <f>Q26*(7/12)</f>
        <v>111962.66666666667</v>
      </c>
      <c r="AC62" s="366">
        <f>(7/12)*206000</f>
        <v>120166.66666666667</v>
      </c>
      <c r="AD62" s="208"/>
      <c r="AE62" s="208"/>
      <c r="AG62" s="621"/>
      <c r="AH62" s="620"/>
      <c r="AI62" s="620" t="s">
        <v>402</v>
      </c>
      <c r="AJ62" s="620"/>
      <c r="AK62" s="1925" t="s">
        <v>563</v>
      </c>
      <c r="AL62" s="1925"/>
      <c r="AM62" s="621"/>
    </row>
    <row r="63" spans="1:39" ht="15" customHeight="1" x14ac:dyDescent="0.35">
      <c r="AC63" s="208"/>
      <c r="AD63" s="208"/>
      <c r="AE63" s="208"/>
      <c r="AG63" s="621"/>
      <c r="AH63" s="620"/>
      <c r="AI63" s="620"/>
      <c r="AJ63" s="620"/>
      <c r="AK63" s="1925"/>
      <c r="AL63" s="1925"/>
      <c r="AM63" s="621"/>
    </row>
    <row r="64" spans="1:39" ht="12" customHeight="1" x14ac:dyDescent="0.35">
      <c r="Z64" s="208">
        <f>I26</f>
        <v>317322</v>
      </c>
      <c r="AA64" s="208">
        <f>L26</f>
        <v>360000</v>
      </c>
      <c r="AB64" s="208">
        <f>Q26</f>
        <v>191936</v>
      </c>
      <c r="AC64" s="366">
        <f>206000</f>
        <v>206000</v>
      </c>
      <c r="AD64" s="366">
        <f>U26</f>
        <v>910212</v>
      </c>
      <c r="AE64" s="366">
        <f>SUM(Z64:AD64)</f>
        <v>1985470</v>
      </c>
      <c r="AG64" s="621"/>
      <c r="AH64" s="620"/>
      <c r="AI64" s="620"/>
      <c r="AJ64" s="620"/>
      <c r="AK64" s="1925"/>
      <c r="AL64" s="1925"/>
      <c r="AM64" s="621"/>
    </row>
    <row r="65" spans="2:38" s="189" customFormat="1" ht="12" customHeight="1" x14ac:dyDescent="0.3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3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3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67">
    <mergeCell ref="V2:V3"/>
    <mergeCell ref="F4:F6"/>
    <mergeCell ref="G4:G6"/>
    <mergeCell ref="H4:H6"/>
    <mergeCell ref="I4:I6"/>
    <mergeCell ref="J4:J6"/>
    <mergeCell ref="K4:K6"/>
    <mergeCell ref="L4:L6"/>
    <mergeCell ref="M4:M6"/>
    <mergeCell ref="N4:N6"/>
    <mergeCell ref="Z4:Z6"/>
    <mergeCell ref="AA4:AA6"/>
    <mergeCell ref="AB4:AB6"/>
    <mergeCell ref="O4:O6"/>
    <mergeCell ref="P4:P6"/>
    <mergeCell ref="Q4:Q6"/>
    <mergeCell ref="R4:R6"/>
    <mergeCell ref="S4:S6"/>
    <mergeCell ref="U4:U6"/>
    <mergeCell ref="B14:E14"/>
    <mergeCell ref="AJ4:AJ6"/>
    <mergeCell ref="AK4:AK6"/>
    <mergeCell ref="AL4:AL6"/>
    <mergeCell ref="B6:E6"/>
    <mergeCell ref="B7:E7"/>
    <mergeCell ref="B8:E8"/>
    <mergeCell ref="AC4:AC6"/>
    <mergeCell ref="AD4:AD6"/>
    <mergeCell ref="AE4:AE6"/>
    <mergeCell ref="AG4:AG6"/>
    <mergeCell ref="AH4:AH6"/>
    <mergeCell ref="AI4:AI6"/>
    <mergeCell ref="V4:V6"/>
    <mergeCell ref="X4:X6"/>
    <mergeCell ref="Y4:Y6"/>
    <mergeCell ref="AK62:AL64"/>
    <mergeCell ref="AN4:AN6"/>
    <mergeCell ref="AO4:AO6"/>
    <mergeCell ref="AP4:AP6"/>
    <mergeCell ref="B30:V33"/>
    <mergeCell ref="B36:V38"/>
    <mergeCell ref="B41:V44"/>
    <mergeCell ref="B46:V47"/>
    <mergeCell ref="B48:V49"/>
    <mergeCell ref="B52:E52"/>
    <mergeCell ref="B21:E21"/>
    <mergeCell ref="B22:E22"/>
    <mergeCell ref="B23:E23"/>
    <mergeCell ref="B24:E24"/>
    <mergeCell ref="B25:E25"/>
    <mergeCell ref="B26:E26"/>
    <mergeCell ref="AQ4:AQ6"/>
    <mergeCell ref="AR4:AR6"/>
    <mergeCell ref="AS4:AS6"/>
    <mergeCell ref="B53:E53"/>
    <mergeCell ref="B54:E54"/>
    <mergeCell ref="B15:E15"/>
    <mergeCell ref="B16:E16"/>
    <mergeCell ref="B17:E17"/>
    <mergeCell ref="B18:E18"/>
    <mergeCell ref="B19:E19"/>
    <mergeCell ref="B20:E20"/>
    <mergeCell ref="B9:E9"/>
    <mergeCell ref="B10:E10"/>
    <mergeCell ref="B11:E11"/>
    <mergeCell ref="B12:E12"/>
    <mergeCell ref="B13:E1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D30"/>
  <sheetViews>
    <sheetView workbookViewId="0">
      <selection activeCell="J43" sqref="J43"/>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349" t="s">
        <v>405</v>
      </c>
      <c r="B3" s="350" t="s">
        <v>406</v>
      </c>
      <c r="C3" s="351" t="s">
        <v>616</v>
      </c>
      <c r="D3" s="351" t="s">
        <v>408</v>
      </c>
    </row>
    <row r="4" spans="1:4" x14ac:dyDescent="0.25">
      <c r="A4" s="364">
        <v>9257002</v>
      </c>
      <c r="B4" s="352" t="s">
        <v>409</v>
      </c>
      <c r="C4" s="353">
        <v>51</v>
      </c>
      <c r="D4" s="354">
        <f>($C$24*$C$25)*C4</f>
        <v>22771.5</v>
      </c>
    </row>
    <row r="5" spans="1:4" x14ac:dyDescent="0.25">
      <c r="A5" s="364">
        <v>9257005</v>
      </c>
      <c r="B5" s="352" t="s">
        <v>410</v>
      </c>
      <c r="C5" s="353">
        <v>17</v>
      </c>
      <c r="D5" s="354">
        <f t="shared" ref="D5:D21" si="0">($C$24*$C$25)*C5</f>
        <v>7590.5</v>
      </c>
    </row>
    <row r="6" spans="1:4" x14ac:dyDescent="0.25">
      <c r="A6" s="364">
        <v>9257008</v>
      </c>
      <c r="B6" s="352" t="s">
        <v>87</v>
      </c>
      <c r="C6" s="353">
        <v>26</v>
      </c>
      <c r="D6" s="354">
        <f t="shared" si="0"/>
        <v>11609</v>
      </c>
    </row>
    <row r="7" spans="1:4" x14ac:dyDescent="0.25">
      <c r="A7" s="364">
        <v>9257009</v>
      </c>
      <c r="B7" s="352" t="s">
        <v>411</v>
      </c>
      <c r="C7" s="353">
        <v>26</v>
      </c>
      <c r="D7" s="354">
        <f t="shared" si="0"/>
        <v>11609</v>
      </c>
    </row>
    <row r="8" spans="1:4" x14ac:dyDescent="0.25">
      <c r="A8" s="364">
        <v>9257010</v>
      </c>
      <c r="B8" s="352" t="s">
        <v>412</v>
      </c>
      <c r="C8" s="353">
        <v>16</v>
      </c>
      <c r="D8" s="354">
        <f t="shared" si="0"/>
        <v>7144</v>
      </c>
    </row>
    <row r="9" spans="1:4" x14ac:dyDescent="0.25">
      <c r="A9" s="364">
        <v>9257011</v>
      </c>
      <c r="B9" s="352" t="s">
        <v>413</v>
      </c>
      <c r="C9" s="353">
        <v>15</v>
      </c>
      <c r="D9" s="354">
        <f t="shared" si="0"/>
        <v>6697.5</v>
      </c>
    </row>
    <row r="10" spans="1:4" x14ac:dyDescent="0.25">
      <c r="A10" s="364">
        <v>9257015</v>
      </c>
      <c r="B10" s="352" t="s">
        <v>414</v>
      </c>
      <c r="C10" s="353">
        <v>76</v>
      </c>
      <c r="D10" s="354">
        <f t="shared" si="0"/>
        <v>33934</v>
      </c>
    </row>
    <row r="11" spans="1:4" x14ac:dyDescent="0.25">
      <c r="A11" s="364">
        <v>9257016</v>
      </c>
      <c r="B11" s="352" t="s">
        <v>415</v>
      </c>
      <c r="C11" s="353">
        <v>29</v>
      </c>
      <c r="D11" s="354">
        <f t="shared" si="0"/>
        <v>12948.5</v>
      </c>
    </row>
    <row r="12" spans="1:4" x14ac:dyDescent="0.25">
      <c r="A12" s="364">
        <v>9257021</v>
      </c>
      <c r="B12" s="352" t="s">
        <v>416</v>
      </c>
      <c r="C12" s="353">
        <v>67</v>
      </c>
      <c r="D12" s="354">
        <f t="shared" si="0"/>
        <v>29915.5</v>
      </c>
    </row>
    <row r="13" spans="1:4" x14ac:dyDescent="0.25">
      <c r="A13" s="364">
        <v>9257024</v>
      </c>
      <c r="B13" s="352" t="s">
        <v>417</v>
      </c>
      <c r="C13" s="353">
        <v>21</v>
      </c>
      <c r="D13" s="354">
        <f t="shared" si="0"/>
        <v>9376.5</v>
      </c>
    </row>
    <row r="14" spans="1:4" x14ac:dyDescent="0.25">
      <c r="A14" s="364">
        <v>9257025</v>
      </c>
      <c r="B14" s="352" t="s">
        <v>418</v>
      </c>
      <c r="C14" s="353">
        <v>20</v>
      </c>
      <c r="D14" s="354">
        <f t="shared" si="0"/>
        <v>8930</v>
      </c>
    </row>
    <row r="15" spans="1:4" x14ac:dyDescent="0.25">
      <c r="A15" s="364">
        <v>9257028</v>
      </c>
      <c r="B15" s="352" t="s">
        <v>419</v>
      </c>
      <c r="C15" s="353">
        <v>15</v>
      </c>
      <c r="D15" s="354">
        <f t="shared" si="0"/>
        <v>6697.5</v>
      </c>
    </row>
    <row r="16" spans="1:4" x14ac:dyDescent="0.25">
      <c r="A16" s="364">
        <v>9257029</v>
      </c>
      <c r="B16" s="352" t="s">
        <v>420</v>
      </c>
      <c r="C16" s="353">
        <v>19</v>
      </c>
      <c r="D16" s="354">
        <f t="shared" si="0"/>
        <v>8483.5</v>
      </c>
    </row>
    <row r="17" spans="1:4" x14ac:dyDescent="0.25">
      <c r="A17" s="364">
        <v>9257030</v>
      </c>
      <c r="B17" s="352" t="s">
        <v>421</v>
      </c>
      <c r="C17" s="353">
        <v>20</v>
      </c>
      <c r="D17" s="354">
        <f t="shared" si="0"/>
        <v>8930</v>
      </c>
    </row>
    <row r="18" spans="1:4" x14ac:dyDescent="0.25">
      <c r="A18" s="364">
        <v>9257031</v>
      </c>
      <c r="B18" s="352" t="s">
        <v>422</v>
      </c>
      <c r="C18" s="353">
        <v>17</v>
      </c>
      <c r="D18" s="354">
        <f t="shared" si="0"/>
        <v>7590.5</v>
      </c>
    </row>
    <row r="19" spans="1:4" x14ac:dyDescent="0.25">
      <c r="A19" s="364">
        <v>9257032</v>
      </c>
      <c r="B19" s="352" t="s">
        <v>423</v>
      </c>
      <c r="C19" s="353">
        <v>11</v>
      </c>
      <c r="D19" s="354">
        <f t="shared" si="0"/>
        <v>4911.5</v>
      </c>
    </row>
    <row r="20" spans="1:4" x14ac:dyDescent="0.25">
      <c r="A20" s="364">
        <v>9257033</v>
      </c>
      <c r="B20" s="352" t="s">
        <v>424</v>
      </c>
      <c r="C20" s="353">
        <v>32</v>
      </c>
      <c r="D20" s="354">
        <f t="shared" si="0"/>
        <v>14288</v>
      </c>
    </row>
    <row r="21" spans="1:4" ht="13" thickBot="1" x14ac:dyDescent="0.3">
      <c r="A21" s="365">
        <v>9257034</v>
      </c>
      <c r="B21" s="355" t="s">
        <v>425</v>
      </c>
      <c r="C21" s="356">
        <v>39</v>
      </c>
      <c r="D21" s="357">
        <f t="shared" si="0"/>
        <v>17413.5</v>
      </c>
    </row>
    <row r="22" spans="1:4" x14ac:dyDescent="0.25">
      <c r="A22" s="358"/>
      <c r="B22" s="359"/>
      <c r="C22" s="358"/>
      <c r="D22" s="360"/>
    </row>
    <row r="23" spans="1:4" ht="13" thickBot="1" x14ac:dyDescent="0.3">
      <c r="A23" s="358"/>
      <c r="B23" s="359"/>
      <c r="C23" s="358"/>
      <c r="D23" s="363">
        <f>SUM(D4:D21)</f>
        <v>230840.5</v>
      </c>
    </row>
    <row r="24" spans="1:4" x14ac:dyDescent="0.25">
      <c r="A24" s="358"/>
      <c r="B24" s="361" t="s">
        <v>426</v>
      </c>
      <c r="C24" s="362">
        <v>2.35</v>
      </c>
      <c r="D24" s="359"/>
    </row>
    <row r="25" spans="1:4" x14ac:dyDescent="0.25">
      <c r="A25" s="358"/>
      <c r="B25" s="361" t="s">
        <v>427</v>
      </c>
      <c r="C25" s="358">
        <v>190</v>
      </c>
      <c r="D25" s="359"/>
    </row>
    <row r="26" spans="1:4" x14ac:dyDescent="0.25">
      <c r="A26" s="358"/>
      <c r="B26" s="359"/>
      <c r="C26" s="358"/>
      <c r="D26" s="359"/>
    </row>
    <row r="28" spans="1:4" x14ac:dyDescent="0.25">
      <c r="C28" s="612" t="s">
        <v>617</v>
      </c>
      <c r="D28" s="16">
        <f>'2016-17 Funding Detail'!K25</f>
        <v>255844.5</v>
      </c>
    </row>
    <row r="29" spans="1:4" x14ac:dyDescent="0.25">
      <c r="D29" s="16"/>
    </row>
    <row r="30" spans="1:4" x14ac:dyDescent="0.25">
      <c r="C30" s="6" t="s">
        <v>429</v>
      </c>
      <c r="D30" s="16">
        <f>D23-D28</f>
        <v>-25004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2:I20"/>
  <sheetViews>
    <sheetView workbookViewId="0">
      <selection activeCell="B17" sqref="B17"/>
    </sheetView>
  </sheetViews>
  <sheetFormatPr defaultRowHeight="12.5" x14ac:dyDescent="0.25"/>
  <cols>
    <col min="1" max="1" width="51.453125" customWidth="1"/>
    <col min="2" max="2" width="15.7265625" style="16" customWidth="1"/>
    <col min="3" max="3" width="57.54296875" style="2" customWidth="1"/>
    <col min="4" max="4" width="15.7265625" style="2" customWidth="1"/>
    <col min="5" max="5" width="1" customWidth="1"/>
    <col min="6" max="6" width="15.7265625" style="2" customWidth="1"/>
    <col min="7" max="7" width="0.81640625" customWidth="1"/>
    <col min="8" max="8" width="42" customWidth="1"/>
    <col min="9" max="9" width="15.7265625" customWidth="1"/>
  </cols>
  <sheetData>
    <row r="2" spans="1:9" ht="13" x14ac:dyDescent="0.3">
      <c r="A2" s="1" t="s">
        <v>505</v>
      </c>
      <c r="B2" s="503" t="s">
        <v>622</v>
      </c>
      <c r="C2" s="503"/>
      <c r="D2" s="503" t="s">
        <v>538</v>
      </c>
      <c r="E2" s="504"/>
      <c r="F2" s="503" t="s">
        <v>524</v>
      </c>
    </row>
    <row r="4" spans="1:9" x14ac:dyDescent="0.25">
      <c r="A4" s="6" t="s">
        <v>511</v>
      </c>
      <c r="B4" s="418">
        <f>'2017-18 Funding Detail'!AF25</f>
        <v>25776508.120230969</v>
      </c>
      <c r="D4" s="16">
        <f>SUM('Budget Req 1617'!B4)</f>
        <v>25193996.504152969</v>
      </c>
      <c r="E4" s="502"/>
      <c r="F4" s="16">
        <f>B4-D4</f>
        <v>582511.61607800052</v>
      </c>
      <c r="H4" s="6" t="s">
        <v>527</v>
      </c>
    </row>
    <row r="5" spans="1:9" x14ac:dyDescent="0.25">
      <c r="A5" s="6" t="s">
        <v>512</v>
      </c>
      <c r="B5" s="418">
        <f>'2017-18 Funding Detail'!F25</f>
        <v>889975.85</v>
      </c>
      <c r="D5" s="16">
        <f>SUM('Budget Req 1617'!B5)</f>
        <v>859007</v>
      </c>
      <c r="E5" s="502"/>
      <c r="F5" s="16">
        <f t="shared" ref="F5:F11" si="0">B5-D5</f>
        <v>30968.849999999977</v>
      </c>
      <c r="H5" s="6" t="s">
        <v>370</v>
      </c>
    </row>
    <row r="6" spans="1:9" x14ac:dyDescent="0.25">
      <c r="A6" s="612" t="s">
        <v>603</v>
      </c>
      <c r="B6" s="418">
        <f>SUM('2017-18 Funding Detail'!G14)</f>
        <v>41787</v>
      </c>
      <c r="D6" s="16">
        <v>0</v>
      </c>
      <c r="E6" s="502"/>
      <c r="F6" s="16">
        <f t="shared" si="0"/>
        <v>41787</v>
      </c>
      <c r="H6" s="6"/>
    </row>
    <row r="7" spans="1:9" x14ac:dyDescent="0.25">
      <c r="A7" s="6" t="s">
        <v>506</v>
      </c>
      <c r="B7" s="418">
        <f>'2017-18 Other Funding'!AA64+'2016-17 Other Funding'!AB64+'2016-17 Other Funding'!AC64</f>
        <v>757936</v>
      </c>
      <c r="D7" s="16">
        <f>SUM('Budget Req 1617'!B6)</f>
        <v>757936</v>
      </c>
      <c r="E7" s="502"/>
      <c r="F7" s="16">
        <f t="shared" si="0"/>
        <v>0</v>
      </c>
      <c r="H7" s="415" t="s">
        <v>212</v>
      </c>
      <c r="I7" s="346"/>
    </row>
    <row r="8" spans="1:9" ht="13" x14ac:dyDescent="0.3">
      <c r="A8" s="6" t="s">
        <v>183</v>
      </c>
      <c r="B8" s="418">
        <f>SUM('2017-18 Other Funding'!AN26)</f>
        <v>237991.5</v>
      </c>
      <c r="D8" s="16">
        <f>SUM('Budget Req 1617'!B7)</f>
        <v>317322</v>
      </c>
      <c r="E8" s="502"/>
      <c r="F8" s="16">
        <f t="shared" si="0"/>
        <v>-79330.5</v>
      </c>
      <c r="H8" s="416"/>
      <c r="I8" s="417"/>
    </row>
    <row r="9" spans="1:9" x14ac:dyDescent="0.25">
      <c r="A9" s="6" t="s">
        <v>184</v>
      </c>
      <c r="B9" s="418">
        <f>SUM('2017-18 Other Funding'!AR26)</f>
        <v>1119519</v>
      </c>
      <c r="D9" s="16">
        <f>SUM('Budget Req 1617'!B8)</f>
        <v>910212</v>
      </c>
      <c r="E9" s="502"/>
      <c r="F9" s="16">
        <f t="shared" si="0"/>
        <v>209307</v>
      </c>
      <c r="H9" s="20"/>
      <c r="I9" s="20"/>
    </row>
    <row r="10" spans="1:9" x14ac:dyDescent="0.25">
      <c r="A10" s="6" t="s">
        <v>507</v>
      </c>
      <c r="B10" s="670">
        <v>1312995</v>
      </c>
      <c r="D10" s="16">
        <f>SUM('Budget Req 1617'!B9)</f>
        <v>1235496</v>
      </c>
      <c r="E10" s="502"/>
      <c r="F10" s="16">
        <f t="shared" si="0"/>
        <v>77499</v>
      </c>
      <c r="H10" s="611"/>
      <c r="I10" s="20"/>
    </row>
    <row r="11" spans="1:9" x14ac:dyDescent="0.25">
      <c r="A11" s="6" t="s">
        <v>508</v>
      </c>
      <c r="B11" s="671">
        <v>291991</v>
      </c>
      <c r="D11" s="16">
        <f>SUM('Budget Req 1617'!B10)</f>
        <v>291991</v>
      </c>
      <c r="E11" s="502"/>
      <c r="F11" s="16">
        <f t="shared" si="0"/>
        <v>0</v>
      </c>
      <c r="H11" s="612" t="s">
        <v>560</v>
      </c>
    </row>
    <row r="12" spans="1:9" ht="13" x14ac:dyDescent="0.3">
      <c r="A12" s="6"/>
      <c r="B12" s="346"/>
      <c r="D12" s="16"/>
      <c r="E12" s="502"/>
      <c r="F12" s="419"/>
    </row>
    <row r="13" spans="1:9" ht="13" x14ac:dyDescent="0.3">
      <c r="A13" s="424" t="s">
        <v>633</v>
      </c>
      <c r="B13" s="174">
        <f>SUM(B4:B11)</f>
        <v>30428703.470230971</v>
      </c>
      <c r="D13" s="419">
        <f>SUM(D4:D12)</f>
        <v>29565960.504152969</v>
      </c>
      <c r="E13" s="419"/>
      <c r="F13" s="419">
        <f>SUM(F4:F12)</f>
        <v>862742.96607800049</v>
      </c>
      <c r="G13" s="20"/>
      <c r="H13" s="423"/>
    </row>
    <row r="14" spans="1:9" ht="13" x14ac:dyDescent="0.3">
      <c r="A14" s="424"/>
      <c r="B14" s="174"/>
      <c r="D14" s="419"/>
      <c r="E14" s="419"/>
      <c r="F14" s="419"/>
      <c r="G14" s="20"/>
      <c r="H14" s="423"/>
    </row>
    <row r="15" spans="1:9" ht="13" x14ac:dyDescent="0.3">
      <c r="A15" s="424" t="s">
        <v>640</v>
      </c>
      <c r="B15" s="174">
        <v>79331</v>
      </c>
      <c r="D15" s="419"/>
      <c r="E15" s="419"/>
      <c r="F15" s="419"/>
      <c r="G15" s="20"/>
      <c r="H15" s="423"/>
    </row>
    <row r="16" spans="1:9" ht="13" x14ac:dyDescent="0.3">
      <c r="A16" s="6"/>
      <c r="B16" s="174"/>
      <c r="F16" s="417"/>
      <c r="H16" s="420"/>
    </row>
    <row r="17" spans="1:8" ht="13" x14ac:dyDescent="0.3">
      <c r="A17" s="610" t="s">
        <v>627</v>
      </c>
      <c r="B17" s="614">
        <v>29540671</v>
      </c>
      <c r="D17" s="16">
        <f>B17-D13</f>
        <v>-25289.504152968526</v>
      </c>
      <c r="F17" s="417"/>
      <c r="H17" s="420"/>
    </row>
    <row r="18" spans="1:8" ht="13" x14ac:dyDescent="0.3">
      <c r="A18" s="6"/>
      <c r="B18" s="174"/>
      <c r="F18" s="417"/>
      <c r="H18" s="420"/>
    </row>
    <row r="19" spans="1:8" ht="13" x14ac:dyDescent="0.3">
      <c r="A19" s="420" t="s">
        <v>104</v>
      </c>
      <c r="B19" s="174">
        <f>(B13+B15)-B17</f>
        <v>967363.47023097053</v>
      </c>
      <c r="C19" s="672" t="s">
        <v>628</v>
      </c>
      <c r="F19" s="417"/>
      <c r="H19" s="420"/>
    </row>
    <row r="20" spans="1:8" ht="13" x14ac:dyDescent="0.3">
      <c r="A20" s="6"/>
      <c r="B20" s="174"/>
      <c r="F20" s="417"/>
      <c r="H20" s="420"/>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24"/>
    <pageSetUpPr fitToPage="1"/>
  </sheetPr>
  <dimension ref="A1:K39"/>
  <sheetViews>
    <sheetView zoomScale="85" workbookViewId="0">
      <selection activeCell="F37" sqref="F37"/>
    </sheetView>
  </sheetViews>
  <sheetFormatPr defaultRowHeight="12.5" x14ac:dyDescent="0.25"/>
  <cols>
    <col min="1" max="1" width="8" customWidth="1"/>
    <col min="2" max="2" width="31.1796875" style="2" customWidth="1"/>
    <col min="3" max="3" width="4.81640625" style="3" customWidth="1"/>
    <col min="4" max="4" width="14.54296875" style="3" customWidth="1"/>
    <col min="5" max="5" width="14.7265625" customWidth="1"/>
    <col min="6" max="6" width="4.453125" customWidth="1"/>
    <col min="7" max="7" width="40.7265625" customWidth="1"/>
    <col min="8" max="8" width="65.453125" customWidth="1"/>
    <col min="9" max="9" width="8.54296875" customWidth="1"/>
  </cols>
  <sheetData>
    <row r="1" spans="1:11" ht="20" x14ac:dyDescent="0.4">
      <c r="A1" s="4" t="s">
        <v>234</v>
      </c>
    </row>
    <row r="3" spans="1:11" ht="13" x14ac:dyDescent="0.3">
      <c r="A3" s="7" t="s">
        <v>0</v>
      </c>
    </row>
    <row r="4" spans="1:11" ht="13" thickBot="1" x14ac:dyDescent="0.3">
      <c r="A4" s="1"/>
    </row>
    <row r="5" spans="1:11" ht="13" x14ac:dyDescent="0.3">
      <c r="B5" s="5" t="s">
        <v>1</v>
      </c>
      <c r="D5" s="5" t="s">
        <v>57</v>
      </c>
      <c r="E5" s="83"/>
      <c r="F5" s="27" t="s">
        <v>9</v>
      </c>
      <c r="G5" s="28"/>
      <c r="H5" s="28"/>
      <c r="I5" s="28"/>
      <c r="J5" s="29"/>
      <c r="K5" s="19"/>
    </row>
    <row r="6" spans="1:11" ht="13" thickBot="1" x14ac:dyDescent="0.3">
      <c r="E6" s="81"/>
      <c r="F6" s="1852" t="s">
        <v>65</v>
      </c>
      <c r="G6" s="1853"/>
      <c r="H6" s="1853"/>
      <c r="I6" s="1853"/>
      <c r="J6" s="1854"/>
      <c r="K6" s="19"/>
    </row>
    <row r="7" spans="1:11" ht="13" thickBot="1" x14ac:dyDescent="0.3">
      <c r="A7" s="24" t="s">
        <v>2</v>
      </c>
      <c r="B7" s="25" t="s">
        <v>50</v>
      </c>
      <c r="D7" s="16">
        <v>11692.020638096787</v>
      </c>
      <c r="E7" s="139"/>
      <c r="F7" s="1852"/>
      <c r="G7" s="1853"/>
      <c r="H7" s="1853"/>
      <c r="I7" s="1853"/>
      <c r="J7" s="1854"/>
      <c r="K7" s="19"/>
    </row>
    <row r="8" spans="1:11" ht="13" thickBot="1" x14ac:dyDescent="0.3">
      <c r="D8" s="16"/>
      <c r="E8" s="139"/>
      <c r="F8" s="1852" t="s">
        <v>14</v>
      </c>
      <c r="G8" s="1853"/>
      <c r="H8" s="1853"/>
      <c r="I8" s="1853"/>
      <c r="J8" s="1854"/>
      <c r="K8" s="19"/>
    </row>
    <row r="9" spans="1:11" ht="13" thickBot="1" x14ac:dyDescent="0.3">
      <c r="A9" s="24" t="s">
        <v>3</v>
      </c>
      <c r="B9" s="25" t="s">
        <v>4</v>
      </c>
      <c r="D9" s="16">
        <v>7350.1419469065795</v>
      </c>
      <c r="E9" s="139"/>
      <c r="F9" s="1852"/>
      <c r="G9" s="1853"/>
      <c r="H9" s="1853"/>
      <c r="I9" s="1853"/>
      <c r="J9" s="1854"/>
      <c r="K9" s="19"/>
    </row>
    <row r="10" spans="1:11" ht="13" thickBot="1" x14ac:dyDescent="0.3">
      <c r="D10" s="16"/>
      <c r="E10" s="139"/>
      <c r="F10" s="1852" t="s">
        <v>12</v>
      </c>
      <c r="G10" s="1853"/>
      <c r="H10" s="1853"/>
      <c r="I10" s="1853"/>
      <c r="J10" s="1854"/>
      <c r="K10" s="19"/>
    </row>
    <row r="11" spans="1:11" ht="13" thickBot="1" x14ac:dyDescent="0.3">
      <c r="A11" s="24" t="s">
        <v>5</v>
      </c>
      <c r="B11" s="25" t="s">
        <v>6</v>
      </c>
      <c r="D11" s="16">
        <v>6243.7244928897762</v>
      </c>
      <c r="E11" s="139"/>
      <c r="F11" s="1852"/>
      <c r="G11" s="1853"/>
      <c r="H11" s="1853"/>
      <c r="I11" s="1853"/>
      <c r="J11" s="1854"/>
      <c r="K11" s="19"/>
    </row>
    <row r="12" spans="1:11" ht="13" thickBot="1" x14ac:dyDescent="0.3">
      <c r="D12" s="16"/>
      <c r="E12" s="139"/>
      <c r="F12" s="30" t="s">
        <v>13</v>
      </c>
      <c r="G12" s="21"/>
      <c r="H12" s="21"/>
      <c r="I12" s="21"/>
      <c r="J12" s="31"/>
      <c r="K12" s="19"/>
    </row>
    <row r="13" spans="1:11" ht="13" thickBot="1" x14ac:dyDescent="0.3">
      <c r="A13" s="24" t="s">
        <v>7</v>
      </c>
      <c r="B13" s="25" t="s">
        <v>50</v>
      </c>
      <c r="D13" s="16">
        <v>11692.020638096787</v>
      </c>
      <c r="E13" s="139"/>
      <c r="F13" s="30" t="s">
        <v>11</v>
      </c>
      <c r="G13" s="21"/>
      <c r="H13" s="21"/>
      <c r="I13" s="21"/>
      <c r="J13" s="31"/>
      <c r="K13" s="19"/>
    </row>
    <row r="14" spans="1:11" ht="13" thickBot="1" x14ac:dyDescent="0.3">
      <c r="D14" s="16"/>
      <c r="E14" s="139"/>
      <c r="F14" s="30" t="s">
        <v>10</v>
      </c>
      <c r="G14" s="21"/>
      <c r="H14" s="21"/>
      <c r="I14" s="21"/>
      <c r="J14" s="31"/>
      <c r="K14" s="19"/>
    </row>
    <row r="15" spans="1:11" ht="13" thickBot="1" x14ac:dyDescent="0.3">
      <c r="A15" s="24" t="s">
        <v>8</v>
      </c>
      <c r="B15" s="26" t="s">
        <v>50</v>
      </c>
      <c r="D15" s="16">
        <v>11692.020638096787</v>
      </c>
      <c r="E15" s="139"/>
      <c r="F15" s="30" t="s">
        <v>47</v>
      </c>
      <c r="G15" s="21"/>
      <c r="H15" s="21"/>
      <c r="I15" s="21"/>
      <c r="J15" s="31"/>
      <c r="K15" s="19"/>
    </row>
    <row r="16" spans="1:11" ht="13" thickBot="1" x14ac:dyDescent="0.3">
      <c r="A16" s="20"/>
      <c r="B16" s="23"/>
      <c r="D16" s="16"/>
      <c r="E16" s="139"/>
      <c r="F16" s="30" t="s">
        <v>48</v>
      </c>
      <c r="G16" s="21"/>
      <c r="H16" s="21"/>
      <c r="I16" s="21"/>
      <c r="J16" s="31"/>
      <c r="K16" s="19"/>
    </row>
    <row r="17" spans="1:10" ht="13" thickBot="1" x14ac:dyDescent="0.3">
      <c r="A17" s="24" t="s">
        <v>8</v>
      </c>
      <c r="B17" s="26" t="s">
        <v>107</v>
      </c>
      <c r="D17" s="16">
        <v>2635.0478891670464</v>
      </c>
      <c r="E17" s="139"/>
      <c r="F17" s="32" t="s">
        <v>110</v>
      </c>
      <c r="G17" s="67"/>
      <c r="H17" s="67"/>
      <c r="I17" s="67"/>
      <c r="J17" s="68"/>
    </row>
    <row r="19" spans="1:10" ht="13" x14ac:dyDescent="0.3">
      <c r="A19" s="7" t="s">
        <v>45</v>
      </c>
    </row>
    <row r="21" spans="1:10" ht="26" x14ac:dyDescent="0.3">
      <c r="B21" s="11" t="s">
        <v>19</v>
      </c>
      <c r="C21" s="12"/>
      <c r="D21" s="13" t="s">
        <v>20</v>
      </c>
      <c r="E21" s="15" t="s">
        <v>21</v>
      </c>
      <c r="G21" s="14" t="s">
        <v>43</v>
      </c>
      <c r="H21" s="15" t="s">
        <v>44</v>
      </c>
    </row>
    <row r="22" spans="1:10" x14ac:dyDescent="0.25">
      <c r="B22" s="10" t="s">
        <v>15</v>
      </c>
      <c r="C22" s="668"/>
      <c r="D22" s="17">
        <v>314686.51772419503</v>
      </c>
      <c r="E22" s="18">
        <v>69201.680689977453</v>
      </c>
      <c r="G22" s="9" t="s">
        <v>111</v>
      </c>
      <c r="H22" s="8" t="s">
        <v>29</v>
      </c>
    </row>
    <row r="23" spans="1:10" x14ac:dyDescent="0.25">
      <c r="B23" s="10" t="s">
        <v>16</v>
      </c>
      <c r="C23" s="668"/>
      <c r="D23" s="17">
        <v>405763.82046267512</v>
      </c>
      <c r="E23" s="18">
        <v>88790.687513148558</v>
      </c>
      <c r="G23" s="9" t="s">
        <v>23</v>
      </c>
      <c r="H23" s="8" t="s">
        <v>30</v>
      </c>
    </row>
    <row r="24" spans="1:10" x14ac:dyDescent="0.25">
      <c r="B24" s="10" t="s">
        <v>17</v>
      </c>
      <c r="C24" s="668"/>
      <c r="D24" s="17">
        <v>418723.18610831723</v>
      </c>
      <c r="E24" s="18">
        <v>117027.3922528728</v>
      </c>
      <c r="G24" s="9" t="s">
        <v>28</v>
      </c>
      <c r="H24" s="8" t="s">
        <v>31</v>
      </c>
    </row>
    <row r="25" spans="1:10" x14ac:dyDescent="0.25">
      <c r="B25" s="10" t="s">
        <v>18</v>
      </c>
      <c r="C25" s="668"/>
      <c r="D25" s="17">
        <v>493762.11190507573</v>
      </c>
      <c r="E25" s="18">
        <v>131719.7894229154</v>
      </c>
      <c r="G25" s="9" t="s">
        <v>24</v>
      </c>
      <c r="H25" s="8" t="s">
        <v>32</v>
      </c>
    </row>
    <row r="26" spans="1:10" x14ac:dyDescent="0.25">
      <c r="B26" s="85" t="s">
        <v>49</v>
      </c>
      <c r="C26" s="537"/>
      <c r="D26" s="86">
        <v>280697.16623783787</v>
      </c>
      <c r="E26" s="86">
        <v>55663.058379368813</v>
      </c>
      <c r="G26" s="9" t="s">
        <v>25</v>
      </c>
      <c r="H26" s="8" t="s">
        <v>33</v>
      </c>
    </row>
    <row r="27" spans="1:10" x14ac:dyDescent="0.25">
      <c r="B27" s="140" t="s">
        <v>22</v>
      </c>
      <c r="C27" s="537"/>
      <c r="D27" s="86">
        <v>360067.26321081078</v>
      </c>
      <c r="E27" s="86">
        <v>58044.118057617408</v>
      </c>
      <c r="G27" s="9" t="s">
        <v>26</v>
      </c>
      <c r="H27" s="8" t="s">
        <v>34</v>
      </c>
    </row>
    <row r="28" spans="1:10" x14ac:dyDescent="0.25">
      <c r="B28" s="22"/>
      <c r="C28" s="268"/>
      <c r="D28" s="84"/>
      <c r="E28" s="84"/>
      <c r="G28" s="9" t="s">
        <v>27</v>
      </c>
      <c r="H28" s="8" t="s">
        <v>35</v>
      </c>
    </row>
    <row r="29" spans="1:10" x14ac:dyDescent="0.25">
      <c r="B29" s="22"/>
      <c r="C29" s="268"/>
      <c r="D29" s="84"/>
      <c r="E29" s="84"/>
      <c r="G29" s="9" t="s">
        <v>63</v>
      </c>
      <c r="H29" s="8" t="s">
        <v>58</v>
      </c>
    </row>
    <row r="30" spans="1:10" x14ac:dyDescent="0.25">
      <c r="B30" s="22"/>
      <c r="C30" s="268"/>
      <c r="D30" s="268"/>
      <c r="E30" s="20"/>
      <c r="G30" s="9" t="s">
        <v>109</v>
      </c>
      <c r="H30" s="8" t="s">
        <v>39</v>
      </c>
    </row>
    <row r="31" spans="1:10" ht="13" x14ac:dyDescent="0.3">
      <c r="B31" s="342"/>
      <c r="C31" s="268"/>
      <c r="D31" s="343"/>
      <c r="E31" s="20"/>
      <c r="H31" s="8" t="s">
        <v>36</v>
      </c>
    </row>
    <row r="32" spans="1:10" x14ac:dyDescent="0.25">
      <c r="B32" s="344"/>
      <c r="C32" s="345"/>
      <c r="D32" s="346"/>
      <c r="E32" s="20"/>
      <c r="H32" s="8" t="s">
        <v>37</v>
      </c>
    </row>
    <row r="33" spans="2:8" x14ac:dyDescent="0.25">
      <c r="B33" s="22"/>
      <c r="C33" s="268"/>
      <c r="D33" s="84"/>
      <c r="E33" s="20"/>
      <c r="H33" s="8" t="s">
        <v>40</v>
      </c>
    </row>
    <row r="34" spans="2:8" x14ac:dyDescent="0.25">
      <c r="H34" s="8" t="s">
        <v>38</v>
      </c>
    </row>
    <row r="35" spans="2:8" x14ac:dyDescent="0.25">
      <c r="B35" s="267"/>
      <c r="C35" s="268"/>
      <c r="D35" s="268"/>
      <c r="H35" s="8" t="s">
        <v>41</v>
      </c>
    </row>
    <row r="36" spans="2:8" x14ac:dyDescent="0.25">
      <c r="B36" s="22"/>
      <c r="C36" s="268"/>
      <c r="D36" s="84"/>
      <c r="H36" s="8" t="s">
        <v>59</v>
      </c>
    </row>
    <row r="37" spans="2:8" x14ac:dyDescent="0.25">
      <c r="B37" s="22"/>
      <c r="C37" s="268"/>
      <c r="D37" s="84"/>
      <c r="H37" s="8" t="s">
        <v>42</v>
      </c>
    </row>
    <row r="38" spans="2:8" x14ac:dyDescent="0.25">
      <c r="B38" s="22"/>
      <c r="C38" s="268"/>
      <c r="D38" s="84"/>
    </row>
    <row r="39" spans="2:8" x14ac:dyDescent="0.25">
      <c r="B39" s="22"/>
      <c r="C39" s="268"/>
      <c r="D39" s="84"/>
    </row>
  </sheetData>
  <mergeCells count="3">
    <mergeCell ref="F6:J7"/>
    <mergeCell ref="F8:J9"/>
    <mergeCell ref="F10:J11"/>
  </mergeCells>
  <phoneticPr fontId="5" type="noConversion"/>
  <pageMargins left="0.75" right="0.75" top="1" bottom="1" header="0.5" footer="0.5"/>
  <pageSetup paperSize="9" scale="79" orientation="landscape" r:id="rId1"/>
  <headerFooter alignWithMargins="0">
    <oddFooter>&amp;F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25"/>
  <sheetViews>
    <sheetView zoomScale="80" zoomScaleNormal="80" workbookViewId="0">
      <selection activeCell="B5" sqref="B5"/>
    </sheetView>
  </sheetViews>
  <sheetFormatPr defaultColWidth="9.1796875" defaultRowHeight="15.5" x14ac:dyDescent="0.35"/>
  <cols>
    <col min="1" max="1" width="63.54296875" style="1630" customWidth="1"/>
    <col min="2" max="2" width="32.26953125" style="1630" customWidth="1"/>
    <col min="3" max="3" width="3.1796875" style="1630" bestFit="1" customWidth="1"/>
    <col min="4" max="4" width="32.54296875" style="1630" customWidth="1"/>
    <col min="5" max="5" width="8" style="1630" customWidth="1"/>
    <col min="6" max="6" width="51" style="1630" customWidth="1"/>
    <col min="7" max="7" width="41.81640625" style="1630" customWidth="1"/>
    <col min="8" max="8" width="4.1796875" style="1630" bestFit="1" customWidth="1"/>
    <col min="9" max="9" width="3" style="1630" customWidth="1"/>
    <col min="10" max="10" width="19.1796875" style="1630" customWidth="1"/>
    <col min="11" max="11" width="10.26953125" style="1630" bestFit="1" customWidth="1"/>
    <col min="12" max="16384" width="9.1796875" style="1630"/>
  </cols>
  <sheetData>
    <row r="1" spans="1:13" x14ac:dyDescent="0.35">
      <c r="A1" s="1649" t="s">
        <v>350</v>
      </c>
      <c r="B1" s="1649"/>
      <c r="C1" s="1649"/>
      <c r="D1" s="1650"/>
      <c r="E1" s="1649"/>
      <c r="F1" s="1650"/>
      <c r="G1" s="1739"/>
      <c r="H1" s="1651"/>
      <c r="I1" s="1651"/>
      <c r="J1" s="1651"/>
      <c r="K1" s="1651"/>
      <c r="L1" s="1651"/>
      <c r="M1" s="1651"/>
    </row>
    <row r="2" spans="1:13" ht="15" customHeight="1" x14ac:dyDescent="0.35">
      <c r="A2" s="1649"/>
      <c r="B2" s="1649"/>
      <c r="C2" s="1649"/>
      <c r="D2" s="1650"/>
      <c r="E2" s="1649"/>
      <c r="F2" s="1650"/>
      <c r="G2" s="1651"/>
      <c r="H2" s="1651"/>
      <c r="I2" s="1651"/>
      <c r="J2" s="1651"/>
      <c r="K2" s="1651"/>
      <c r="L2" s="1651"/>
      <c r="M2" s="1651"/>
    </row>
    <row r="3" spans="1:13" ht="15.75" customHeight="1" x14ac:dyDescent="0.35">
      <c r="A3" s="1649" t="s">
        <v>198</v>
      </c>
      <c r="B3" s="1740"/>
      <c r="C3" s="1740"/>
      <c r="D3" s="1740"/>
      <c r="E3" s="1740"/>
      <c r="F3" s="1740"/>
      <c r="G3" s="1740"/>
      <c r="H3" s="1651"/>
      <c r="I3" s="1651"/>
      <c r="J3" s="1651"/>
      <c r="K3" s="1654"/>
      <c r="L3" s="1651"/>
      <c r="M3" s="1655"/>
    </row>
    <row r="4" spans="1:13" x14ac:dyDescent="0.35">
      <c r="A4" s="1649"/>
      <c r="G4" s="1660"/>
      <c r="H4" s="1651"/>
      <c r="I4" s="1651"/>
      <c r="J4" s="1651"/>
      <c r="K4" s="1654"/>
      <c r="L4" s="1651"/>
      <c r="M4" s="1651"/>
    </row>
    <row r="5" spans="1:13" x14ac:dyDescent="0.35">
      <c r="A5" s="1656" t="s">
        <v>197</v>
      </c>
      <c r="B5" s="1657"/>
      <c r="C5" s="1644"/>
      <c r="D5" s="1659" t="e">
        <f>VLOOKUP(B5,'2021 Funding Detail'!A4:AN23,2,FALSE)</f>
        <v>#N/A</v>
      </c>
      <c r="E5" s="1658"/>
      <c r="F5" s="1659"/>
      <c r="G5" s="1660"/>
      <c r="H5" s="1651"/>
      <c r="I5" s="1651"/>
      <c r="J5" s="1651"/>
      <c r="K5" s="1654"/>
      <c r="L5" s="1651"/>
      <c r="M5" s="1651"/>
    </row>
    <row r="6" spans="1:13" x14ac:dyDescent="0.35">
      <c r="A6" s="1656"/>
      <c r="B6" s="1644"/>
      <c r="C6" s="1644"/>
      <c r="D6" s="1659"/>
      <c r="E6" s="1658"/>
      <c r="F6" s="1659"/>
      <c r="G6" s="1660"/>
      <c r="H6" s="1651"/>
      <c r="I6" s="1651"/>
      <c r="J6" s="1651"/>
      <c r="K6" s="1654"/>
      <c r="L6" s="1651"/>
      <c r="M6" s="1651"/>
    </row>
    <row r="7" spans="1:13" x14ac:dyDescent="0.35">
      <c r="A7" s="1650"/>
      <c r="B7" s="1849"/>
      <c r="C7" s="1849"/>
      <c r="D7" s="1849"/>
      <c r="E7" s="1651"/>
      <c r="F7" s="2002" t="s">
        <v>980</v>
      </c>
      <c r="G7" s="2002"/>
      <c r="H7" s="1651"/>
      <c r="I7" s="1651"/>
      <c r="J7" s="1663"/>
      <c r="K7" s="1651"/>
      <c r="L7" s="1651"/>
      <c r="M7" s="1651"/>
    </row>
    <row r="8" spans="1:13" x14ac:dyDescent="0.35">
      <c r="A8" s="1650"/>
      <c r="B8" s="1649"/>
      <c r="C8" s="1649"/>
      <c r="D8" s="1649"/>
      <c r="E8" s="1651"/>
      <c r="F8" s="1651"/>
      <c r="G8" s="1651"/>
      <c r="H8" s="1651"/>
      <c r="I8" s="1651"/>
      <c r="J8" s="1663"/>
      <c r="K8" s="1651"/>
      <c r="L8" s="1651"/>
      <c r="M8" s="1651"/>
    </row>
    <row r="9" spans="1:13" x14ac:dyDescent="0.35">
      <c r="A9" s="1741" t="s">
        <v>320</v>
      </c>
      <c r="B9" s="1649" t="s">
        <v>935</v>
      </c>
      <c r="C9" s="1650"/>
      <c r="D9" s="1659" t="s">
        <v>976</v>
      </c>
      <c r="E9" s="1651"/>
      <c r="F9" s="1741" t="s">
        <v>320</v>
      </c>
      <c r="G9" s="1654" t="s">
        <v>981</v>
      </c>
      <c r="H9" s="1651"/>
      <c r="I9" s="1651"/>
      <c r="J9" s="1663"/>
      <c r="K9" s="1651"/>
      <c r="L9" s="1651"/>
      <c r="M9" s="1651"/>
    </row>
    <row r="10" spans="1:13" x14ac:dyDescent="0.35">
      <c r="A10" s="1650" t="s">
        <v>20</v>
      </c>
      <c r="B10" s="1645" t="e">
        <f>VLOOKUP($B$5,'2021 Funding Detail'!$A$4:$BB$23,4,(FALSE))</f>
        <v>#N/A</v>
      </c>
      <c r="C10" s="1676"/>
      <c r="D10" s="1645" t="e">
        <f>VLOOKUP($B$5,'2122 Funding Detail'!$A$4:$Z$21,4,(FALSE))</f>
        <v>#N/A</v>
      </c>
      <c r="E10" s="1664"/>
      <c r="F10" s="1650" t="s">
        <v>20</v>
      </c>
      <c r="G10" s="1645" t="e">
        <f>VLOOKUP($B$5,'2122 Funding Detail'!$A$4:$Z$21,4,(FALSE))</f>
        <v>#N/A</v>
      </c>
      <c r="H10" s="1742"/>
      <c r="I10" s="1650"/>
      <c r="J10" s="1663"/>
      <c r="K10" s="1651"/>
      <c r="L10" s="1651"/>
      <c r="M10" s="1651"/>
    </row>
    <row r="11" spans="1:13" x14ac:dyDescent="0.35">
      <c r="A11" s="1650" t="s">
        <v>760</v>
      </c>
      <c r="B11" s="1645" t="e">
        <f>VLOOKUP(B5,'2021 Funding Detail'!A4:BB23,5,(FALSE))</f>
        <v>#N/A</v>
      </c>
      <c r="C11" s="1676"/>
      <c r="D11" s="1645" t="e">
        <f>VLOOKUP($B$5,'2122 Funding Detail'!$A$4:$Z$21,5,(FALSE))</f>
        <v>#N/A</v>
      </c>
      <c r="E11" s="1664"/>
      <c r="F11" s="1650" t="s">
        <v>760</v>
      </c>
      <c r="G11" s="1645" t="e">
        <f>VLOOKUP($B$5,'2122 Funding Detail'!$A$4:$Z$21,5,(FALSE))</f>
        <v>#N/A</v>
      </c>
      <c r="H11" s="1742"/>
      <c r="I11" s="1650"/>
      <c r="J11" s="1663"/>
      <c r="K11" s="1651"/>
      <c r="L11" s="1651"/>
      <c r="M11" s="1651"/>
    </row>
    <row r="12" spans="1:13" x14ac:dyDescent="0.35">
      <c r="A12" s="1650" t="s">
        <v>901</v>
      </c>
      <c r="B12" s="1645" t="e">
        <f>VLOOKUP($B$5,'2021 Funding Detail'!$A$4:$BB$23,8,FALSE)-VLOOKUP($B$5,'2021 Funding Detail'!$A$4:$BB$23,16,FALSE)</f>
        <v>#N/A</v>
      </c>
      <c r="C12" s="1676"/>
      <c r="D12" s="1645" t="e">
        <f>VLOOKUP($B$5,'2122 Funding Detail'!$A$4:$Z$21,8,(FALSE))-VLOOKUP($B$5,'2122 Funding Detail'!$A$4:$Z$21,14,(FALSE))</f>
        <v>#N/A</v>
      </c>
      <c r="E12" s="1662">
        <v>2</v>
      </c>
      <c r="F12" s="1650" t="s">
        <v>901</v>
      </c>
      <c r="G12" s="1645" t="e">
        <f>VLOOKUP($B$5,'2122 Funding Detail'!$A$4:$Z$21,8,(FALSE))-VLOOKUP($B$5,'2122 Funding Detail'!$A$4:$Z$21,14,(FALSE))</f>
        <v>#N/A</v>
      </c>
      <c r="H12" s="1742"/>
      <c r="I12" s="1650"/>
      <c r="J12" s="1663"/>
      <c r="K12" s="1651"/>
      <c r="L12" s="1651"/>
      <c r="M12" s="1651"/>
    </row>
    <row r="13" spans="1:13" x14ac:dyDescent="0.35">
      <c r="A13" s="1650" t="s">
        <v>902</v>
      </c>
      <c r="B13" s="1645" t="e">
        <f>VLOOKUP($B$5,'2021 Funding Detail'!$A$4:$BB$23,16,FALSE)</f>
        <v>#N/A</v>
      </c>
      <c r="C13" s="1676"/>
      <c r="D13" s="1645" t="e">
        <f>VLOOKUP(B5,'2122 Funding Detail'!A3:N21,14,(FALSE))</f>
        <v>#N/A</v>
      </c>
      <c r="E13" s="1662"/>
      <c r="F13" s="1650" t="s">
        <v>902</v>
      </c>
      <c r="G13" s="1645" t="e">
        <f>VLOOKUP($B$5,'2122 Funding Detail'!$A$4:$Z$21,14,(FALSE))</f>
        <v>#N/A</v>
      </c>
      <c r="H13" s="1742"/>
      <c r="I13" s="1650"/>
      <c r="J13" s="1663"/>
      <c r="K13" s="1651"/>
      <c r="L13" s="1651"/>
      <c r="M13" s="1651"/>
    </row>
    <row r="14" spans="1:13" x14ac:dyDescent="0.35">
      <c r="A14" s="1650" t="s">
        <v>804</v>
      </c>
      <c r="B14" s="1645" t="e">
        <f>VLOOKUP($B$5,'2021 Funding Detail'!$A$4:$BB$23,9,FALSE)</f>
        <v>#N/A</v>
      </c>
      <c r="C14" s="1676"/>
      <c r="D14" s="1645" t="e">
        <f>VLOOKUP($B$5,'2122 Funding Detail'!$A$4:$Z$21,9,(FALSE))</f>
        <v>#N/A</v>
      </c>
      <c r="E14" s="1662"/>
      <c r="F14" s="1644" t="s">
        <v>804</v>
      </c>
      <c r="G14" s="1645" t="e">
        <f>VLOOKUP($B$5,'2122 Funding Detail'!$A$4:$Z$21,9,(FALSE))</f>
        <v>#N/A</v>
      </c>
      <c r="H14" s="1742"/>
      <c r="I14" s="1650"/>
      <c r="J14" s="1663"/>
      <c r="K14" s="1651"/>
      <c r="L14" s="1651"/>
      <c r="M14" s="1651"/>
    </row>
    <row r="15" spans="1:13" x14ac:dyDescent="0.35">
      <c r="A15" s="1650" t="s">
        <v>85</v>
      </c>
      <c r="B15" s="1645" t="e">
        <f>VLOOKUP($B$5,'2021 Funding Detail'!$A$4:$BB$23,10,FALSE)</f>
        <v>#N/A</v>
      </c>
      <c r="C15" s="1676"/>
      <c r="D15" s="1645" t="e">
        <f>VLOOKUP($B$5,'2122 Funding Detail'!$A$4:$Z$21,10,(FALSE))</f>
        <v>#N/A</v>
      </c>
      <c r="E15" s="1662"/>
      <c r="F15" s="1644" t="s">
        <v>85</v>
      </c>
      <c r="G15" s="1645" t="e">
        <f>VLOOKUP($B$5,'2122 Funding Detail'!$A$4:$Z$21,10,(FALSE))</f>
        <v>#N/A</v>
      </c>
      <c r="H15" s="1742"/>
      <c r="I15" s="1651"/>
      <c r="J15" s="1663"/>
      <c r="K15" s="1651"/>
      <c r="L15" s="1651"/>
      <c r="M15" s="1651"/>
    </row>
    <row r="16" spans="1:13" x14ac:dyDescent="0.35">
      <c r="A16" s="1650" t="s">
        <v>325</v>
      </c>
      <c r="B16" s="1645" t="e">
        <f>VLOOKUP($B$5,'2021 Funding Detail'!$A$4:$BB$23,33,FALSE)</f>
        <v>#N/A</v>
      </c>
      <c r="C16" s="1743"/>
      <c r="D16" s="1744"/>
      <c r="E16" s="1662"/>
      <c r="F16" s="1644" t="s">
        <v>325</v>
      </c>
      <c r="G16" s="1745" t="e">
        <f>VLOOKUP($B$5,'2122 Funding Detail'!$A$4:$Z$21,17,(FALSE))</f>
        <v>#N/A</v>
      </c>
      <c r="H16" s="1742"/>
      <c r="I16" s="1651"/>
      <c r="J16" s="1663"/>
      <c r="K16" s="1651"/>
      <c r="L16" s="1651"/>
      <c r="M16" s="1651"/>
    </row>
    <row r="17" spans="1:13" x14ac:dyDescent="0.35">
      <c r="A17" s="1650" t="s">
        <v>351</v>
      </c>
      <c r="B17" s="1666" t="e">
        <f>VLOOKUP($B$5,'2021 Funding Detail'!$A$4:$BB$23,34,FALSE)</f>
        <v>#N/A</v>
      </c>
      <c r="C17" s="1686">
        <v>1</v>
      </c>
      <c r="D17" s="1669" t="e">
        <f>VLOOKUP($B$5,'2122 Funding Detail'!$A$4:$AA$22,12,(FALSE))</f>
        <v>#N/A</v>
      </c>
      <c r="E17" s="1662">
        <v>3</v>
      </c>
      <c r="F17" s="1659" t="s">
        <v>318</v>
      </c>
      <c r="G17" s="1683" t="e">
        <f>VLOOKUP($B$5,'2122 Funding Detail'!$A$4:$Z$21,18,(FALSE))</f>
        <v>#N/A</v>
      </c>
      <c r="H17" s="1662">
        <v>11</v>
      </c>
      <c r="I17" s="1651"/>
      <c r="J17" s="1746"/>
      <c r="K17" s="1747"/>
      <c r="L17" s="1651"/>
      <c r="M17" s="1651"/>
    </row>
    <row r="18" spans="1:13" x14ac:dyDescent="0.35">
      <c r="E18" s="1662"/>
      <c r="I18" s="1651"/>
      <c r="J18" s="1748"/>
      <c r="K18" s="1747"/>
      <c r="L18" s="1651"/>
      <c r="M18" s="1651"/>
    </row>
    <row r="19" spans="1:13" x14ac:dyDescent="0.35">
      <c r="A19" s="1650"/>
      <c r="B19" s="1675" t="s">
        <v>936</v>
      </c>
      <c r="C19" s="1743"/>
      <c r="D19" s="1675" t="s">
        <v>977</v>
      </c>
      <c r="E19" s="1662"/>
      <c r="F19" s="1680" t="s">
        <v>319</v>
      </c>
      <c r="G19" s="1671"/>
      <c r="H19" s="1662"/>
      <c r="I19" s="1651"/>
      <c r="J19" s="1748"/>
      <c r="K19" s="1651"/>
      <c r="L19" s="1651"/>
      <c r="M19" s="1651"/>
    </row>
    <row r="20" spans="1:13" x14ac:dyDescent="0.35">
      <c r="A20" s="1650"/>
      <c r="B20" s="1675"/>
      <c r="C20" s="1743"/>
      <c r="D20" s="1675"/>
      <c r="E20" s="1662"/>
      <c r="F20" s="1681" t="s">
        <v>322</v>
      </c>
      <c r="G20" s="1671"/>
      <c r="H20" s="1749"/>
      <c r="I20" s="1651"/>
      <c r="K20" s="1651"/>
      <c r="L20" s="1651"/>
      <c r="M20" s="1651"/>
    </row>
    <row r="21" spans="1:13" ht="13.5" customHeight="1" x14ac:dyDescent="0.35">
      <c r="A21" s="1650" t="s">
        <v>767</v>
      </c>
      <c r="B21" s="1750" t="e">
        <f>VLOOKUP($B$5,'2021 Funding Detail'!$A$4:$O$23,13,(FALSE))</f>
        <v>#N/A</v>
      </c>
      <c r="C21" s="1686"/>
      <c r="D21" s="1751" t="e">
        <f>VLOOKUP($B$5,'2122 Funding Detail'!$A$4:$M$21,13,(FALSE))</f>
        <v>#N/A</v>
      </c>
      <c r="E21" s="1662">
        <v>4</v>
      </c>
      <c r="F21" s="1645" t="s">
        <v>323</v>
      </c>
      <c r="G21" s="1676" t="e">
        <f>VLOOKUP($B$5,'2122 Funding Detail'!$A$4:$Z$21,6,(FALSE))</f>
        <v>#N/A</v>
      </c>
      <c r="H21" s="1670">
        <v>12</v>
      </c>
      <c r="I21" s="1651"/>
      <c r="J21" s="1663"/>
      <c r="K21" s="1752"/>
      <c r="L21" s="1651"/>
      <c r="M21" s="1651"/>
    </row>
    <row r="22" spans="1:13" ht="13.5" customHeight="1" x14ac:dyDescent="0.35">
      <c r="A22" s="1650"/>
      <c r="B22" s="1676"/>
      <c r="C22" s="1743"/>
      <c r="D22" s="1676"/>
      <c r="E22" s="1662"/>
      <c r="F22" s="1645" t="s">
        <v>589</v>
      </c>
      <c r="G22" s="1676" t="e">
        <f>VLOOKUP($B$5,'2122 Funding Detail'!$A$4:$Z$21,7,(FALSE))</f>
        <v>#N/A</v>
      </c>
      <c r="H22" s="1670">
        <v>13</v>
      </c>
      <c r="I22" s="1651"/>
      <c r="J22" s="1663"/>
      <c r="K22" s="1752"/>
      <c r="L22" s="1651"/>
      <c r="M22" s="1651"/>
    </row>
    <row r="23" spans="1:13" x14ac:dyDescent="0.35">
      <c r="A23" s="1753" t="s">
        <v>979</v>
      </c>
      <c r="B23" s="1754" t="e">
        <f>VLOOKUP($B$5,'2122 Funding Detail'!$A$4:$Z$21,17,(FALSE))</f>
        <v>#N/A</v>
      </c>
      <c r="C23" s="1686">
        <v>5</v>
      </c>
      <c r="D23" s="1676"/>
      <c r="E23" s="1662"/>
      <c r="G23" s="1746"/>
      <c r="H23" s="1662"/>
      <c r="I23" s="1651"/>
      <c r="J23" s="1663"/>
      <c r="K23" s="1747"/>
      <c r="L23" s="1651"/>
      <c r="M23" s="1651"/>
    </row>
    <row r="24" spans="1:13" x14ac:dyDescent="0.35">
      <c r="A24" s="1650"/>
      <c r="F24" s="1755" t="s">
        <v>321</v>
      </c>
      <c r="G24" s="1671"/>
      <c r="H24" s="1670"/>
      <c r="I24" s="1651"/>
      <c r="J24" s="1663"/>
      <c r="K24" s="1651"/>
      <c r="L24" s="1651"/>
      <c r="M24" s="1651"/>
    </row>
    <row r="25" spans="1:13" ht="12.75" customHeight="1" x14ac:dyDescent="0.35">
      <c r="A25" s="1650" t="s">
        <v>1267</v>
      </c>
      <c r="B25" s="1746" t="e">
        <f>VLOOKUP(B5,'2122 Pay &amp; Pension Allocations'!A70:W87,3,(FALSE))</f>
        <v>#N/A</v>
      </c>
      <c r="C25" s="1746"/>
      <c r="D25" s="1746" t="e">
        <f>VLOOKUP(B5,'2122 Pay &amp; Pension Allocations'!A70:W87,22,(FALSE))</f>
        <v>#N/A</v>
      </c>
      <c r="E25" s="1630">
        <v>6</v>
      </c>
      <c r="F25" s="1645" t="s">
        <v>183</v>
      </c>
      <c r="G25" s="1676" t="e">
        <f>VLOOKUP($B$5,'2122 Other Funding'!$A$7:$BO$25,64,(FALSE))</f>
        <v>#N/A</v>
      </c>
      <c r="H25" s="1670">
        <v>14</v>
      </c>
      <c r="J25" s="1756"/>
      <c r="K25" s="1747"/>
      <c r="L25" s="1651"/>
      <c r="M25" s="1651"/>
    </row>
    <row r="26" spans="1:13" ht="12.75" customHeight="1" x14ac:dyDescent="0.35">
      <c r="A26" s="1757"/>
      <c r="B26" s="1758"/>
      <c r="C26" s="1758"/>
      <c r="D26" s="1758"/>
      <c r="F26" s="1645" t="s">
        <v>506</v>
      </c>
      <c r="G26" s="1676" t="e">
        <f>VLOOKUP($B$5,'2122 Other Funding'!$A$7:$BO$25,65,(FALSE))</f>
        <v>#N/A</v>
      </c>
      <c r="H26" s="1670">
        <v>15</v>
      </c>
      <c r="I26" s="1662"/>
      <c r="J26" s="1756"/>
      <c r="K26" s="1651"/>
      <c r="L26" s="1651"/>
      <c r="M26" s="1651"/>
    </row>
    <row r="27" spans="1:13" x14ac:dyDescent="0.35">
      <c r="A27" s="1759"/>
      <c r="B27" s="1829" t="s">
        <v>1350</v>
      </c>
      <c r="C27" s="1829"/>
      <c r="D27" s="1830" t="s">
        <v>1351</v>
      </c>
      <c r="F27" s="1645" t="s">
        <v>184</v>
      </c>
      <c r="G27" s="1760" t="e">
        <f>VLOOKUP($B$5,'2122 Other Funding'!$A$7:$BO$25,66,(FALSE))</f>
        <v>#N/A</v>
      </c>
      <c r="H27" s="1670">
        <v>16</v>
      </c>
      <c r="I27" s="1662"/>
      <c r="J27" s="1756"/>
      <c r="K27" s="1651"/>
      <c r="L27" s="1651"/>
      <c r="M27" s="1651"/>
    </row>
    <row r="28" spans="1:13" x14ac:dyDescent="0.35">
      <c r="A28" s="1761" t="s">
        <v>1352</v>
      </c>
      <c r="B28" s="1762" t="e">
        <f>VLOOKUP(B5,'Pay &amp; Pension Workings'!A112:H129,8,(FALSE))</f>
        <v>#N/A</v>
      </c>
      <c r="C28" s="1762"/>
      <c r="D28" s="1763" t="e">
        <f>VLOOKUP(B5,'TA Workings'!A112:J129,10,(FALSE))</f>
        <v>#N/A</v>
      </c>
      <c r="F28" s="1645" t="s">
        <v>324</v>
      </c>
      <c r="G28" s="1764" t="e">
        <f>SUM(G21:G27)</f>
        <v>#N/A</v>
      </c>
      <c r="H28" s="1662">
        <v>17</v>
      </c>
      <c r="I28" s="1662"/>
      <c r="J28" s="1756"/>
      <c r="K28" s="1651"/>
      <c r="L28" s="1651"/>
      <c r="M28" s="1651"/>
    </row>
    <row r="29" spans="1:13" x14ac:dyDescent="0.35">
      <c r="A29" s="1765" t="s">
        <v>1372</v>
      </c>
      <c r="B29" s="1766" t="e">
        <f>D12+D13+D14-B28-D28</f>
        <v>#N/A</v>
      </c>
      <c r="C29" s="1767"/>
      <c r="D29" s="1768"/>
      <c r="E29" s="1630">
        <v>7</v>
      </c>
      <c r="F29" s="1645"/>
      <c r="G29" s="1671"/>
      <c r="H29" s="1662"/>
      <c r="I29" s="1662"/>
      <c r="J29" s="1756"/>
      <c r="K29" s="1651"/>
      <c r="L29" s="1651"/>
      <c r="M29" s="1651"/>
    </row>
    <row r="30" spans="1:13" ht="12.75" customHeight="1" thickBot="1" x14ac:dyDescent="0.4">
      <c r="A30" s="1650"/>
      <c r="F30" s="1646" t="s">
        <v>982</v>
      </c>
      <c r="G30" s="1674" t="e">
        <f>G17+G28</f>
        <v>#N/A</v>
      </c>
      <c r="H30" s="1662">
        <v>18</v>
      </c>
      <c r="I30" s="1662"/>
      <c r="J30" s="1756"/>
      <c r="K30" s="1651"/>
      <c r="L30" s="1651"/>
      <c r="M30" s="1651"/>
    </row>
    <row r="31" spans="1:13" ht="12.75" customHeight="1" thickBot="1" x14ac:dyDescent="0.4">
      <c r="A31" s="1650"/>
      <c r="B31" s="1769" t="s">
        <v>748</v>
      </c>
      <c r="C31" s="1770"/>
      <c r="D31" s="1771" t="e">
        <f>VLOOKUP(B5,'2122 Funding Detail'!A4:Z21,3,(FALSE))</f>
        <v>#N/A</v>
      </c>
      <c r="E31" s="1662">
        <v>8</v>
      </c>
      <c r="I31" s="1651"/>
      <c r="J31" s="1645"/>
      <c r="K31" s="1747"/>
      <c r="L31" s="1651"/>
      <c r="M31" s="1651"/>
    </row>
    <row r="32" spans="1:13" ht="12.75" customHeight="1" thickBot="1" x14ac:dyDescent="0.4">
      <c r="A32" s="1772"/>
      <c r="B32" s="1739"/>
      <c r="C32" s="1664"/>
      <c r="D32" s="1739"/>
      <c r="E32" s="1662"/>
      <c r="I32" s="1651"/>
      <c r="J32" s="1645"/>
      <c r="K32" s="1651"/>
      <c r="L32" s="1651"/>
      <c r="M32" s="1651"/>
    </row>
    <row r="33" spans="1:16" ht="12.75" customHeight="1" x14ac:dyDescent="0.35">
      <c r="A33" s="1644"/>
      <c r="B33" s="1688" t="s">
        <v>239</v>
      </c>
      <c r="C33" s="1773"/>
      <c r="D33" s="1774" t="s">
        <v>240</v>
      </c>
      <c r="E33" s="1662">
        <v>9</v>
      </c>
      <c r="I33" s="1651"/>
      <c r="J33" s="1645"/>
      <c r="K33" s="1651"/>
      <c r="L33" s="1651"/>
      <c r="M33" s="1651"/>
      <c r="N33" s="1730"/>
      <c r="O33" s="1730"/>
      <c r="P33" s="1730"/>
    </row>
    <row r="34" spans="1:16" ht="12.75" customHeight="1" x14ac:dyDescent="0.35">
      <c r="A34" s="1772"/>
      <c r="B34" s="1687" t="s">
        <v>839</v>
      </c>
      <c r="C34" s="1775"/>
      <c r="D34" s="1776" t="e">
        <f>VLOOKUP($B$5,'2122 Band Calculations'!$A$6:$J$23,4,(FALSE))</f>
        <v>#N/A</v>
      </c>
      <c r="E34" s="1662"/>
      <c r="I34" s="1651"/>
      <c r="J34" s="1645"/>
      <c r="K34" s="1651"/>
      <c r="L34" s="1651"/>
      <c r="M34" s="1651"/>
      <c r="N34" s="1730"/>
      <c r="O34" s="1730"/>
      <c r="P34" s="1730"/>
    </row>
    <row r="35" spans="1:16" x14ac:dyDescent="0.35">
      <c r="A35" s="1650"/>
      <c r="B35" s="1687" t="s">
        <v>840</v>
      </c>
      <c r="C35" s="1775"/>
      <c r="D35" s="1776" t="e">
        <f>VLOOKUP($B$5,'2122 Band Calculations'!$A$6:$J$23,5,(FALSE))</f>
        <v>#N/A</v>
      </c>
      <c r="E35" s="1662"/>
      <c r="I35" s="1651"/>
      <c r="K35" s="1651"/>
      <c r="L35" s="1651"/>
      <c r="M35" s="1651"/>
      <c r="N35" s="1730"/>
      <c r="O35" s="1730"/>
      <c r="P35" s="1730"/>
    </row>
    <row r="36" spans="1:16" ht="12.75" customHeight="1" thickBot="1" x14ac:dyDescent="0.4">
      <c r="B36" s="1687" t="s">
        <v>841</v>
      </c>
      <c r="C36" s="1775"/>
      <c r="D36" s="1776" t="e">
        <f>VLOOKUP($B$5,'2122 Band Calculations'!$A$6:$J$23,6,(FALSE))</f>
        <v>#N/A</v>
      </c>
      <c r="E36" s="1662"/>
      <c r="G36" s="1777"/>
      <c r="I36" s="1651"/>
      <c r="J36" s="1681"/>
      <c r="K36" s="1651"/>
      <c r="L36" s="1651"/>
      <c r="M36" s="1778"/>
      <c r="N36" s="1779"/>
      <c r="O36" s="1730"/>
      <c r="P36" s="1730"/>
    </row>
    <row r="37" spans="1:16" ht="12.75" customHeight="1" x14ac:dyDescent="0.35">
      <c r="A37" s="1753"/>
      <c r="B37" s="1687" t="s">
        <v>842</v>
      </c>
      <c r="C37" s="1775"/>
      <c r="D37" s="1776" t="e">
        <f>VLOOKUP($B$5,'2122 Band Calculations'!$A$6:$J$23,7,(FALSE))</f>
        <v>#N/A</v>
      </c>
      <c r="E37" s="1662"/>
      <c r="F37" s="1688" t="s">
        <v>983</v>
      </c>
      <c r="G37" s="1780" t="s">
        <v>138</v>
      </c>
      <c r="H37" s="1781"/>
      <c r="I37" s="1651"/>
      <c r="J37" s="1681"/>
      <c r="K37" s="1651"/>
      <c r="L37" s="1651"/>
      <c r="M37" s="1778"/>
      <c r="N37" s="1782"/>
      <c r="O37" s="1730"/>
      <c r="P37" s="1730"/>
    </row>
    <row r="38" spans="1:16" x14ac:dyDescent="0.35">
      <c r="B38" s="1687" t="s">
        <v>843</v>
      </c>
      <c r="C38" s="1775"/>
      <c r="D38" s="1776" t="e">
        <f>VLOOKUP($B$5,'2122 Band Calculations'!$A$6:$J$23,8,(FALSE))</f>
        <v>#N/A</v>
      </c>
      <c r="E38" s="1662"/>
      <c r="F38" s="1689" t="s">
        <v>984</v>
      </c>
      <c r="G38" s="1783" t="e">
        <f>VLOOKUP(B5,'2122 Band Calculations'!A6:K23,11,(FALSE))</f>
        <v>#N/A</v>
      </c>
      <c r="H38" s="1662">
        <v>19</v>
      </c>
      <c r="I38" s="1651"/>
      <c r="J38" s="1663"/>
      <c r="K38" s="1651"/>
      <c r="L38" s="1651"/>
      <c r="M38" s="1778"/>
      <c r="N38" s="1779"/>
      <c r="O38" s="1730"/>
      <c r="P38" s="1730"/>
    </row>
    <row r="39" spans="1:16" ht="13.5" customHeight="1" x14ac:dyDescent="0.35">
      <c r="A39" s="1650"/>
      <c r="B39" s="1690" t="s">
        <v>844</v>
      </c>
      <c r="C39" s="1784"/>
      <c r="D39" s="1785" t="e">
        <f>VLOOKUP($B$5,'2122 Band Calculations'!$A$6:$J$23,9,(FALSE))</f>
        <v>#N/A</v>
      </c>
      <c r="E39" s="1662"/>
      <c r="F39" s="1689" t="s">
        <v>985</v>
      </c>
      <c r="G39" s="1783" t="e">
        <f>VLOOKUP(B5,'2122 Band Calculations'!A50:K67,11,(FALSE))</f>
        <v>#N/A</v>
      </c>
      <c r="H39" s="1662"/>
      <c r="I39" s="1651"/>
      <c r="J39" s="1663"/>
      <c r="K39" s="1651"/>
      <c r="L39" s="1651"/>
      <c r="M39" s="1651"/>
      <c r="N39" s="1730"/>
      <c r="O39" s="1730"/>
      <c r="P39" s="1730"/>
    </row>
    <row r="40" spans="1:16" ht="13.5" customHeight="1" thickBot="1" x14ac:dyDescent="0.4">
      <c r="A40" s="1650"/>
      <c r="B40" s="1691" t="s">
        <v>845</v>
      </c>
      <c r="C40" s="1786"/>
      <c r="D40" s="1787" t="e">
        <f>VLOOKUP($B$5,'2122 Band Calculations'!$A$6:$J$23,10,(FALSE))</f>
        <v>#N/A</v>
      </c>
      <c r="E40" s="1662"/>
      <c r="F40" s="1689"/>
      <c r="G40" s="1783"/>
      <c r="H40" s="1662"/>
      <c r="I40" s="1651"/>
      <c r="J40" s="1663"/>
      <c r="K40" s="1651"/>
      <c r="L40" s="1651"/>
      <c r="M40" s="1651"/>
      <c r="N40" s="1730"/>
      <c r="O40" s="1730"/>
      <c r="P40" s="1730"/>
    </row>
    <row r="41" spans="1:16" ht="12.75" customHeight="1" thickTop="1" thickBot="1" x14ac:dyDescent="0.4">
      <c r="A41" s="1650"/>
      <c r="B41" s="1671"/>
      <c r="C41" s="1671"/>
      <c r="D41" s="1788"/>
      <c r="E41" s="1662"/>
      <c r="F41" s="1689" t="s">
        <v>986</v>
      </c>
      <c r="G41" s="1783" t="e">
        <f>VLOOKUP(B5,'2122 Band Calculations'!A28:K45,11,(FALSE))</f>
        <v>#N/A</v>
      </c>
      <c r="H41" s="1662">
        <v>20</v>
      </c>
      <c r="I41" s="1651"/>
      <c r="J41" s="1663"/>
      <c r="K41" s="1651"/>
      <c r="L41" s="1651"/>
      <c r="M41" s="1651"/>
    </row>
    <row r="42" spans="1:16" ht="12.75" customHeight="1" thickBot="1" x14ac:dyDescent="0.4">
      <c r="A42" s="1650"/>
      <c r="B42" s="1692" t="s">
        <v>327</v>
      </c>
      <c r="C42" s="1773"/>
      <c r="D42" s="1789" t="s">
        <v>148</v>
      </c>
      <c r="E42" s="1662">
        <v>10</v>
      </c>
      <c r="F42" s="1693" t="s">
        <v>987</v>
      </c>
      <c r="G42" s="1790" t="e">
        <f>VLOOKUP(B5,'2122 Band Calculations'!A72:K89,11,(FALSE))</f>
        <v>#N/A</v>
      </c>
      <c r="H42" s="1662"/>
      <c r="I42" s="1651"/>
      <c r="J42" s="1663"/>
      <c r="K42" s="1651"/>
      <c r="L42" s="1651"/>
      <c r="M42" s="1651"/>
    </row>
    <row r="43" spans="1:16" ht="12.75" customHeight="1" thickBot="1" x14ac:dyDescent="0.4">
      <c r="A43" s="1650"/>
      <c r="B43" s="1694" t="s">
        <v>326</v>
      </c>
      <c r="C43" s="1791"/>
      <c r="D43" s="1792" t="e">
        <f>VLOOKUP(B5,'2122 Funding Detail'!A4:P21,16,(FALSE))</f>
        <v>#N/A</v>
      </c>
      <c r="E43" s="1662"/>
      <c r="I43" s="1651"/>
      <c r="J43" s="1663"/>
      <c r="K43" s="1651"/>
      <c r="L43" s="1651"/>
      <c r="M43" s="1651"/>
    </row>
    <row r="44" spans="1:16" ht="16" thickBot="1" x14ac:dyDescent="0.4">
      <c r="A44" s="1650"/>
      <c r="B44" s="1671"/>
      <c r="C44" s="1671"/>
      <c r="D44" s="1674"/>
      <c r="E44" s="1662"/>
      <c r="F44" s="1662"/>
      <c r="G44" s="1671"/>
      <c r="H44" s="1645"/>
      <c r="I44" s="1730"/>
    </row>
    <row r="45" spans="1:16" x14ac:dyDescent="0.35">
      <c r="A45" s="1793" t="s">
        <v>978</v>
      </c>
      <c r="B45" s="2003" t="s">
        <v>1</v>
      </c>
      <c r="C45" s="1794"/>
      <c r="D45" s="2003" t="s">
        <v>57</v>
      </c>
      <c r="E45" s="1695" t="s">
        <v>484</v>
      </c>
      <c r="F45" s="1696"/>
      <c r="G45" s="1697"/>
      <c r="H45" s="1750">
        <v>21</v>
      </c>
      <c r="I45" s="1730"/>
    </row>
    <row r="46" spans="1:16" x14ac:dyDescent="0.35">
      <c r="A46" s="1795" t="s">
        <v>235</v>
      </c>
      <c r="B46" s="2004"/>
      <c r="C46" s="1796"/>
      <c r="D46" s="2004"/>
      <c r="E46" s="1698"/>
      <c r="F46" s="1699"/>
      <c r="G46" s="1700"/>
      <c r="H46" s="1645"/>
      <c r="I46" s="1730"/>
    </row>
    <row r="47" spans="1:16" x14ac:dyDescent="0.35">
      <c r="A47" s="1687" t="s">
        <v>839</v>
      </c>
      <c r="B47" s="1721" t="s">
        <v>6</v>
      </c>
      <c r="C47" s="1721"/>
      <c r="D47" s="1797">
        <f>VLOOKUP(A47,'2122 Band Values'!$A$5:$BE$24,57,(FALSE))</f>
        <v>6286.622831709632</v>
      </c>
      <c r="E47" s="1701" t="s">
        <v>482</v>
      </c>
      <c r="F47" s="1702"/>
      <c r="G47" s="1703"/>
      <c r="H47" s="1645"/>
      <c r="I47" s="1730"/>
    </row>
    <row r="48" spans="1:16" x14ac:dyDescent="0.35">
      <c r="A48" s="1687" t="s">
        <v>840</v>
      </c>
      <c r="B48" s="1721" t="s">
        <v>4</v>
      </c>
      <c r="C48" s="1721"/>
      <c r="D48" s="1797">
        <f>VLOOKUP(A48,'2122 Band Values'!$A$5:$BE$24,57,(FALSE))</f>
        <v>7483.9238429115967</v>
      </c>
      <c r="E48" s="1701" t="s">
        <v>481</v>
      </c>
      <c r="F48" s="1702"/>
      <c r="G48" s="1703"/>
      <c r="H48" s="1664"/>
      <c r="I48" s="1730"/>
    </row>
    <row r="49" spans="1:17" x14ac:dyDescent="0.35">
      <c r="A49" s="1687" t="s">
        <v>841</v>
      </c>
      <c r="B49" s="1798" t="s">
        <v>50</v>
      </c>
      <c r="C49" s="1721"/>
      <c r="D49" s="1797">
        <f>VLOOKUP(A49,'2122 Band Values'!$A$5:$BE$24,57,(FALSE))</f>
        <v>12059.161550335179</v>
      </c>
      <c r="E49" s="1701" t="s">
        <v>480</v>
      </c>
      <c r="F49" s="1702"/>
      <c r="G49" s="1703"/>
      <c r="H49" s="1664"/>
      <c r="I49" s="1730"/>
    </row>
    <row r="50" spans="1:17" x14ac:dyDescent="0.35">
      <c r="A50" s="1687" t="s">
        <v>842</v>
      </c>
      <c r="B50" s="1701" t="s">
        <v>702</v>
      </c>
      <c r="C50" s="1721"/>
      <c r="D50" s="1797">
        <f>VLOOKUP(A50,'2122 Band Values'!$A$5:$BE$24,57,(FALSE))</f>
        <v>14998.922493994021</v>
      </c>
      <c r="E50" s="1701" t="s">
        <v>703</v>
      </c>
      <c r="F50" s="1702"/>
      <c r="G50" s="1703"/>
      <c r="H50" s="1664"/>
      <c r="I50" s="1730"/>
    </row>
    <row r="51" spans="1:17" ht="12" customHeight="1" x14ac:dyDescent="0.35">
      <c r="A51" s="1687" t="s">
        <v>843</v>
      </c>
      <c r="B51" s="1721" t="s">
        <v>702</v>
      </c>
      <c r="C51" s="1721"/>
      <c r="D51" s="1797">
        <f>VLOOKUP(A51,'2122 Band Values'!$A$5:$BE$24,57,(FALSE))</f>
        <v>14998.922493994021</v>
      </c>
      <c r="E51" s="1701" t="s">
        <v>703</v>
      </c>
      <c r="F51" s="1702"/>
      <c r="G51" s="1703"/>
      <c r="H51" s="1664"/>
      <c r="I51" s="1730"/>
    </row>
    <row r="52" spans="1:17" ht="12" customHeight="1" x14ac:dyDescent="0.35">
      <c r="A52" s="1690" t="s">
        <v>844</v>
      </c>
      <c r="B52" s="1701" t="s">
        <v>702</v>
      </c>
      <c r="C52" s="1721"/>
      <c r="D52" s="1797">
        <f>VLOOKUP(A52,'2122 Band Values'!$A$5:$BE$24,57,(FALSE))</f>
        <v>16085.825977239108</v>
      </c>
      <c r="E52" s="1704" t="s">
        <v>704</v>
      </c>
      <c r="F52" s="1705"/>
      <c r="G52" s="1706"/>
      <c r="H52" s="1664"/>
      <c r="I52" s="1730"/>
    </row>
    <row r="53" spans="1:17" ht="12" customHeight="1" x14ac:dyDescent="0.35">
      <c r="A53" s="1707" t="s">
        <v>845</v>
      </c>
      <c r="B53" s="1721" t="s">
        <v>632</v>
      </c>
      <c r="C53" s="1721"/>
      <c r="D53" s="1797">
        <f>VLOOKUP(A53,'2122 Band Values'!$A$5:$BE$24,57,(FALSE))</f>
        <v>22876.188537117905</v>
      </c>
      <c r="E53" s="1708" t="s">
        <v>653</v>
      </c>
      <c r="F53" s="1709"/>
      <c r="G53" s="1710"/>
      <c r="H53" s="1664"/>
      <c r="I53" s="1730"/>
    </row>
    <row r="54" spans="1:17" ht="12" customHeight="1" x14ac:dyDescent="0.35">
      <c r="A54" s="1711"/>
      <c r="B54" s="1799"/>
      <c r="C54" s="1799"/>
      <c r="D54" s="1800"/>
      <c r="E54" s="1712"/>
      <c r="F54" s="1713"/>
      <c r="G54" s="1714"/>
      <c r="H54" s="1664"/>
      <c r="I54" s="1730"/>
    </row>
    <row r="55" spans="1:17" ht="16" thickBot="1" x14ac:dyDescent="0.4">
      <c r="A55" s="1801" t="s">
        <v>1226</v>
      </c>
      <c r="B55" s="1802" t="s">
        <v>107</v>
      </c>
      <c r="C55" s="1729"/>
      <c r="D55" s="1797">
        <f>VLOOKUP(A55,'2122 Band Values'!$A$5:$BE$24,57,(FALSE))</f>
        <v>2635</v>
      </c>
      <c r="E55" s="1715" t="s">
        <v>483</v>
      </c>
      <c r="F55" s="1716"/>
      <c r="G55" s="1717"/>
      <c r="H55" s="1664"/>
      <c r="I55" s="1730"/>
    </row>
    <row r="56" spans="1:17" x14ac:dyDescent="0.35">
      <c r="A56" s="1664"/>
      <c r="B56" s="1803"/>
      <c r="C56" s="1664"/>
      <c r="D56" s="1645"/>
      <c r="E56" s="1664"/>
      <c r="F56" s="1664"/>
      <c r="G56" s="1664"/>
      <c r="H56" s="1664"/>
      <c r="I56" s="1730"/>
    </row>
    <row r="57" spans="1:17" ht="12" customHeight="1" thickBot="1" x14ac:dyDescent="0.4">
      <c r="A57" s="1730"/>
      <c r="B57" s="1664"/>
      <c r="C57" s="1664"/>
      <c r="D57" s="1664"/>
      <c r="E57" s="1667"/>
      <c r="F57" s="1664"/>
      <c r="G57" s="1664"/>
      <c r="H57" s="1664"/>
      <c r="I57" s="1730"/>
    </row>
    <row r="58" spans="1:17" ht="12" customHeight="1" x14ac:dyDescent="0.35">
      <c r="A58" s="1718" t="s">
        <v>801</v>
      </c>
      <c r="B58" s="1804" t="s">
        <v>20</v>
      </c>
      <c r="C58" s="1719"/>
      <c r="D58" s="1805" t="s">
        <v>21</v>
      </c>
      <c r="E58" s="1719"/>
      <c r="F58" s="1780" t="s">
        <v>766</v>
      </c>
      <c r="G58" s="1664">
        <v>22</v>
      </c>
      <c r="H58" s="1664"/>
      <c r="I58" s="1730"/>
    </row>
    <row r="59" spans="1:17" ht="12" customHeight="1" x14ac:dyDescent="0.35">
      <c r="A59" s="1720" t="s">
        <v>749</v>
      </c>
      <c r="B59" s="1797">
        <f>'Group Sizes'!D46</f>
        <v>305000</v>
      </c>
      <c r="C59" s="1721"/>
      <c r="D59" s="1797">
        <f>'Group Sizes'!E46</f>
        <v>100000</v>
      </c>
      <c r="E59" s="1721"/>
      <c r="F59" s="1806">
        <f>'Group Sizes'!B46</f>
        <v>600000</v>
      </c>
      <c r="G59" s="1722"/>
      <c r="H59" s="1664"/>
      <c r="I59" s="1730"/>
      <c r="J59" s="1667"/>
      <c r="K59" s="1667"/>
      <c r="L59" s="1667"/>
      <c r="M59" s="1667"/>
      <c r="N59" s="1667"/>
      <c r="O59" s="1667"/>
      <c r="P59" s="1668"/>
      <c r="Q59" s="1667"/>
    </row>
    <row r="60" spans="1:17" ht="12" customHeight="1" x14ac:dyDescent="0.35">
      <c r="A60" s="1720" t="s">
        <v>755</v>
      </c>
      <c r="B60" s="1797">
        <f>'Group Sizes'!D47</f>
        <v>332500</v>
      </c>
      <c r="C60" s="1721"/>
      <c r="D60" s="1797">
        <f>'Group Sizes'!E47</f>
        <v>105000</v>
      </c>
      <c r="E60" s="1721"/>
      <c r="F60" s="1806">
        <f>'Group Sizes'!B47</f>
        <v>700000</v>
      </c>
      <c r="G60" s="1807"/>
      <c r="H60" s="1664"/>
      <c r="I60" s="1730"/>
      <c r="J60" s="1667"/>
      <c r="K60" s="1667"/>
      <c r="L60" s="1667"/>
      <c r="M60" s="1667"/>
      <c r="N60" s="1667"/>
      <c r="O60" s="1667"/>
      <c r="P60" s="1668"/>
      <c r="Q60" s="1667"/>
    </row>
    <row r="61" spans="1:17" ht="12" customHeight="1" x14ac:dyDescent="0.35">
      <c r="A61" s="1720" t="s">
        <v>750</v>
      </c>
      <c r="B61" s="1797">
        <f>'Group Sizes'!D48</f>
        <v>360000</v>
      </c>
      <c r="C61" s="1721"/>
      <c r="D61" s="1797">
        <f>'Group Sizes'!E48</f>
        <v>110000</v>
      </c>
      <c r="E61" s="1721"/>
      <c r="F61" s="1806">
        <f>'Group Sizes'!B48</f>
        <v>950000</v>
      </c>
      <c r="G61" s="1807"/>
      <c r="H61" s="1664"/>
      <c r="I61" s="1730"/>
      <c r="J61" s="1667"/>
      <c r="K61" s="1667"/>
      <c r="L61" s="1667"/>
      <c r="M61" s="1667"/>
      <c r="N61" s="1667"/>
      <c r="O61" s="1667"/>
      <c r="P61" s="1668"/>
      <c r="Q61" s="1667"/>
    </row>
    <row r="62" spans="1:17" ht="12" customHeight="1" x14ac:dyDescent="0.35">
      <c r="A62" s="1720" t="s">
        <v>756</v>
      </c>
      <c r="B62" s="1797">
        <f>'Group Sizes'!D49</f>
        <v>390000</v>
      </c>
      <c r="C62" s="1721"/>
      <c r="D62" s="1797">
        <f>'Group Sizes'!E49</f>
        <v>115000</v>
      </c>
      <c r="E62" s="1721"/>
      <c r="F62" s="1806">
        <f>'Group Sizes'!B49</f>
        <v>1100000</v>
      </c>
      <c r="G62" s="1807"/>
      <c r="H62" s="1664"/>
      <c r="I62" s="1730"/>
      <c r="J62" s="1667"/>
      <c r="K62" s="1667"/>
      <c r="L62" s="1667"/>
      <c r="M62" s="1667"/>
      <c r="N62" s="1667"/>
      <c r="O62" s="1667"/>
      <c r="P62" s="1668"/>
      <c r="Q62" s="1667"/>
    </row>
    <row r="63" spans="1:17" ht="12" customHeight="1" x14ac:dyDescent="0.35">
      <c r="A63" s="1720" t="s">
        <v>751</v>
      </c>
      <c r="B63" s="1797">
        <f>'Group Sizes'!D50</f>
        <v>420000</v>
      </c>
      <c r="C63" s="1721"/>
      <c r="D63" s="1797">
        <f>'Group Sizes'!E50</f>
        <v>120000</v>
      </c>
      <c r="E63" s="1721"/>
      <c r="F63" s="1806">
        <f>'Group Sizes'!B50</f>
        <v>1400000</v>
      </c>
      <c r="G63" s="1807"/>
      <c r="H63" s="1664"/>
      <c r="I63" s="1730"/>
      <c r="J63" s="1667"/>
      <c r="K63" s="1667"/>
      <c r="L63" s="1667"/>
      <c r="M63" s="1667"/>
      <c r="N63" s="1667"/>
      <c r="O63" s="1667"/>
      <c r="P63" s="1668"/>
      <c r="Q63" s="1667"/>
    </row>
    <row r="64" spans="1:17" ht="12" customHeight="1" x14ac:dyDescent="0.35">
      <c r="A64" s="1720" t="s">
        <v>758</v>
      </c>
      <c r="B64" s="1797">
        <f>'Group Sizes'!D51</f>
        <v>455000</v>
      </c>
      <c r="C64" s="1721"/>
      <c r="D64" s="1797">
        <f>'Group Sizes'!E51</f>
        <v>130000</v>
      </c>
      <c r="E64" s="1721"/>
      <c r="F64" s="1806">
        <f>'Group Sizes'!B51</f>
        <v>1600000</v>
      </c>
      <c r="G64" s="1807"/>
      <c r="H64" s="1664"/>
      <c r="I64" s="1730"/>
      <c r="J64" s="1667"/>
      <c r="K64" s="1667"/>
      <c r="L64" s="1667"/>
      <c r="M64" s="1667"/>
      <c r="N64" s="1667"/>
      <c r="O64" s="1667"/>
      <c r="P64" s="1668"/>
      <c r="Q64" s="1667"/>
    </row>
    <row r="65" spans="1:17" ht="12" customHeight="1" x14ac:dyDescent="0.35">
      <c r="A65" s="1720" t="s">
        <v>752</v>
      </c>
      <c r="B65" s="1797">
        <f>'Group Sizes'!D52</f>
        <v>490000</v>
      </c>
      <c r="C65" s="1721"/>
      <c r="D65" s="1797">
        <f>'Group Sizes'!E52</f>
        <v>140000</v>
      </c>
      <c r="E65" s="1721"/>
      <c r="F65" s="1806">
        <f>'Group Sizes'!B52</f>
        <v>1950000</v>
      </c>
      <c r="G65" s="1807"/>
      <c r="H65" s="1664"/>
      <c r="I65" s="1730"/>
      <c r="J65" s="1667"/>
      <c r="K65" s="1667"/>
      <c r="L65" s="1667"/>
      <c r="M65" s="1667"/>
      <c r="N65" s="1667"/>
      <c r="O65" s="1667"/>
      <c r="P65" s="1668"/>
      <c r="Q65" s="1667"/>
    </row>
    <row r="66" spans="1:17" ht="12" customHeight="1" x14ac:dyDescent="0.35">
      <c r="A66" s="1720" t="s">
        <v>759</v>
      </c>
      <c r="B66" s="1797">
        <f>'Group Sizes'!D53</f>
        <v>525000</v>
      </c>
      <c r="C66" s="1721"/>
      <c r="D66" s="1797">
        <f>'Group Sizes'!E53</f>
        <v>145000</v>
      </c>
      <c r="E66" s="1721"/>
      <c r="F66" s="1806">
        <f>'Group Sizes'!B53</f>
        <v>2200000</v>
      </c>
      <c r="G66" s="1807"/>
      <c r="H66" s="1664"/>
      <c r="I66" s="1730"/>
      <c r="J66" s="1667"/>
      <c r="K66" s="1667"/>
      <c r="L66" s="1667"/>
      <c r="M66" s="1667"/>
      <c r="N66" s="1667"/>
      <c r="O66" s="1667"/>
      <c r="P66" s="1668"/>
      <c r="Q66" s="1667"/>
    </row>
    <row r="67" spans="1:17" ht="12" customHeight="1" x14ac:dyDescent="0.35">
      <c r="A67" s="1720" t="s">
        <v>753</v>
      </c>
      <c r="B67" s="1797">
        <f>'Group Sizes'!D54</f>
        <v>560000</v>
      </c>
      <c r="C67" s="1721"/>
      <c r="D67" s="1797">
        <f>'Group Sizes'!E54</f>
        <v>150000</v>
      </c>
      <c r="E67" s="1721"/>
      <c r="F67" s="1806">
        <f>'Group Sizes'!B54</f>
        <v>2600000</v>
      </c>
      <c r="G67" s="1807"/>
      <c r="H67" s="1664"/>
      <c r="I67" s="1730"/>
      <c r="J67" s="1667"/>
      <c r="K67" s="1667"/>
      <c r="L67" s="1667"/>
      <c r="M67" s="1667"/>
      <c r="N67" s="1667"/>
      <c r="O67" s="1667"/>
      <c r="P67" s="1668"/>
      <c r="Q67" s="1667"/>
    </row>
    <row r="68" spans="1:17" ht="12" customHeight="1" x14ac:dyDescent="0.35">
      <c r="A68" s="1720" t="s">
        <v>757</v>
      </c>
      <c r="B68" s="1797">
        <f>'Group Sizes'!D55</f>
        <v>595000</v>
      </c>
      <c r="C68" s="1721"/>
      <c r="D68" s="1797">
        <f>'Group Sizes'!E55</f>
        <v>155000</v>
      </c>
      <c r="E68" s="1721"/>
      <c r="F68" s="1806">
        <f>'Group Sizes'!B55</f>
        <v>2900000</v>
      </c>
      <c r="G68" s="1807"/>
      <c r="H68" s="1664"/>
      <c r="I68" s="1730"/>
      <c r="J68" s="1667"/>
      <c r="K68" s="1667"/>
      <c r="L68" s="1667"/>
      <c r="M68" s="1667"/>
      <c r="N68" s="1667"/>
      <c r="O68" s="1667"/>
      <c r="P68" s="1668"/>
      <c r="Q68" s="1667"/>
    </row>
    <row r="69" spans="1:17" ht="12" customHeight="1" x14ac:dyDescent="0.35">
      <c r="A69" s="1723" t="s">
        <v>754</v>
      </c>
      <c r="B69" s="1808">
        <f>'Group Sizes'!D56</f>
        <v>630000</v>
      </c>
      <c r="C69" s="1724"/>
      <c r="D69" s="1808">
        <f>'Group Sizes'!E56</f>
        <v>160000</v>
      </c>
      <c r="E69" s="1724"/>
      <c r="F69" s="1809">
        <f>'Group Sizes'!B56</f>
        <v>3350000</v>
      </c>
      <c r="G69" s="1807"/>
      <c r="H69" s="1664"/>
      <c r="I69" s="1730"/>
      <c r="J69" s="1667"/>
      <c r="K69" s="1667"/>
      <c r="L69" s="1667"/>
      <c r="M69" s="1667"/>
      <c r="N69" s="1667"/>
      <c r="O69" s="1667"/>
      <c r="P69" s="1668"/>
      <c r="Q69" s="1667"/>
    </row>
    <row r="70" spans="1:17" s="1730" customFormat="1" ht="12" customHeight="1" x14ac:dyDescent="0.35">
      <c r="A70" s="1725"/>
      <c r="B70" s="1810"/>
      <c r="C70" s="1726"/>
      <c r="D70" s="1810"/>
      <c r="E70" s="1726"/>
      <c r="F70" s="1727"/>
      <c r="G70" s="1807"/>
      <c r="H70" s="1664"/>
      <c r="J70" s="1664"/>
      <c r="K70" s="1664"/>
      <c r="L70" s="1664"/>
      <c r="M70" s="1664"/>
      <c r="N70" s="1664"/>
      <c r="O70" s="1664"/>
      <c r="P70" s="1664"/>
      <c r="Q70" s="1664"/>
    </row>
    <row r="71" spans="1:17" ht="12" customHeight="1" x14ac:dyDescent="0.35">
      <c r="A71" s="1720" t="str">
        <f>'Group Sizes'!C61</f>
        <v>PFI School Size 3</v>
      </c>
      <c r="B71" s="1811">
        <f>'Group Sizes'!D61</f>
        <v>270000</v>
      </c>
      <c r="C71" s="1721"/>
      <c r="D71" s="1797">
        <f>'Group Sizes'!E61</f>
        <v>85000</v>
      </c>
      <c r="E71" s="1721"/>
      <c r="F71" s="1806">
        <f>'Group Sizes'!B61</f>
        <v>600000</v>
      </c>
      <c r="G71" s="1664">
        <v>23</v>
      </c>
      <c r="H71" s="1664"/>
      <c r="I71" s="1730"/>
    </row>
    <row r="72" spans="1:17" ht="12" customHeight="1" x14ac:dyDescent="0.35">
      <c r="A72" s="1720" t="str">
        <f>'Group Sizes'!C62</f>
        <v>PFI School Size 3 Transition Point</v>
      </c>
      <c r="B72" s="1811">
        <f>'Group Sizes'!D62</f>
        <v>305000</v>
      </c>
      <c r="C72" s="1721"/>
      <c r="D72" s="1797">
        <f>'Group Sizes'!E62</f>
        <v>85000</v>
      </c>
      <c r="E72" s="1721"/>
      <c r="F72" s="1806">
        <f>'Group Sizes'!B62</f>
        <v>700000</v>
      </c>
      <c r="G72" s="1664"/>
      <c r="H72" s="1664"/>
      <c r="I72" s="1730"/>
    </row>
    <row r="73" spans="1:17" ht="12" customHeight="1" x14ac:dyDescent="0.35">
      <c r="A73" s="1720" t="str">
        <f>'Group Sizes'!C63</f>
        <v>PFI School Size 4</v>
      </c>
      <c r="B73" s="1811">
        <f>'Group Sizes'!D63</f>
        <v>340000</v>
      </c>
      <c r="C73" s="1721"/>
      <c r="D73" s="1797">
        <f>'Group Sizes'!E63</f>
        <v>85000</v>
      </c>
      <c r="E73" s="1721"/>
      <c r="F73" s="1806">
        <f>'Group Sizes'!B63</f>
        <v>950000</v>
      </c>
      <c r="G73" s="1664"/>
      <c r="H73" s="1730"/>
      <c r="I73" s="1730"/>
    </row>
    <row r="74" spans="1:17" ht="12" customHeight="1" x14ac:dyDescent="0.35">
      <c r="A74" s="1720" t="str">
        <f>'Group Sizes'!C64</f>
        <v>PFI School Size 4 Transition Point</v>
      </c>
      <c r="B74" s="1811">
        <f>'Group Sizes'!D64</f>
        <v>350000</v>
      </c>
      <c r="C74" s="1721"/>
      <c r="D74" s="1797">
        <f>'Group Sizes'!E64</f>
        <v>85000</v>
      </c>
      <c r="E74" s="1721"/>
      <c r="F74" s="1806">
        <f>'Group Sizes'!B64</f>
        <v>1100000</v>
      </c>
      <c r="G74" s="1664"/>
      <c r="H74" s="1730"/>
      <c r="I74" s="1730"/>
    </row>
    <row r="75" spans="1:17" ht="16" thickBot="1" x14ac:dyDescent="0.4">
      <c r="A75" s="1728" t="str">
        <f>'Group Sizes'!C65</f>
        <v>PFI School Size 5</v>
      </c>
      <c r="B75" s="1812">
        <f>'Group Sizes'!D65</f>
        <v>360000</v>
      </c>
      <c r="C75" s="1729"/>
      <c r="D75" s="1813">
        <f>'Group Sizes'!E65</f>
        <v>85000</v>
      </c>
      <c r="E75" s="1729"/>
      <c r="F75" s="1814">
        <f>'Group Sizes'!B65</f>
        <v>1400000</v>
      </c>
      <c r="G75" s="1664"/>
      <c r="H75" s="1730"/>
      <c r="I75" s="1730"/>
    </row>
    <row r="76" spans="1:17" ht="12" customHeight="1" x14ac:dyDescent="0.35">
      <c r="A76" s="1730"/>
      <c r="B76" s="1730"/>
      <c r="C76" s="1730"/>
      <c r="D76" s="1730"/>
      <c r="F76" s="1730"/>
      <c r="G76" s="1730"/>
      <c r="H76" s="1815"/>
      <c r="I76" s="1730"/>
    </row>
    <row r="77" spans="1:17" ht="12" customHeight="1" x14ac:dyDescent="0.35">
      <c r="A77" s="1730"/>
      <c r="B77" s="1730"/>
      <c r="C77" s="1730"/>
      <c r="D77" s="1730"/>
      <c r="F77" s="1730"/>
      <c r="G77" s="1730"/>
      <c r="H77" s="1815"/>
      <c r="I77" s="1730"/>
    </row>
    <row r="78" spans="1:17" ht="2.25" customHeight="1" x14ac:dyDescent="0.35">
      <c r="A78" s="1730"/>
      <c r="B78" s="1730"/>
      <c r="C78" s="1730"/>
      <c r="D78" s="1730"/>
      <c r="F78" s="1730"/>
      <c r="G78" s="1730"/>
      <c r="H78" s="1815"/>
      <c r="I78" s="1730"/>
    </row>
    <row r="79" spans="1:17" ht="2.25" customHeight="1" x14ac:dyDescent="0.35">
      <c r="A79" s="1730"/>
      <c r="B79" s="1730"/>
      <c r="C79" s="1730"/>
      <c r="D79" s="1730"/>
      <c r="F79" s="1730"/>
      <c r="G79" s="1730"/>
      <c r="H79" s="1815"/>
      <c r="I79" s="1730"/>
    </row>
    <row r="80" spans="1:17" ht="2.25" customHeight="1" x14ac:dyDescent="0.35">
      <c r="A80" s="1730"/>
      <c r="B80" s="1730"/>
      <c r="C80" s="1730"/>
      <c r="D80" s="1730"/>
      <c r="F80" s="1730"/>
      <c r="G80" s="1730"/>
      <c r="H80" s="1815"/>
      <c r="I80" s="1730"/>
    </row>
    <row r="81" spans="1:10" ht="15" customHeight="1" x14ac:dyDescent="0.35">
      <c r="A81" s="1731" t="s">
        <v>1334</v>
      </c>
      <c r="B81" s="1732"/>
      <c r="C81" s="1732"/>
      <c r="D81" s="1732"/>
      <c r="E81" s="1732"/>
      <c r="F81" s="1732"/>
      <c r="G81" s="1733"/>
      <c r="I81" s="1648"/>
      <c r="J81" s="1648"/>
    </row>
    <row r="82" spans="1:10" ht="15" customHeight="1" x14ac:dyDescent="0.35">
      <c r="A82" s="1737"/>
      <c r="B82" s="1737"/>
      <c r="C82" s="1737"/>
      <c r="D82" s="1737"/>
      <c r="E82" s="1737"/>
      <c r="F82" s="1737"/>
      <c r="G82" s="1737"/>
      <c r="H82" s="1815"/>
    </row>
    <row r="83" spans="1:10" ht="175" customHeight="1" x14ac:dyDescent="0.35">
      <c r="A83" s="2008" t="s">
        <v>1335</v>
      </c>
      <c r="B83" s="2009"/>
      <c r="C83" s="2009"/>
      <c r="D83" s="2009"/>
      <c r="E83" s="2009"/>
      <c r="F83" s="2009"/>
      <c r="G83" s="2010"/>
      <c r="H83" s="1815"/>
    </row>
    <row r="84" spans="1:10" ht="15" customHeight="1" x14ac:dyDescent="0.35">
      <c r="A84" s="1816"/>
      <c r="B84" s="1816"/>
      <c r="C84" s="1816"/>
      <c r="D84" s="1816"/>
      <c r="E84" s="1816"/>
      <c r="F84" s="1816"/>
      <c r="G84" s="1816"/>
      <c r="H84" s="1817"/>
    </row>
    <row r="85" spans="1:10" ht="15" customHeight="1" x14ac:dyDescent="0.35">
      <c r="A85" s="2005" t="s">
        <v>1336</v>
      </c>
      <c r="B85" s="2006"/>
      <c r="C85" s="2006"/>
      <c r="D85" s="2006"/>
      <c r="E85" s="2006"/>
      <c r="F85" s="2006"/>
      <c r="G85" s="2007"/>
      <c r="H85" s="1817"/>
    </row>
    <row r="86" spans="1:10" ht="15" customHeight="1" x14ac:dyDescent="0.35">
      <c r="A86" s="1816"/>
      <c r="B86" s="1816"/>
      <c r="C86" s="1816"/>
      <c r="D86" s="1816"/>
      <c r="E86" s="1816"/>
      <c r="F86" s="1816"/>
      <c r="G86" s="1816"/>
      <c r="H86" s="1817"/>
    </row>
    <row r="87" spans="1:10" ht="31.5" customHeight="1" x14ac:dyDescent="0.35">
      <c r="A87" s="1987" t="s">
        <v>1337</v>
      </c>
      <c r="B87" s="1987"/>
      <c r="C87" s="1987"/>
      <c r="D87" s="1987"/>
      <c r="E87" s="1987"/>
      <c r="F87" s="1987"/>
      <c r="G87" s="1988"/>
      <c r="H87" s="1817"/>
    </row>
    <row r="88" spans="1:10" ht="15" customHeight="1" x14ac:dyDescent="0.35">
      <c r="A88" s="1818"/>
      <c r="B88" s="1819"/>
      <c r="C88" s="1819"/>
      <c r="D88" s="1819"/>
      <c r="E88" s="1819"/>
      <c r="F88" s="1819"/>
      <c r="G88" s="1819"/>
      <c r="H88" s="1817"/>
    </row>
    <row r="89" spans="1:10" ht="79.5" customHeight="1" x14ac:dyDescent="0.35">
      <c r="A89" s="1984" t="s">
        <v>1380</v>
      </c>
      <c r="B89" s="1985"/>
      <c r="C89" s="1985"/>
      <c r="D89" s="1985"/>
      <c r="E89" s="1985"/>
      <c r="F89" s="1985"/>
      <c r="G89" s="1986"/>
      <c r="H89" s="1817"/>
    </row>
    <row r="90" spans="1:10" ht="15" customHeight="1" x14ac:dyDescent="0.35">
      <c r="A90" s="1737"/>
      <c r="B90" s="1737"/>
      <c r="C90" s="1737"/>
      <c r="D90" s="1737"/>
      <c r="E90" s="1737"/>
      <c r="F90" s="1737"/>
      <c r="G90" s="1737"/>
      <c r="H90" s="1817"/>
    </row>
    <row r="91" spans="1:10" ht="43" customHeight="1" x14ac:dyDescent="0.35">
      <c r="A91" s="1985" t="s">
        <v>1367</v>
      </c>
      <c r="B91" s="1992"/>
      <c r="C91" s="1992"/>
      <c r="D91" s="1992"/>
      <c r="E91" s="1992"/>
      <c r="F91" s="1992"/>
      <c r="G91" s="1993"/>
      <c r="H91" s="1817"/>
    </row>
    <row r="92" spans="1:10" ht="15" customHeight="1" x14ac:dyDescent="0.35">
      <c r="A92" s="1737"/>
      <c r="B92" s="1737"/>
      <c r="C92" s="1737"/>
      <c r="D92" s="1737"/>
      <c r="E92" s="1737"/>
      <c r="F92" s="1737"/>
      <c r="G92" s="1737"/>
      <c r="H92" s="1817"/>
    </row>
    <row r="93" spans="1:10" ht="66.75" customHeight="1" x14ac:dyDescent="0.35">
      <c r="A93" s="1994" t="s">
        <v>1368</v>
      </c>
      <c r="B93" s="1995"/>
      <c r="C93" s="1995"/>
      <c r="D93" s="1995"/>
      <c r="E93" s="1995"/>
      <c r="F93" s="1995"/>
      <c r="G93" s="1996"/>
      <c r="H93" s="1817"/>
    </row>
    <row r="94" spans="1:10" ht="15" customHeight="1" x14ac:dyDescent="0.35">
      <c r="A94" s="1737"/>
      <c r="B94" s="1737"/>
      <c r="C94" s="1737"/>
      <c r="D94" s="1737"/>
      <c r="E94" s="1737"/>
      <c r="F94" s="1737"/>
      <c r="G94" s="1737"/>
      <c r="H94" s="1817"/>
    </row>
    <row r="95" spans="1:10" ht="19" customHeight="1" x14ac:dyDescent="0.35">
      <c r="A95" s="1731" t="s">
        <v>1369</v>
      </c>
      <c r="B95" s="1732"/>
      <c r="C95" s="1732"/>
      <c r="D95" s="1732"/>
      <c r="E95" s="1732"/>
      <c r="F95" s="1732"/>
      <c r="G95" s="1733"/>
    </row>
    <row r="96" spans="1:10" ht="15" customHeight="1" x14ac:dyDescent="0.35">
      <c r="A96" s="1737"/>
      <c r="B96" s="1737"/>
      <c r="C96" s="1737"/>
      <c r="D96" s="1737"/>
      <c r="E96" s="1737"/>
      <c r="F96" s="1737"/>
      <c r="G96" s="1737"/>
    </row>
    <row r="97" spans="1:8" ht="28.5" customHeight="1" x14ac:dyDescent="0.35">
      <c r="A97" s="1984" t="s">
        <v>1370</v>
      </c>
      <c r="B97" s="1985"/>
      <c r="C97" s="1985"/>
      <c r="D97" s="1985"/>
      <c r="E97" s="1985"/>
      <c r="F97" s="1985"/>
      <c r="G97" s="1986"/>
    </row>
    <row r="98" spans="1:8" ht="15" customHeight="1" x14ac:dyDescent="0.35">
      <c r="A98" s="1737"/>
      <c r="B98" s="1737"/>
      <c r="C98" s="1737"/>
      <c r="D98" s="1737"/>
      <c r="E98" s="1737"/>
      <c r="F98" s="1737"/>
      <c r="G98" s="1737"/>
    </row>
    <row r="99" spans="1:8" ht="78" customHeight="1" x14ac:dyDescent="0.35">
      <c r="A99" s="1989" t="s">
        <v>1353</v>
      </c>
      <c r="B99" s="1990"/>
      <c r="C99" s="1990"/>
      <c r="D99" s="1990"/>
      <c r="E99" s="1990"/>
      <c r="F99" s="1990"/>
      <c r="G99" s="1991"/>
    </row>
    <row r="100" spans="1:8" x14ac:dyDescent="0.35">
      <c r="A100" s="1734"/>
      <c r="B100" s="1735"/>
      <c r="C100" s="1735"/>
      <c r="D100" s="1735"/>
      <c r="E100" s="1735"/>
      <c r="F100" s="1735"/>
      <c r="G100" s="1736"/>
    </row>
    <row r="101" spans="1:8" ht="41.25" customHeight="1" x14ac:dyDescent="0.35">
      <c r="A101" s="1984" t="s">
        <v>1354</v>
      </c>
      <c r="B101" s="1985"/>
      <c r="C101" s="1985"/>
      <c r="D101" s="1985"/>
      <c r="E101" s="1985"/>
      <c r="F101" s="1985"/>
      <c r="G101" s="1986"/>
      <c r="H101" s="1817"/>
    </row>
    <row r="102" spans="1:8" ht="15" customHeight="1" x14ac:dyDescent="0.35">
      <c r="A102" s="1737"/>
      <c r="B102" s="1737"/>
      <c r="C102" s="1737"/>
      <c r="D102" s="1737"/>
      <c r="E102" s="1737"/>
      <c r="F102" s="1737"/>
      <c r="G102" s="1737"/>
      <c r="H102" s="1817"/>
    </row>
    <row r="103" spans="1:8" ht="42.75" customHeight="1" x14ac:dyDescent="0.35">
      <c r="A103" s="1984" t="s">
        <v>1355</v>
      </c>
      <c r="B103" s="1985"/>
      <c r="C103" s="1985"/>
      <c r="D103" s="1985"/>
      <c r="E103" s="1985"/>
      <c r="F103" s="1985"/>
      <c r="G103" s="1986"/>
      <c r="H103" s="1817"/>
    </row>
    <row r="104" spans="1:8" ht="15" customHeight="1" x14ac:dyDescent="0.35">
      <c r="A104" s="1737"/>
      <c r="B104" s="1737"/>
      <c r="C104" s="1737"/>
      <c r="D104" s="1737"/>
      <c r="E104" s="1737"/>
      <c r="F104" s="1737"/>
      <c r="G104" s="1737"/>
      <c r="H104" s="1817"/>
    </row>
    <row r="105" spans="1:8" ht="32.15" customHeight="1" x14ac:dyDescent="0.35">
      <c r="A105" s="1984" t="s">
        <v>1356</v>
      </c>
      <c r="B105" s="2000"/>
      <c r="C105" s="2000"/>
      <c r="D105" s="2000"/>
      <c r="E105" s="2000"/>
      <c r="F105" s="2000"/>
      <c r="G105" s="2001"/>
      <c r="H105" s="1815"/>
    </row>
    <row r="106" spans="1:8" ht="15" customHeight="1" x14ac:dyDescent="0.35">
      <c r="A106" s="1737"/>
      <c r="B106" s="1737"/>
      <c r="C106" s="1737"/>
      <c r="D106" s="1737"/>
      <c r="E106" s="1737"/>
      <c r="F106" s="1737"/>
      <c r="G106" s="1737"/>
      <c r="H106" s="1815"/>
    </row>
    <row r="107" spans="1:8" ht="44.25" customHeight="1" x14ac:dyDescent="0.35">
      <c r="A107" s="1984" t="s">
        <v>1371</v>
      </c>
      <c r="B107" s="1985"/>
      <c r="C107" s="1985"/>
      <c r="D107" s="1985"/>
      <c r="E107" s="1985"/>
      <c r="F107" s="1985"/>
      <c r="G107" s="1986"/>
      <c r="H107" s="1815"/>
    </row>
    <row r="108" spans="1:8" ht="15" customHeight="1" x14ac:dyDescent="0.35">
      <c r="A108" s="1737"/>
      <c r="B108" s="1737"/>
      <c r="C108" s="1737"/>
      <c r="D108" s="1737"/>
      <c r="E108" s="1737"/>
      <c r="F108" s="1737"/>
      <c r="G108" s="1737"/>
      <c r="H108" s="1815"/>
    </row>
    <row r="109" spans="1:8" ht="44.25" customHeight="1" x14ac:dyDescent="0.35">
      <c r="A109" s="1984" t="s">
        <v>1373</v>
      </c>
      <c r="B109" s="1985"/>
      <c r="C109" s="1985"/>
      <c r="D109" s="1985"/>
      <c r="E109" s="1985"/>
      <c r="F109" s="1985"/>
      <c r="G109" s="1986"/>
      <c r="H109" s="1815"/>
    </row>
    <row r="110" spans="1:8" ht="15" customHeight="1" x14ac:dyDescent="0.35">
      <c r="A110" s="1737"/>
      <c r="B110" s="1737"/>
      <c r="C110" s="1737"/>
      <c r="D110" s="1737"/>
      <c r="E110" s="1737"/>
      <c r="F110" s="1737"/>
      <c r="G110" s="1737"/>
      <c r="H110" s="1815"/>
    </row>
    <row r="111" spans="1:8" ht="18" customHeight="1" x14ac:dyDescent="0.35">
      <c r="A111" s="1984" t="s">
        <v>1374</v>
      </c>
      <c r="B111" s="1985"/>
      <c r="C111" s="1985"/>
      <c r="D111" s="1985"/>
      <c r="E111" s="1985"/>
      <c r="F111" s="1985"/>
      <c r="G111" s="1986"/>
      <c r="H111" s="1815"/>
    </row>
    <row r="112" spans="1:8" ht="15" customHeight="1" x14ac:dyDescent="0.35">
      <c r="A112" s="1737"/>
      <c r="B112" s="1737"/>
      <c r="C112" s="1737"/>
      <c r="D112" s="1737"/>
      <c r="E112" s="1737"/>
      <c r="F112" s="1737"/>
      <c r="G112" s="1737"/>
    </row>
    <row r="113" spans="1:7" ht="15" customHeight="1" x14ac:dyDescent="0.35">
      <c r="A113" s="1997" t="s">
        <v>581</v>
      </c>
      <c r="B113" s="1998"/>
      <c r="C113" s="1998"/>
      <c r="D113" s="1998"/>
      <c r="E113" s="1998"/>
      <c r="F113" s="1998"/>
      <c r="G113" s="1999"/>
    </row>
    <row r="114" spans="1:7" ht="15" customHeight="1" x14ac:dyDescent="0.35">
      <c r="A114" s="1737"/>
      <c r="B114" s="1737"/>
      <c r="C114" s="1737"/>
      <c r="D114" s="1737"/>
      <c r="E114" s="1737"/>
      <c r="F114" s="1737"/>
      <c r="G114" s="1737"/>
    </row>
    <row r="115" spans="1:7" x14ac:dyDescent="0.35">
      <c r="A115" s="1731" t="s">
        <v>1358</v>
      </c>
      <c r="B115" s="1732"/>
      <c r="C115" s="1732"/>
      <c r="D115" s="1732"/>
      <c r="E115" s="1732"/>
      <c r="F115" s="1732"/>
      <c r="G115" s="1733"/>
    </row>
    <row r="116" spans="1:7" ht="15" customHeight="1" x14ac:dyDescent="0.35">
      <c r="A116" s="1820"/>
      <c r="B116" s="1820"/>
      <c r="C116" s="1820"/>
      <c r="D116" s="1820"/>
      <c r="E116" s="1820"/>
      <c r="F116" s="1820"/>
      <c r="G116" s="1820"/>
    </row>
    <row r="117" spans="1:7" ht="43.5" customHeight="1" x14ac:dyDescent="0.35">
      <c r="A117" s="1984" t="s">
        <v>1357</v>
      </c>
      <c r="B117" s="1985"/>
      <c r="C117" s="1985"/>
      <c r="D117" s="1985"/>
      <c r="E117" s="1985"/>
      <c r="F117" s="1985"/>
      <c r="G117" s="1986"/>
    </row>
    <row r="118" spans="1:7" ht="15" customHeight="1" x14ac:dyDescent="0.35">
      <c r="A118" s="1737"/>
      <c r="B118" s="1737"/>
      <c r="C118" s="1737"/>
      <c r="D118" s="1737"/>
      <c r="E118" s="1737"/>
      <c r="F118" s="1737"/>
      <c r="G118" s="1737"/>
    </row>
    <row r="119" spans="1:7" ht="32.15" customHeight="1" x14ac:dyDescent="0.35">
      <c r="A119" s="1984" t="s">
        <v>1359</v>
      </c>
      <c r="B119" s="1985"/>
      <c r="C119" s="1985"/>
      <c r="D119" s="1985"/>
      <c r="E119" s="1985"/>
      <c r="F119" s="1985"/>
      <c r="G119" s="1986"/>
    </row>
    <row r="121" spans="1:7" ht="63.65" customHeight="1" x14ac:dyDescent="0.35">
      <c r="A121" s="1984" t="s">
        <v>1365</v>
      </c>
      <c r="B121" s="1985"/>
      <c r="C121" s="1985"/>
      <c r="D121" s="1985"/>
      <c r="E121" s="1985"/>
      <c r="F121" s="1985"/>
      <c r="G121" s="1986"/>
    </row>
    <row r="123" spans="1:7" ht="67.5" customHeight="1" x14ac:dyDescent="0.35">
      <c r="A123" s="1984" t="s">
        <v>1363</v>
      </c>
      <c r="B123" s="1985"/>
      <c r="C123" s="1985"/>
      <c r="D123" s="1985"/>
      <c r="E123" s="1985"/>
      <c r="F123" s="1985"/>
      <c r="G123" s="1986"/>
    </row>
    <row r="125" spans="1:7" ht="58.5" customHeight="1" x14ac:dyDescent="0.35">
      <c r="A125" s="1984" t="s">
        <v>1364</v>
      </c>
      <c r="B125" s="1985"/>
      <c r="C125" s="1985"/>
      <c r="D125" s="1985"/>
      <c r="E125" s="1985"/>
      <c r="F125" s="1985"/>
      <c r="G125" s="1986"/>
    </row>
  </sheetData>
  <sheetProtection password="B262" sheet="1" objects="1" scenarios="1"/>
  <mergeCells count="23">
    <mergeCell ref="F7:G7"/>
    <mergeCell ref="B45:B46"/>
    <mergeCell ref="D45:D46"/>
    <mergeCell ref="A85:G85"/>
    <mergeCell ref="A83:G83"/>
    <mergeCell ref="A123:G123"/>
    <mergeCell ref="A125:G125"/>
    <mergeCell ref="A103:G103"/>
    <mergeCell ref="A107:G107"/>
    <mergeCell ref="A109:G109"/>
    <mergeCell ref="A119:G119"/>
    <mergeCell ref="A113:G113"/>
    <mergeCell ref="A105:G105"/>
    <mergeCell ref="A97:G97"/>
    <mergeCell ref="A111:G111"/>
    <mergeCell ref="A121:G121"/>
    <mergeCell ref="A87:G87"/>
    <mergeCell ref="A89:G89"/>
    <mergeCell ref="A101:G101"/>
    <mergeCell ref="A99:G99"/>
    <mergeCell ref="A117:G117"/>
    <mergeCell ref="A91:G91"/>
    <mergeCell ref="A93:G93"/>
  </mergeCells>
  <conditionalFormatting sqref="D25">
    <cfRule type="cellIs" dxfId="5" priority="1" operator="greaterThan">
      <formula>$B$25</formula>
    </cfRule>
  </conditionalFormatting>
  <pageMargins left="0.70866141732283472" right="0.70866141732283472" top="0.74803149606299213" bottom="0.74803149606299213" header="0.31496062992125984" footer="0.31496062992125984"/>
  <pageSetup paperSize="8" scale="71" orientation="landscape" r:id="rId1"/>
  <headerFooter>
    <oddHeader>&amp;CLincolnshire County Council</oddHeader>
    <oddFooter>&amp;C2021/22 Special School Budget Share Calculation
Funding Summary</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4"/>
  <sheetViews>
    <sheetView workbookViewId="0">
      <selection activeCell="G35" sqref="G35"/>
    </sheetView>
  </sheetViews>
  <sheetFormatPr defaultColWidth="10.26953125" defaultRowHeight="12.5" x14ac:dyDescent="0.25"/>
  <cols>
    <col min="1" max="1" width="10.26953125" style="34"/>
    <col min="2" max="2" width="31.54296875" style="34" customWidth="1"/>
    <col min="3" max="3" width="6.1796875" style="34" customWidth="1"/>
    <col min="4" max="8" width="15.7265625" style="737" customWidth="1"/>
    <col min="9" max="10" width="15.7265625" style="34" customWidth="1"/>
    <col min="11" max="12" width="15.7265625" style="40" customWidth="1"/>
    <col min="13" max="13" width="15.7265625" style="737" customWidth="1"/>
    <col min="14" max="14" width="17.26953125" style="34" customWidth="1"/>
    <col min="15" max="15" width="10.26953125" style="737" customWidth="1"/>
    <col min="16" max="16" width="0.81640625" style="34" customWidth="1"/>
    <col min="17" max="21" width="10.26953125" style="34" customWidth="1"/>
    <col min="22" max="23" width="11.1796875" style="34" customWidth="1"/>
    <col min="24" max="24" width="10.26953125" style="34" customWidth="1"/>
    <col min="25" max="25" width="10.26953125" style="42" customWidth="1"/>
    <col min="26" max="26" width="11.81640625" style="737" customWidth="1"/>
    <col min="27" max="27" width="10.26953125" style="737" customWidth="1"/>
    <col min="28" max="29" width="10.26953125" style="34" customWidth="1"/>
    <col min="30" max="30" width="9.54296875" style="737" customWidth="1"/>
    <col min="31" max="31" width="10.26953125" style="737" customWidth="1"/>
    <col min="32" max="38" width="10.81640625" style="737" customWidth="1"/>
    <col min="39" max="39" width="10.26953125" style="34" customWidth="1"/>
    <col min="40" max="42" width="11.26953125" style="34" customWidth="1"/>
    <col min="43" max="50" width="10.26953125" style="34"/>
    <col min="51" max="51" width="11.26953125" style="34" bestFit="1" customWidth="1"/>
    <col min="52" max="16384" width="10.26953125" style="34"/>
  </cols>
  <sheetData>
    <row r="1" spans="1:52" ht="17.5" x14ac:dyDescent="0.35">
      <c r="B1" s="44" t="s">
        <v>614</v>
      </c>
      <c r="C1" s="33"/>
      <c r="Y1" s="80"/>
    </row>
    <row r="2" spans="1:52" x14ac:dyDescent="0.25">
      <c r="B2" s="47"/>
      <c r="C2" s="47"/>
      <c r="O2" s="736"/>
      <c r="Q2" s="686"/>
      <c r="R2" s="686"/>
      <c r="S2" s="1977" t="s">
        <v>643</v>
      </c>
      <c r="AM2" s="1886"/>
      <c r="AN2" s="1886"/>
      <c r="AO2" s="1886"/>
      <c r="AP2" s="1886"/>
      <c r="AQ2" s="1886"/>
      <c r="AR2" s="52"/>
      <c r="AS2" s="52"/>
      <c r="AT2" s="52"/>
      <c r="AU2" s="52"/>
      <c r="AV2" s="52"/>
      <c r="AW2" s="52"/>
      <c r="AX2" s="52"/>
      <c r="AY2" s="52"/>
    </row>
    <row r="3" spans="1:52" ht="39" customHeight="1" x14ac:dyDescent="0.3">
      <c r="A3" s="184" t="s">
        <v>201</v>
      </c>
      <c r="B3" s="36" t="s">
        <v>66</v>
      </c>
      <c r="C3" s="39" t="s">
        <v>51</v>
      </c>
      <c r="D3" s="140" t="s">
        <v>20</v>
      </c>
      <c r="E3" s="141" t="s">
        <v>21</v>
      </c>
      <c r="F3" s="738" t="s">
        <v>64</v>
      </c>
      <c r="G3" s="738" t="s">
        <v>113</v>
      </c>
      <c r="H3" s="743" t="s">
        <v>449</v>
      </c>
      <c r="I3" s="743" t="s">
        <v>450</v>
      </c>
      <c r="J3" s="743" t="s">
        <v>400</v>
      </c>
      <c r="K3" s="157" t="s">
        <v>173</v>
      </c>
      <c r="L3" s="157" t="s">
        <v>194</v>
      </c>
      <c r="M3" s="738" t="s">
        <v>103</v>
      </c>
      <c r="N3" s="743" t="s">
        <v>297</v>
      </c>
      <c r="O3" s="540" t="s">
        <v>615</v>
      </c>
      <c r="Q3" s="746" t="s">
        <v>641</v>
      </c>
      <c r="R3" s="746" t="s">
        <v>642</v>
      </c>
      <c r="S3" s="1977"/>
      <c r="T3" s="688" t="s">
        <v>104</v>
      </c>
      <c r="U3" s="689" t="s">
        <v>645</v>
      </c>
      <c r="V3" s="689" t="s">
        <v>646</v>
      </c>
      <c r="W3" s="689" t="s">
        <v>647</v>
      </c>
      <c r="X3" s="689" t="s">
        <v>648</v>
      </c>
      <c r="Y3" s="743" t="s">
        <v>152</v>
      </c>
      <c r="Z3" s="742" t="s">
        <v>151</v>
      </c>
      <c r="AA3" s="742" t="s">
        <v>310</v>
      </c>
      <c r="AB3" s="742" t="s">
        <v>311</v>
      </c>
      <c r="AC3" s="742" t="s">
        <v>455</v>
      </c>
      <c r="AD3" s="743" t="s">
        <v>238</v>
      </c>
      <c r="AE3" s="695" t="s">
        <v>309</v>
      </c>
      <c r="AF3" s="691" t="s">
        <v>196</v>
      </c>
      <c r="AG3" s="693" t="s">
        <v>649</v>
      </c>
      <c r="AH3" s="693" t="s">
        <v>524</v>
      </c>
      <c r="AI3" s="692" t="s">
        <v>331</v>
      </c>
      <c r="AJ3" s="692" t="s">
        <v>650</v>
      </c>
      <c r="AK3" s="692" t="s">
        <v>651</v>
      </c>
      <c r="AL3" s="692" t="s">
        <v>654</v>
      </c>
      <c r="AM3" s="384"/>
      <c r="AN3" s="385"/>
      <c r="AO3" s="385"/>
      <c r="AP3" s="385"/>
      <c r="AQ3" s="386"/>
      <c r="AR3" s="385"/>
      <c r="AS3" s="385"/>
      <c r="AT3" s="385"/>
      <c r="AU3" s="385"/>
      <c r="AV3" s="385"/>
      <c r="AW3" s="385"/>
      <c r="AX3" s="386"/>
      <c r="AY3" s="385"/>
    </row>
    <row r="4" spans="1:52" ht="13" x14ac:dyDescent="0.3">
      <c r="A4" s="185">
        <v>9257010</v>
      </c>
      <c r="B4" s="38" t="s">
        <v>67</v>
      </c>
      <c r="C4" s="337">
        <v>4</v>
      </c>
      <c r="D4" s="94">
        <f>'Funding Model'!$D$23</f>
        <v>405763.82046267512</v>
      </c>
      <c r="E4" s="94">
        <f>'Funding Model'!$E$23</f>
        <v>88790.687513148558</v>
      </c>
      <c r="F4" s="744"/>
      <c r="G4" s="744"/>
      <c r="H4" s="744">
        <f>VLOOKUP(A4,'Band Calculations 1718'!$A$107:$W$125,6,FALSE)</f>
        <v>0</v>
      </c>
      <c r="I4" s="333">
        <f>VLOOKUP(A4,'Band Calculations - Rebase'!$A$110:$W$127,13,FALSE)</f>
        <v>577019.31988524052</v>
      </c>
      <c r="J4" s="333">
        <f>VLOOKUP(A4,'Band Calculations - Rebase'!$A$110:$W$127,20,FALSE)</f>
        <v>9473.6245539100964</v>
      </c>
      <c r="K4" s="94">
        <f>VLOOKUP(A4,'FSM Calculation 1718'!$A$4:$D$21,4,FALSE)</f>
        <v>7144</v>
      </c>
      <c r="L4" s="94">
        <v>616.77824313180849</v>
      </c>
      <c r="M4" s="744">
        <f>SUM(D4:L4)</f>
        <v>1088808.2306581058</v>
      </c>
      <c r="N4" s="333">
        <f>M4-F4</f>
        <v>1088808.2306581058</v>
      </c>
      <c r="O4" s="751">
        <f>VLOOKUP(A4,'Band Calculations - Rebase'!$A$110:$W$127,22,FALSE)</f>
        <v>50.333333333333343</v>
      </c>
      <c r="Q4" s="724">
        <f>N4-D4-E4-L4</f>
        <v>593636.94443915039</v>
      </c>
      <c r="R4" s="752">
        <f>Q4/O4</f>
        <v>11794.111478923516</v>
      </c>
      <c r="S4" s="724">
        <f>VLOOKUP(A4,'2017-18 Funding Detail'!$A$2:$AD$23,19,FALSE)</f>
        <v>10178.37223696539</v>
      </c>
      <c r="T4" s="42">
        <f>R4-S4</f>
        <v>1615.7392419581265</v>
      </c>
      <c r="U4" s="724">
        <f>IF(T4&lt;0,((T4*O4)*-1),(0))</f>
        <v>0</v>
      </c>
      <c r="V4" s="724">
        <f>N4+U4</f>
        <v>1088808.2306581058</v>
      </c>
      <c r="W4" s="42">
        <f>O4*10000</f>
        <v>503333.33333333343</v>
      </c>
      <c r="X4" s="42">
        <f>IF(W4&gt;V4,(W4-V4),(0))</f>
        <v>0</v>
      </c>
      <c r="Y4" s="742">
        <f>N4/O4</f>
        <v>21631.951602478919</v>
      </c>
      <c r="Z4" s="742">
        <f t="shared" ref="Z4:Z15" si="0">O4*10000</f>
        <v>503333.33333333343</v>
      </c>
      <c r="AA4" s="742">
        <f t="shared" ref="AA4:AA15" si="1">Y4-10000</f>
        <v>11631.951602478919</v>
      </c>
      <c r="AB4" s="669">
        <f>VLOOKUP(A4,'2017-18 Funding Detail'!$A$4:$AH$23,27,FALSE)</f>
        <v>9970.8687899910001</v>
      </c>
      <c r="AC4" s="94">
        <f>IF(AA4&gt;AB4,(AA4),(AB4))</f>
        <v>11631.951602478919</v>
      </c>
      <c r="AD4" s="744">
        <f>10000+AC4</f>
        <v>21631.951602478919</v>
      </c>
      <c r="AE4" s="726">
        <f>U4+X4</f>
        <v>0</v>
      </c>
      <c r="AF4" s="727">
        <f>N4+AE4</f>
        <v>1088808.2306581058</v>
      </c>
      <c r="AG4" s="549">
        <v>1005200.3957628806</v>
      </c>
      <c r="AH4" s="549">
        <f>AF4-AG4</f>
        <v>83607.834895225242</v>
      </c>
      <c r="AI4" s="387">
        <f>O4*10000</f>
        <v>503333.33333333343</v>
      </c>
      <c r="AJ4" s="387">
        <f>AF4-AI4</f>
        <v>585474.89732477232</v>
      </c>
      <c r="AK4" s="387">
        <f>AJ4/O4</f>
        <v>11631.951602478917</v>
      </c>
      <c r="AL4" s="696">
        <f>AF4/O4</f>
        <v>21631.951602478919</v>
      </c>
      <c r="AM4" s="609"/>
      <c r="AN4" s="633"/>
      <c r="AO4" s="633"/>
      <c r="AP4" s="633"/>
      <c r="AQ4" s="387"/>
      <c r="AR4" s="73"/>
      <c r="AS4" s="73"/>
      <c r="AT4" s="73"/>
      <c r="AU4" s="73"/>
      <c r="AV4" s="73"/>
      <c r="AW4" s="73"/>
      <c r="AX4" s="387"/>
      <c r="AY4" s="73"/>
      <c r="AZ4" s="125"/>
    </row>
    <row r="5" spans="1:52" ht="13" x14ac:dyDescent="0.3">
      <c r="A5" s="185">
        <v>9257005</v>
      </c>
      <c r="B5" s="38" t="s">
        <v>68</v>
      </c>
      <c r="C5" s="335">
        <v>4</v>
      </c>
      <c r="D5" s="94">
        <f>'Funding Model'!$D$23</f>
        <v>405763.82046267512</v>
      </c>
      <c r="E5" s="94">
        <f>'Funding Model'!$E$23</f>
        <v>88790.687513148558</v>
      </c>
      <c r="F5" s="744"/>
      <c r="G5" s="744"/>
      <c r="H5" s="744">
        <f>VLOOKUP(A5,'Band Calculations 1718'!$A$107:$W$125,6,FALSE)</f>
        <v>0</v>
      </c>
      <c r="I5" s="333">
        <f>VLOOKUP(A5,'Band Calculations - Rebase'!$A$110:$W$127,13,FALSE)</f>
        <v>761401.76186577207</v>
      </c>
      <c r="J5" s="333">
        <f>VLOOKUP(A5,'Band Calculations - Rebase'!$A$110:$W$127,20,FALSE)</f>
        <v>38832.284682461737</v>
      </c>
      <c r="K5" s="94">
        <f>VLOOKUP(A5,'FSM Calculation 1718'!$A$4:$D$21,4,FALSE)</f>
        <v>7590.5</v>
      </c>
      <c r="L5" s="94">
        <v>675.74486784427756</v>
      </c>
      <c r="M5" s="744">
        <f t="shared" ref="M5:M15" si="2">SUM(D5:L5)</f>
        <v>1303054.7993919018</v>
      </c>
      <c r="N5" s="333">
        <f t="shared" ref="N5:N15" si="3">M5-F5</f>
        <v>1303054.7993919018</v>
      </c>
      <c r="O5" s="751">
        <f>VLOOKUP(A5,'Band Calculations - Rebase'!$A$110:$W$127,22,FALSE)</f>
        <v>74.666666666666657</v>
      </c>
      <c r="Q5" s="724">
        <f t="shared" ref="Q5:Q23" si="4">N5-D5-E5-L5</f>
        <v>807824.54654823395</v>
      </c>
      <c r="R5" s="724">
        <f t="shared" ref="R5:R23" si="5">Q5/O5</f>
        <v>10819.078748413849</v>
      </c>
      <c r="S5" s="724">
        <f>VLOOKUP(A5,'2017-18 Funding Detail'!$A$2:$AD$23,19,FALSE)</f>
        <v>9731.8455727065739</v>
      </c>
      <c r="T5" s="42">
        <f t="shared" ref="T5:T23" si="6">R5-S5</f>
        <v>1087.2331757072752</v>
      </c>
      <c r="U5" s="724">
        <f>IF(T5&lt;0,((T5*O5)*-1),(0))</f>
        <v>0</v>
      </c>
      <c r="V5" s="724">
        <f t="shared" ref="V5:V23" si="7">N5+U5</f>
        <v>1303054.7993919018</v>
      </c>
      <c r="W5" s="42">
        <f t="shared" ref="W5:W23" si="8">O5*10000</f>
        <v>746666.66666666663</v>
      </c>
      <c r="X5" s="42">
        <f t="shared" ref="X5:X23" si="9">IF(W5&gt;V5,(W5-V5),(0))</f>
        <v>0</v>
      </c>
      <c r="Y5" s="742">
        <f t="shared" ref="Y5:Y23" si="10">N5/O5</f>
        <v>17451.626777570116</v>
      </c>
      <c r="Z5" s="742">
        <f t="shared" si="0"/>
        <v>746666.66666666663</v>
      </c>
      <c r="AA5" s="742">
        <f t="shared" si="1"/>
        <v>7451.6267775701162</v>
      </c>
      <c r="AB5" s="669">
        <f>VLOOKUP(A5,'2017-18 Funding Detail'!$A$4:$AH$23,27,FALSE)</f>
        <v>6471.8474623916882</v>
      </c>
      <c r="AC5" s="744">
        <f>IF(AA5&gt;AB5,(AA5),(AB5))</f>
        <v>7451.6267775701162</v>
      </c>
      <c r="AD5" s="744">
        <f t="shared" ref="AD5:AD23" si="11">10000+AC5</f>
        <v>17451.626777570116</v>
      </c>
      <c r="AE5" s="726">
        <f t="shared" ref="AE5:AE23" si="12">U5+X5</f>
        <v>0</v>
      </c>
      <c r="AF5" s="727">
        <f t="shared" ref="AF5:AF23" si="13">N5+AE5</f>
        <v>1303054.7993919018</v>
      </c>
      <c r="AG5" s="549">
        <v>1229897.9438585793</v>
      </c>
      <c r="AH5" s="549">
        <f t="shared" ref="AH5:AH23" si="14">AF5-AG5</f>
        <v>73156.855533322552</v>
      </c>
      <c r="AI5" s="387">
        <f t="shared" ref="AI5:AI23" si="15">O5*10000</f>
        <v>746666.66666666663</v>
      </c>
      <c r="AJ5" s="387">
        <f t="shared" ref="AJ5:AJ23" si="16">AF5-AI5</f>
        <v>556388.13272523519</v>
      </c>
      <c r="AK5" s="387">
        <f>AJ5/O5</f>
        <v>7451.6267775701153</v>
      </c>
      <c r="AL5" s="696">
        <f t="shared" ref="AL5:AL23" si="17">AF5/O5</f>
        <v>17451.626777570116</v>
      </c>
      <c r="AM5" s="609"/>
      <c r="AN5" s="633"/>
      <c r="AO5" s="633"/>
      <c r="AP5" s="633"/>
      <c r="AQ5" s="387"/>
      <c r="AR5" s="73"/>
      <c r="AS5" s="73"/>
      <c r="AT5" s="73"/>
      <c r="AU5" s="73"/>
      <c r="AV5" s="73"/>
      <c r="AW5" s="73"/>
      <c r="AX5" s="387"/>
      <c r="AY5" s="73"/>
      <c r="AZ5" s="125"/>
    </row>
    <row r="6" spans="1:52" ht="13" x14ac:dyDescent="0.3">
      <c r="A6" s="185">
        <v>9257025</v>
      </c>
      <c r="B6" s="38" t="s">
        <v>69</v>
      </c>
      <c r="C6" s="667">
        <v>4</v>
      </c>
      <c r="D6" s="94">
        <f>'Funding Model'!D23</f>
        <v>405763.82046267512</v>
      </c>
      <c r="E6" s="94">
        <f>'Funding Model'!E23</f>
        <v>88790.687513148558</v>
      </c>
      <c r="F6" s="744"/>
      <c r="G6" s="744"/>
      <c r="H6" s="744">
        <f>VLOOKUP(A6,'Band Calculations 1718'!$A$107:$W$125,6,FALSE)</f>
        <v>0</v>
      </c>
      <c r="I6" s="333">
        <f>VLOOKUP(A6,'Band Calculations - Rebase'!$A$110:$W$127,13,FALSE)</f>
        <v>664733.23329359293</v>
      </c>
      <c r="J6" s="333">
        <f>VLOOKUP(A6,'Band Calculations - Rebase'!$A$110:$W$127,20,FALSE)</f>
        <v>34363.344642691009</v>
      </c>
      <c r="K6" s="94">
        <f>VLOOKUP(A6,'FSM Calculation 1718'!$A$4:$D$21,4,FALSE)</f>
        <v>8930</v>
      </c>
      <c r="L6" s="94">
        <v>646.26155548804309</v>
      </c>
      <c r="M6" s="744">
        <f t="shared" si="2"/>
        <v>1203227.3474675957</v>
      </c>
      <c r="N6" s="333">
        <f t="shared" si="3"/>
        <v>1203227.3474675957</v>
      </c>
      <c r="O6" s="751">
        <f>VLOOKUP(A6,'Band Calculations - Rebase'!$A$110:$W$127,22,FALSE)</f>
        <v>62.833333333333336</v>
      </c>
      <c r="Q6" s="724">
        <f t="shared" si="4"/>
        <v>708026.57793628413</v>
      </c>
      <c r="R6" s="724">
        <f t="shared" si="5"/>
        <v>11268.327500312214</v>
      </c>
      <c r="S6" s="724">
        <f>VLOOKUP(A6,'2017-18 Funding Detail'!$A$2:$AD$23,19,FALSE)</f>
        <v>10269.108423540323</v>
      </c>
      <c r="T6" s="42">
        <f t="shared" si="6"/>
        <v>999.2190767718912</v>
      </c>
      <c r="U6" s="724">
        <f t="shared" ref="U6:U23" si="18">IF(T6&lt;0,((T6*O6)*-1),(0))</f>
        <v>0</v>
      </c>
      <c r="V6" s="724">
        <f t="shared" si="7"/>
        <v>1203227.3474675957</v>
      </c>
      <c r="W6" s="42">
        <f t="shared" si="8"/>
        <v>628333.33333333337</v>
      </c>
      <c r="X6" s="42">
        <f t="shared" si="9"/>
        <v>0</v>
      </c>
      <c r="Y6" s="742">
        <f t="shared" si="10"/>
        <v>19149.506856248208</v>
      </c>
      <c r="Z6" s="742">
        <f t="shared" si="0"/>
        <v>628333.33333333337</v>
      </c>
      <c r="AA6" s="742">
        <f t="shared" si="1"/>
        <v>9149.5068562482084</v>
      </c>
      <c r="AB6" s="669">
        <f>VLOOKUP(A6,'2017-18 Funding Detail'!$A$4:$AH$23,27,FALSE)</f>
        <v>8151.5353521937868</v>
      </c>
      <c r="AC6" s="744">
        <f t="shared" ref="AC6:AC23" si="19">IF(AA6&gt;AB6,(AA6),(AB6))</f>
        <v>9149.5068562482084</v>
      </c>
      <c r="AD6" s="744">
        <f t="shared" si="11"/>
        <v>19149.506856248208</v>
      </c>
      <c r="AE6" s="726">
        <f t="shared" si="12"/>
        <v>0</v>
      </c>
      <c r="AF6" s="727">
        <f t="shared" si="13"/>
        <v>1203227.3474675957</v>
      </c>
      <c r="AG6" s="549">
        <v>1140521.4712961763</v>
      </c>
      <c r="AH6" s="549">
        <f t="shared" si="14"/>
        <v>62705.876171419397</v>
      </c>
      <c r="AI6" s="387">
        <f t="shared" si="15"/>
        <v>628333.33333333337</v>
      </c>
      <c r="AJ6" s="387">
        <f t="shared" si="16"/>
        <v>574894.01413426234</v>
      </c>
      <c r="AK6" s="387">
        <f t="shared" ref="AK6:AK23" si="20">AJ6/O6</f>
        <v>9149.5068562482065</v>
      </c>
      <c r="AL6" s="696">
        <f t="shared" si="17"/>
        <v>19149.506856248208</v>
      </c>
      <c r="AM6" s="609"/>
      <c r="AN6" s="633"/>
      <c r="AO6" s="633"/>
      <c r="AP6" s="633"/>
      <c r="AQ6" s="387"/>
      <c r="AR6" s="73"/>
      <c r="AS6" s="73"/>
      <c r="AT6" s="73"/>
      <c r="AU6" s="73"/>
      <c r="AV6" s="73"/>
      <c r="AW6" s="73"/>
      <c r="AX6" s="387"/>
      <c r="AY6" s="73"/>
      <c r="AZ6" s="125"/>
    </row>
    <row r="7" spans="1:52" ht="13" x14ac:dyDescent="0.3">
      <c r="A7" s="185">
        <v>9257011</v>
      </c>
      <c r="B7" s="38" t="s">
        <v>70</v>
      </c>
      <c r="C7" s="335">
        <v>4</v>
      </c>
      <c r="D7" s="94">
        <f>'Funding Model'!$D$23</f>
        <v>405763.82046267512</v>
      </c>
      <c r="E7" s="94">
        <f>'Funding Model'!$E$23</f>
        <v>88790.687513148558</v>
      </c>
      <c r="F7" s="744"/>
      <c r="G7" s="744"/>
      <c r="H7" s="744">
        <f>VLOOKUP(A7,'Band Calculations 1718'!$A$107:$W$125,6,FALSE)</f>
        <v>0</v>
      </c>
      <c r="I7" s="333">
        <f>VLOOKUP(A7,'Band Calculations - Rebase'!$A$110:$W$127,13,FALSE)</f>
        <v>593437.02597476193</v>
      </c>
      <c r="J7" s="333">
        <f>VLOOKUP(A7,'Band Calculations - Rebase'!$A$110:$W$127,20,FALSE)</f>
        <v>22066.086212617378</v>
      </c>
      <c r="K7" s="94">
        <f>VLOOKUP(A7,'FSM Calculation 1718'!$A$4:$D$21,4,FALSE)</f>
        <v>6697.5</v>
      </c>
      <c r="L7" s="94">
        <v>610.88158066056155</v>
      </c>
      <c r="M7" s="744">
        <f t="shared" si="2"/>
        <v>1117366.0017438636</v>
      </c>
      <c r="N7" s="333">
        <f t="shared" si="3"/>
        <v>1117366.0017438636</v>
      </c>
      <c r="O7" s="751">
        <f>VLOOKUP(A7,'Band Calculations - Rebase'!$A$110:$W$127,22,FALSE)</f>
        <v>53.833333333333329</v>
      </c>
      <c r="Q7" s="724">
        <f t="shared" si="4"/>
        <v>622200.61218737939</v>
      </c>
      <c r="R7" s="724">
        <f t="shared" si="5"/>
        <v>11557.906108743891</v>
      </c>
      <c r="S7" s="724">
        <f>VLOOKUP(A7,'2017-18 Funding Detail'!$A$2:$AD$23,19,FALSE)</f>
        <v>10224.790960674309</v>
      </c>
      <c r="T7" s="42">
        <f t="shared" si="6"/>
        <v>1333.1151480695826</v>
      </c>
      <c r="U7" s="724">
        <f t="shared" si="18"/>
        <v>0</v>
      </c>
      <c r="V7" s="724">
        <f t="shared" si="7"/>
        <v>1117366.0017438636</v>
      </c>
      <c r="W7" s="42">
        <f t="shared" si="8"/>
        <v>538333.33333333326</v>
      </c>
      <c r="X7" s="42">
        <f t="shared" si="9"/>
        <v>0</v>
      </c>
      <c r="Y7" s="742">
        <f>N7/O7</f>
        <v>20756.02480019561</v>
      </c>
      <c r="Z7" s="742">
        <f t="shared" si="0"/>
        <v>538333.33333333326</v>
      </c>
      <c r="AA7" s="742">
        <f t="shared" si="1"/>
        <v>10756.02480019561</v>
      </c>
      <c r="AB7" s="669">
        <f>VLOOKUP(A7,'2017-18 Funding Detail'!$A$4:$AH$23,27,FALSE)</f>
        <v>9591.2097629556192</v>
      </c>
      <c r="AC7" s="744">
        <f t="shared" si="19"/>
        <v>10756.02480019561</v>
      </c>
      <c r="AD7" s="744">
        <f t="shared" si="11"/>
        <v>20756.02480019561</v>
      </c>
      <c r="AE7" s="726">
        <f t="shared" si="12"/>
        <v>0</v>
      </c>
      <c r="AF7" s="727">
        <f t="shared" si="13"/>
        <v>1117366.0017438636</v>
      </c>
      <c r="AG7" s="549">
        <v>1098397.5174908277</v>
      </c>
      <c r="AH7" s="549">
        <f t="shared" si="14"/>
        <v>18968.484253035858</v>
      </c>
      <c r="AI7" s="387">
        <f t="shared" si="15"/>
        <v>538333.33333333326</v>
      </c>
      <c r="AJ7" s="387">
        <f t="shared" si="16"/>
        <v>579032.66841053031</v>
      </c>
      <c r="AK7" s="387">
        <f t="shared" si="20"/>
        <v>10756.02480019561</v>
      </c>
      <c r="AL7" s="696">
        <f t="shared" si="17"/>
        <v>20756.02480019561</v>
      </c>
      <c r="AM7" s="609"/>
      <c r="AN7" s="633"/>
      <c r="AO7" s="633"/>
      <c r="AP7" s="633"/>
      <c r="AQ7" s="387"/>
      <c r="AR7" s="73"/>
      <c r="AS7" s="73"/>
      <c r="AT7" s="73"/>
      <c r="AU7" s="73"/>
      <c r="AV7" s="73"/>
      <c r="AW7" s="73"/>
      <c r="AX7" s="387"/>
      <c r="AY7" s="73"/>
      <c r="AZ7" s="125"/>
    </row>
    <row r="8" spans="1:52" ht="13" x14ac:dyDescent="0.3">
      <c r="A8" s="185">
        <v>9257024</v>
      </c>
      <c r="B8" s="38" t="s">
        <v>71</v>
      </c>
      <c r="C8" s="335">
        <v>3</v>
      </c>
      <c r="D8" s="94">
        <f>'Funding Model'!$D$22</f>
        <v>314686.51772419503</v>
      </c>
      <c r="E8" s="94">
        <f>'Funding Model'!$E$22</f>
        <v>69201.680689977453</v>
      </c>
      <c r="F8" s="744"/>
      <c r="G8" s="744"/>
      <c r="H8" s="744">
        <f>VLOOKUP(A8,'Band Calculations 1718'!$A$107:$W$125,6,FALSE)</f>
        <v>0</v>
      </c>
      <c r="I8" s="333">
        <f>VLOOKUP(A8,'Band Calculations - Rebase'!$A$110:$W$127,13,FALSE)</f>
        <v>681671.32370016293</v>
      </c>
      <c r="J8" s="333">
        <f>VLOOKUP(A8,'Band Calculations - Rebase'!$A$110:$W$127,20,FALSE)</f>
        <v>9234.6451024899688</v>
      </c>
      <c r="K8" s="94">
        <f>VLOOKUP(A8,'FSM Calculation 1718'!$A$4:$D$21,4,FALSE)</f>
        <v>9376.5</v>
      </c>
      <c r="L8" s="94">
        <v>628.57156807430238</v>
      </c>
      <c r="M8" s="744">
        <f t="shared" si="2"/>
        <v>1084799.2387848999</v>
      </c>
      <c r="N8" s="333">
        <f t="shared" si="3"/>
        <v>1084799.2387848999</v>
      </c>
      <c r="O8" s="751">
        <f>VLOOKUP(A8,'Band Calculations - Rebase'!$A$110:$W$127,22,FALSE)</f>
        <v>64.25</v>
      </c>
      <c r="Q8" s="724">
        <f t="shared" si="4"/>
        <v>700282.46880265314</v>
      </c>
      <c r="R8" s="724">
        <f t="shared" si="5"/>
        <v>10899.338035838959</v>
      </c>
      <c r="S8" s="724">
        <f>VLOOKUP(A8,'2017-18 Funding Detail'!$A$2:$AD$23,19,FALSE)</f>
        <v>9576.7857169851904</v>
      </c>
      <c r="T8" s="42">
        <f t="shared" si="6"/>
        <v>1322.5523188537682</v>
      </c>
      <c r="U8" s="724">
        <f t="shared" si="18"/>
        <v>0</v>
      </c>
      <c r="V8" s="724">
        <f t="shared" si="7"/>
        <v>1084799.2387848999</v>
      </c>
      <c r="W8" s="42">
        <f t="shared" si="8"/>
        <v>642500</v>
      </c>
      <c r="X8" s="42">
        <f t="shared" si="9"/>
        <v>0</v>
      </c>
      <c r="Y8" s="742">
        <f t="shared" si="10"/>
        <v>16884.034844901165</v>
      </c>
      <c r="Z8" s="742">
        <f t="shared" si="0"/>
        <v>642500</v>
      </c>
      <c r="AA8" s="742">
        <f t="shared" si="1"/>
        <v>6884.0348449011653</v>
      </c>
      <c r="AB8" s="669">
        <f>VLOOKUP(A8,'2017-18 Funding Detail'!$A$4:$AH$23,27,FALSE)</f>
        <v>5420.0844284477953</v>
      </c>
      <c r="AC8" s="744">
        <f t="shared" si="19"/>
        <v>6884.0348449011653</v>
      </c>
      <c r="AD8" s="744">
        <f t="shared" si="11"/>
        <v>16884.034844901165</v>
      </c>
      <c r="AE8" s="726">
        <f t="shared" si="12"/>
        <v>0</v>
      </c>
      <c r="AF8" s="727">
        <f t="shared" si="13"/>
        <v>1084799.2387848999</v>
      </c>
      <c r="AG8" s="549">
        <v>1037906.8805962806</v>
      </c>
      <c r="AH8" s="549">
        <f t="shared" si="14"/>
        <v>46892.358188619372</v>
      </c>
      <c r="AI8" s="387">
        <f t="shared" si="15"/>
        <v>642500</v>
      </c>
      <c r="AJ8" s="387">
        <f t="shared" si="16"/>
        <v>442299.23878489994</v>
      </c>
      <c r="AK8" s="387">
        <f t="shared" si="20"/>
        <v>6884.0348449011663</v>
      </c>
      <c r="AL8" s="696">
        <f t="shared" si="17"/>
        <v>16884.034844901165</v>
      </c>
      <c r="AM8" s="609"/>
      <c r="AN8" s="633"/>
      <c r="AO8" s="633"/>
      <c r="AP8" s="633"/>
      <c r="AQ8" s="387"/>
      <c r="AR8" s="73"/>
      <c r="AS8" s="73"/>
      <c r="AT8" s="73"/>
      <c r="AU8" s="73"/>
      <c r="AV8" s="73"/>
      <c r="AW8" s="73"/>
      <c r="AX8" s="387"/>
      <c r="AY8" s="73"/>
      <c r="AZ8" s="125"/>
    </row>
    <row r="9" spans="1:52" ht="13" x14ac:dyDescent="0.3">
      <c r="A9" s="185">
        <v>9257008</v>
      </c>
      <c r="B9" s="38" t="s">
        <v>73</v>
      </c>
      <c r="C9" s="667">
        <v>4</v>
      </c>
      <c r="D9" s="94">
        <f>'Funding Model'!$D$23</f>
        <v>405763.82046267512</v>
      </c>
      <c r="E9" s="94">
        <f>'Funding Model'!$E$23</f>
        <v>88790.687513148558</v>
      </c>
      <c r="F9" s="744"/>
      <c r="G9" s="744"/>
      <c r="H9" s="744">
        <f>VLOOKUP(A9,'Band Calculations 1718'!$A$107:$W$125,6,FALSE)</f>
        <v>0</v>
      </c>
      <c r="I9" s="333">
        <f>VLOOKUP(A9,'Band Calculations - Rebase'!$A$110:$W$127,13,FALSE)</f>
        <v>720124.09819319728</v>
      </c>
      <c r="J9" s="333">
        <f>VLOOKUP(A9,'Band Calculations - Rebase'!$A$110:$W$127,20,FALSE)</f>
        <v>66961.216948244939</v>
      </c>
      <c r="K9" s="94">
        <f>VLOOKUP(A9,'FSM Calculation 1718'!$A$4:$D$21,4,FALSE)</f>
        <v>11609</v>
      </c>
      <c r="L9" s="94">
        <v>737.65982379237016</v>
      </c>
      <c r="M9" s="744">
        <f t="shared" si="2"/>
        <v>1293986.4829410582</v>
      </c>
      <c r="N9" s="333">
        <f t="shared" si="3"/>
        <v>1293986.4829410582</v>
      </c>
      <c r="O9" s="751">
        <f>VLOOKUP(A9,'Band Calculations - Rebase'!$A$110:$W$127,22,FALSE)</f>
        <v>90</v>
      </c>
      <c r="Q9" s="724">
        <f t="shared" si="4"/>
        <v>798694.31514144223</v>
      </c>
      <c r="R9" s="724">
        <f t="shared" si="5"/>
        <v>8874.381279349358</v>
      </c>
      <c r="S9" s="724">
        <f>VLOOKUP(A9,'2017-18 Funding Detail'!$A$2:$AD$23,19,FALSE)</f>
        <v>8809.679282381343</v>
      </c>
      <c r="T9" s="42">
        <f t="shared" si="6"/>
        <v>64.70199696801501</v>
      </c>
      <c r="U9" s="724">
        <f t="shared" si="18"/>
        <v>0</v>
      </c>
      <c r="V9" s="724">
        <f t="shared" si="7"/>
        <v>1293986.4829410582</v>
      </c>
      <c r="W9" s="42">
        <f t="shared" si="8"/>
        <v>900000</v>
      </c>
      <c r="X9" s="42">
        <f t="shared" si="9"/>
        <v>0</v>
      </c>
      <c r="Y9" s="742">
        <f t="shared" si="10"/>
        <v>14377.62758823398</v>
      </c>
      <c r="Z9" s="742">
        <f t="shared" si="0"/>
        <v>900000</v>
      </c>
      <c r="AA9" s="742">
        <f t="shared" si="1"/>
        <v>4377.6275882339796</v>
      </c>
      <c r="AB9" s="669">
        <f>VLOOKUP(A9,'2017-18 Funding Detail'!$A$4:$AH$23,27,FALSE)</f>
        <v>4377.6275882339796</v>
      </c>
      <c r="AC9" s="744">
        <f t="shared" si="19"/>
        <v>4377.6275882339796</v>
      </c>
      <c r="AD9" s="744">
        <f t="shared" si="11"/>
        <v>14377.62758823398</v>
      </c>
      <c r="AE9" s="726">
        <f t="shared" si="12"/>
        <v>0</v>
      </c>
      <c r="AF9" s="727">
        <f t="shared" si="13"/>
        <v>1293986.4829410582</v>
      </c>
      <c r="AG9" s="549">
        <v>1293986.4829410582</v>
      </c>
      <c r="AH9" s="549">
        <f t="shared" si="14"/>
        <v>0</v>
      </c>
      <c r="AI9" s="387">
        <f t="shared" si="15"/>
        <v>900000</v>
      </c>
      <c r="AJ9" s="387">
        <f t="shared" si="16"/>
        <v>393986.48294105823</v>
      </c>
      <c r="AK9" s="387">
        <f t="shared" si="20"/>
        <v>4377.6275882339805</v>
      </c>
      <c r="AL9" s="696">
        <f t="shared" si="17"/>
        <v>14377.62758823398</v>
      </c>
      <c r="AM9" s="609"/>
      <c r="AN9" s="633"/>
      <c r="AO9" s="633"/>
      <c r="AP9" s="633"/>
      <c r="AQ9" s="387"/>
      <c r="AR9" s="73"/>
      <c r="AS9" s="73"/>
      <c r="AT9" s="73"/>
      <c r="AU9" s="73"/>
      <c r="AV9" s="73"/>
      <c r="AW9" s="73"/>
      <c r="AX9" s="387"/>
      <c r="AY9" s="73"/>
      <c r="AZ9" s="125"/>
    </row>
    <row r="10" spans="1:52" ht="13" x14ac:dyDescent="0.3">
      <c r="A10" s="185">
        <v>9257002</v>
      </c>
      <c r="B10" s="38" t="s">
        <v>75</v>
      </c>
      <c r="C10" s="335">
        <v>5</v>
      </c>
      <c r="D10" s="94">
        <f>'Funding Model'!$D$24</f>
        <v>418723.18610831723</v>
      </c>
      <c r="E10" s="94">
        <f>'Funding Model'!$E$24</f>
        <v>117027.3922528728</v>
      </c>
      <c r="F10" s="744"/>
      <c r="G10" s="744"/>
      <c r="H10" s="744">
        <f>VLOOKUP(A10,'Band Calculations 1718'!$A$107:$W$125,6,FALSE)</f>
        <v>0</v>
      </c>
      <c r="I10" s="333">
        <f>VLOOKUP(A10,'Band Calculations - Rebase'!$A$110:$W$127,13,FALSE)</f>
        <v>986884.20185962389</v>
      </c>
      <c r="J10" s="333">
        <f>VLOOKUP(A10,'Band Calculations - Rebase'!$A$110:$W$127,20,FALSE)</f>
        <v>32862.442477714241</v>
      </c>
      <c r="K10" s="94">
        <f>VLOOKUP(A10,'FSM Calculation 1718'!$A$4:$D$21,4,FALSE)</f>
        <v>22771.5</v>
      </c>
      <c r="L10" s="94">
        <v>873.28306063104901</v>
      </c>
      <c r="M10" s="744">
        <f t="shared" si="2"/>
        <v>1579142.0057591593</v>
      </c>
      <c r="N10" s="333">
        <f t="shared" si="3"/>
        <v>1579142.0057591593</v>
      </c>
      <c r="O10" s="751">
        <f>VLOOKUP(A10,'Band Calculations - Rebase'!$A$110:$W$127,22,FALSE)</f>
        <v>134.91666666666669</v>
      </c>
      <c r="Q10" s="724">
        <f t="shared" si="4"/>
        <v>1042518.1443373383</v>
      </c>
      <c r="R10" s="724">
        <f t="shared" si="5"/>
        <v>7727.1264558666198</v>
      </c>
      <c r="S10" s="724">
        <f>VLOOKUP(A10,'2017-18 Funding Detail'!$A$2:$AD$23,19,FALSE)</f>
        <v>7514.3811266398034</v>
      </c>
      <c r="T10" s="42">
        <f t="shared" si="6"/>
        <v>212.74532922681647</v>
      </c>
      <c r="U10" s="724">
        <f t="shared" si="18"/>
        <v>0</v>
      </c>
      <c r="V10" s="724">
        <f t="shared" si="7"/>
        <v>1579142.0057591593</v>
      </c>
      <c r="W10" s="42">
        <f t="shared" si="8"/>
        <v>1349166.6666666667</v>
      </c>
      <c r="X10" s="42">
        <f t="shared" si="9"/>
        <v>0</v>
      </c>
      <c r="Y10" s="742">
        <f t="shared" si="10"/>
        <v>11704.573236016004</v>
      </c>
      <c r="Z10" s="742">
        <f t="shared" si="0"/>
        <v>1349166.6666666667</v>
      </c>
      <c r="AA10" s="742">
        <f t="shared" si="1"/>
        <v>1704.5732360160036</v>
      </c>
      <c r="AB10" s="669">
        <f>VLOOKUP(A10,'2017-18 Funding Detail'!$A$4:$AH$23,27,FALSE)</f>
        <v>1627.1107577313596</v>
      </c>
      <c r="AC10" s="744">
        <f t="shared" si="19"/>
        <v>1704.5732360160036</v>
      </c>
      <c r="AD10" s="744">
        <f t="shared" si="11"/>
        <v>11704.573236016004</v>
      </c>
      <c r="AE10" s="726">
        <f t="shared" si="12"/>
        <v>0</v>
      </c>
      <c r="AF10" s="727">
        <f t="shared" si="13"/>
        <v>1579142.0057591593</v>
      </c>
      <c r="AG10" s="549">
        <v>1590086.0423340017</v>
      </c>
      <c r="AH10" s="549">
        <f t="shared" si="14"/>
        <v>-10944.036574842408</v>
      </c>
      <c r="AI10" s="387">
        <f t="shared" si="15"/>
        <v>1349166.6666666667</v>
      </c>
      <c r="AJ10" s="387">
        <f t="shared" si="16"/>
        <v>229975.33909249259</v>
      </c>
      <c r="AK10" s="387">
        <f t="shared" si="20"/>
        <v>1704.5732360160041</v>
      </c>
      <c r="AL10" s="696">
        <f t="shared" si="17"/>
        <v>11704.573236016004</v>
      </c>
      <c r="AM10" s="609"/>
      <c r="AN10" s="633"/>
      <c r="AO10" s="633"/>
      <c r="AP10" s="633"/>
      <c r="AQ10" s="387"/>
      <c r="AR10" s="73"/>
      <c r="AS10" s="73"/>
      <c r="AT10" s="73"/>
      <c r="AU10" s="73"/>
      <c r="AV10" s="73"/>
      <c r="AW10" s="73"/>
      <c r="AX10" s="387"/>
      <c r="AY10" s="73"/>
      <c r="AZ10" s="125"/>
    </row>
    <row r="11" spans="1:52" ht="13" x14ac:dyDescent="0.3">
      <c r="A11" s="185">
        <v>9257009</v>
      </c>
      <c r="B11" s="38" t="s">
        <v>76</v>
      </c>
      <c r="C11" s="335">
        <v>4</v>
      </c>
      <c r="D11" s="94">
        <f>'Funding Model'!$D$23</f>
        <v>405763.82046267512</v>
      </c>
      <c r="E11" s="94">
        <f>'Funding Model'!$E$23</f>
        <v>88790.687513148558</v>
      </c>
      <c r="F11" s="744"/>
      <c r="G11" s="744"/>
      <c r="H11" s="744">
        <f>VLOOKUP(A11,'Band Calculations 1718'!$A$107:$W$125,6,FALSE)</f>
        <v>0</v>
      </c>
      <c r="I11" s="333">
        <f>VLOOKUP(A11,'Band Calculations - Rebase'!$A$110:$W$127,13,FALSE)</f>
        <v>931410.22792901238</v>
      </c>
      <c r="J11" s="333">
        <f>VLOOKUP(A11,'Band Calculations - Rebase'!$A$110:$W$127,20,FALSE)</f>
        <v>46913.987226747151</v>
      </c>
      <c r="K11" s="94">
        <f>VLOOKUP(A11,'FSM Calculation 1718'!$A$4:$D$21,4,FALSE)</f>
        <v>11609</v>
      </c>
      <c r="L11" s="94">
        <v>876.23139186667242</v>
      </c>
      <c r="M11" s="744">
        <f t="shared" si="2"/>
        <v>1485363.95452345</v>
      </c>
      <c r="N11" s="333">
        <f t="shared" si="3"/>
        <v>1485363.95452345</v>
      </c>
      <c r="O11" s="751">
        <f>VLOOKUP(A11,'Band Calculations - Rebase'!$A$110:$W$127,22,FALSE)</f>
        <v>128.58333333333334</v>
      </c>
      <c r="Q11" s="724">
        <f t="shared" si="4"/>
        <v>989933.21515575971</v>
      </c>
      <c r="R11" s="724">
        <f t="shared" si="5"/>
        <v>7698.7677134602172</v>
      </c>
      <c r="S11" s="724">
        <f>VLOOKUP(A11,'2017-18 Funding Detail'!$A$2:$AD$23,19,FALSE)</f>
        <v>7610.4234883055324</v>
      </c>
      <c r="T11" s="42">
        <f t="shared" si="6"/>
        <v>88.344225154684864</v>
      </c>
      <c r="U11" s="724">
        <f t="shared" si="18"/>
        <v>0</v>
      </c>
      <c r="V11" s="724">
        <f t="shared" si="7"/>
        <v>1485363.95452345</v>
      </c>
      <c r="W11" s="42">
        <f t="shared" si="8"/>
        <v>1285833.3333333335</v>
      </c>
      <c r="X11" s="42">
        <f t="shared" si="9"/>
        <v>0</v>
      </c>
      <c r="Y11" s="742">
        <f t="shared" si="10"/>
        <v>11551.761149890732</v>
      </c>
      <c r="Z11" s="742">
        <f t="shared" si="0"/>
        <v>1285833.3333333335</v>
      </c>
      <c r="AA11" s="742">
        <f t="shared" si="1"/>
        <v>1551.7611498907318</v>
      </c>
      <c r="AB11" s="669">
        <f>VLOOKUP(A11,'2017-18 Funding Detail'!$A$4:$AH$23,27,FALSE)</f>
        <v>1551.7611498907318</v>
      </c>
      <c r="AC11" s="744">
        <f t="shared" si="19"/>
        <v>1551.7611498907318</v>
      </c>
      <c r="AD11" s="744">
        <f t="shared" si="11"/>
        <v>11551.761149890732</v>
      </c>
      <c r="AE11" s="726">
        <f t="shared" si="12"/>
        <v>0</v>
      </c>
      <c r="AF11" s="727">
        <f t="shared" si="13"/>
        <v>1485363.95452345</v>
      </c>
      <c r="AG11" s="549">
        <v>1485363.95452345</v>
      </c>
      <c r="AH11" s="549">
        <f t="shared" si="14"/>
        <v>0</v>
      </c>
      <c r="AI11" s="387">
        <f t="shared" si="15"/>
        <v>1285833.3333333335</v>
      </c>
      <c r="AJ11" s="387">
        <f t="shared" si="16"/>
        <v>199530.62119011651</v>
      </c>
      <c r="AK11" s="387">
        <f t="shared" si="20"/>
        <v>1551.7611498907311</v>
      </c>
      <c r="AL11" s="696">
        <f t="shared" si="17"/>
        <v>11551.761149890732</v>
      </c>
      <c r="AM11" s="609"/>
      <c r="AN11" s="633"/>
      <c r="AO11" s="633"/>
      <c r="AP11" s="633"/>
      <c r="AQ11" s="387"/>
      <c r="AR11" s="73"/>
      <c r="AS11" s="73"/>
      <c r="AT11" s="73"/>
      <c r="AU11" s="73"/>
      <c r="AV11" s="73"/>
      <c r="AW11" s="73"/>
      <c r="AX11" s="387"/>
      <c r="AY11" s="73"/>
      <c r="AZ11" s="125"/>
    </row>
    <row r="12" spans="1:52" ht="13" x14ac:dyDescent="0.3">
      <c r="A12" s="185">
        <v>9257028</v>
      </c>
      <c r="B12" s="38" t="s">
        <v>77</v>
      </c>
      <c r="C12" s="335">
        <v>5</v>
      </c>
      <c r="D12" s="94">
        <f>'Funding Model'!$D$24</f>
        <v>418723.18610831723</v>
      </c>
      <c r="E12" s="94">
        <f>'Funding Model'!$E$24</f>
        <v>117027.3922528728</v>
      </c>
      <c r="F12" s="744"/>
      <c r="G12" s="744"/>
      <c r="H12" s="744">
        <f>VLOOKUP(A12,'Band Calculations 1718'!$A$107:$W$125,6,FALSE)</f>
        <v>0</v>
      </c>
      <c r="I12" s="333">
        <f>VLOOKUP(A12,'Band Calculations - Rebase'!$A$110:$W$127,13,FALSE)</f>
        <v>923590.44048098498</v>
      </c>
      <c r="J12" s="333">
        <f>VLOOKUP(A12,'Band Calculations - Rebase'!$A$110:$W$127,20,FALSE)</f>
        <v>47319.52195335189</v>
      </c>
      <c r="K12" s="94">
        <f>VLOOKUP(A12,'FSM Calculation 1718'!$A$4:$D$21,4,FALSE)</f>
        <v>6697.5</v>
      </c>
      <c r="L12" s="94">
        <v>705.22818020051216</v>
      </c>
      <c r="M12" s="744">
        <f t="shared" si="2"/>
        <v>1514063.2689757275</v>
      </c>
      <c r="N12" s="333">
        <f t="shared" si="3"/>
        <v>1514063.2689757275</v>
      </c>
      <c r="O12" s="751">
        <f>VLOOKUP(A12,'Band Calculations - Rebase'!$A$110:$W$127,22,FALSE)</f>
        <v>75</v>
      </c>
      <c r="Q12" s="724">
        <f t="shared" si="4"/>
        <v>977607.46243433689</v>
      </c>
      <c r="R12" s="724">
        <f t="shared" si="5"/>
        <v>13034.766165791159</v>
      </c>
      <c r="S12" s="724">
        <f>VLOOKUP(A12,'2017-18 Funding Detail'!$A$2:$AD$23,19,FALSE)</f>
        <v>10830.994771228929</v>
      </c>
      <c r="T12" s="42">
        <f t="shared" si="6"/>
        <v>2203.7713945622309</v>
      </c>
      <c r="U12" s="724">
        <f t="shared" si="18"/>
        <v>0</v>
      </c>
      <c r="V12" s="724">
        <f t="shared" si="7"/>
        <v>1514063.2689757275</v>
      </c>
      <c r="W12" s="42">
        <f t="shared" si="8"/>
        <v>750000</v>
      </c>
      <c r="X12" s="42">
        <f t="shared" si="9"/>
        <v>0</v>
      </c>
      <c r="Y12" s="742">
        <f t="shared" si="10"/>
        <v>20187.510253009699</v>
      </c>
      <c r="Z12" s="742">
        <f t="shared" si="0"/>
        <v>750000</v>
      </c>
      <c r="AA12" s="742">
        <f t="shared" si="1"/>
        <v>10187.510253009699</v>
      </c>
      <c r="AB12" s="669">
        <f>VLOOKUP(A12,'2017-18 Funding Detail'!$A$4:$AH$23,27,FALSE)</f>
        <v>8097.3143806290573</v>
      </c>
      <c r="AC12" s="744">
        <f t="shared" si="19"/>
        <v>10187.510253009699</v>
      </c>
      <c r="AD12" s="744">
        <f t="shared" si="11"/>
        <v>20187.510253009699</v>
      </c>
      <c r="AE12" s="726">
        <f t="shared" si="12"/>
        <v>0</v>
      </c>
      <c r="AF12" s="727">
        <f t="shared" si="13"/>
        <v>1514063.2689757275</v>
      </c>
      <c r="AG12" s="549">
        <v>1379828.2743086882</v>
      </c>
      <c r="AH12" s="549">
        <f t="shared" si="14"/>
        <v>134234.99466703925</v>
      </c>
      <c r="AI12" s="387">
        <f t="shared" si="15"/>
        <v>750000</v>
      </c>
      <c r="AJ12" s="387">
        <f t="shared" si="16"/>
        <v>764063.26897572749</v>
      </c>
      <c r="AK12" s="387">
        <f t="shared" si="20"/>
        <v>10187.510253009699</v>
      </c>
      <c r="AL12" s="696">
        <f t="shared" si="17"/>
        <v>20187.510253009699</v>
      </c>
      <c r="AM12" s="609"/>
      <c r="AN12" s="633"/>
      <c r="AO12" s="633"/>
      <c r="AP12" s="633"/>
      <c r="AQ12" s="387"/>
      <c r="AR12" s="73"/>
      <c r="AS12" s="73"/>
      <c r="AT12" s="73"/>
      <c r="AU12" s="73"/>
      <c r="AV12" s="73"/>
      <c r="AW12" s="73"/>
      <c r="AX12" s="387"/>
      <c r="AY12" s="73"/>
      <c r="AZ12" s="125"/>
    </row>
    <row r="13" spans="1:52" ht="13" x14ac:dyDescent="0.3">
      <c r="A13" s="185">
        <v>9257021</v>
      </c>
      <c r="B13" s="38" t="s">
        <v>78</v>
      </c>
      <c r="C13" s="667">
        <v>5</v>
      </c>
      <c r="D13" s="94">
        <f>'Funding Model'!$D$24</f>
        <v>418723.18610831723</v>
      </c>
      <c r="E13" s="94">
        <f>'Funding Model'!$E$24</f>
        <v>117027.3922528728</v>
      </c>
      <c r="F13" s="744"/>
      <c r="G13" s="744"/>
      <c r="H13" s="744">
        <f>VLOOKUP(A13,'Band Calculations 1718'!$A$107:$W$125,6,FALSE)</f>
        <v>0</v>
      </c>
      <c r="I13" s="333">
        <f>VLOOKUP(A13,'Band Calculations - Rebase'!$A$110:$W$127,13,FALSE)</f>
        <v>1166949.2144692279</v>
      </c>
      <c r="J13" s="333">
        <f>VLOOKUP(A13,'Band Calculations - Rebase'!$A$110:$W$127,20,FALSE)</f>
        <v>57865.89906844536</v>
      </c>
      <c r="K13" s="94">
        <f>VLOOKUP(A13,'FSM Calculation 1718'!$A$4:$D$21,4,FALSE)</f>
        <v>29915.5</v>
      </c>
      <c r="L13" s="94">
        <v>908.66303545853043</v>
      </c>
      <c r="M13" s="744">
        <f t="shared" si="2"/>
        <v>1791389.8549343217</v>
      </c>
      <c r="N13" s="333">
        <f t="shared" si="3"/>
        <v>1791389.8549343217</v>
      </c>
      <c r="O13" s="751">
        <f>VLOOKUP(A13,'Band Calculations - Rebase'!$A$110:$W$127,22,FALSE)</f>
        <v>155.91666666666669</v>
      </c>
      <c r="Q13" s="724">
        <f t="shared" si="4"/>
        <v>1254730.6135376734</v>
      </c>
      <c r="R13" s="724">
        <f t="shared" si="5"/>
        <v>8047.4438067622013</v>
      </c>
      <c r="S13" s="724">
        <f>VLOOKUP(A13,'2017-18 Funding Detail'!$A$2:$AD$23,19,FALSE)</f>
        <v>7777.3723820258401</v>
      </c>
      <c r="T13" s="42">
        <f t="shared" si="6"/>
        <v>270.07142473636122</v>
      </c>
      <c r="U13" s="724">
        <f t="shared" si="18"/>
        <v>0</v>
      </c>
      <c r="V13" s="724">
        <f t="shared" si="7"/>
        <v>1791389.8549343217</v>
      </c>
      <c r="W13" s="42">
        <f t="shared" si="8"/>
        <v>1559166.6666666667</v>
      </c>
      <c r="X13" s="42">
        <f t="shared" si="9"/>
        <v>0</v>
      </c>
      <c r="Y13" s="742">
        <f t="shared" si="10"/>
        <v>11489.405803961443</v>
      </c>
      <c r="Z13" s="742">
        <f t="shared" si="0"/>
        <v>1559166.6666666667</v>
      </c>
      <c r="AA13" s="742">
        <f t="shared" si="1"/>
        <v>1489.4058039614429</v>
      </c>
      <c r="AB13" s="669">
        <f>VLOOKUP(A13,'2017-18 Funding Detail'!$A$4:$AH$23,27,FALSE)</f>
        <v>1355.3472766040522</v>
      </c>
      <c r="AC13" s="744">
        <f t="shared" si="19"/>
        <v>1489.4058039614429</v>
      </c>
      <c r="AD13" s="744">
        <f t="shared" si="11"/>
        <v>11489.405803961443</v>
      </c>
      <c r="AE13" s="726">
        <f t="shared" si="12"/>
        <v>0</v>
      </c>
      <c r="AF13" s="727">
        <f t="shared" si="13"/>
        <v>1791389.8549343217</v>
      </c>
      <c r="AG13" s="549">
        <v>1770487.8962105154</v>
      </c>
      <c r="AH13" s="549">
        <f t="shared" si="14"/>
        <v>20901.95872380631</v>
      </c>
      <c r="AI13" s="387">
        <f t="shared" si="15"/>
        <v>1559166.6666666667</v>
      </c>
      <c r="AJ13" s="387">
        <f t="shared" si="16"/>
        <v>232223.18826765497</v>
      </c>
      <c r="AK13" s="387">
        <f t="shared" si="20"/>
        <v>1489.4058039614426</v>
      </c>
      <c r="AL13" s="696">
        <f t="shared" si="17"/>
        <v>11489.405803961443</v>
      </c>
      <c r="AM13" s="609"/>
      <c r="AN13" s="633"/>
      <c r="AO13" s="633"/>
      <c r="AP13" s="633"/>
      <c r="AQ13" s="387"/>
      <c r="AR13" s="73"/>
      <c r="AS13" s="73"/>
      <c r="AT13" s="73"/>
      <c r="AU13" s="73"/>
      <c r="AV13" s="73"/>
      <c r="AW13" s="73"/>
      <c r="AX13" s="387"/>
      <c r="AY13" s="73"/>
      <c r="AZ13" s="125"/>
    </row>
    <row r="14" spans="1:52" s="40" customFormat="1" ht="12.75" customHeight="1" x14ac:dyDescent="0.3">
      <c r="A14" s="131">
        <v>9257015</v>
      </c>
      <c r="B14" s="38" t="s">
        <v>55</v>
      </c>
      <c r="C14" s="335">
        <v>6</v>
      </c>
      <c r="D14" s="94">
        <f>'Funding Model'!$D$25</f>
        <v>493762.11190507573</v>
      </c>
      <c r="E14" s="94">
        <f>'Funding Model'!$E$25</f>
        <v>131719.7894229154</v>
      </c>
      <c r="F14" s="94"/>
      <c r="G14" s="645">
        <v>41787</v>
      </c>
      <c r="H14" s="744">
        <f>VLOOKUP(A14,'Band Calculations 1718'!$A$107:$W$125,6,FALSE)</f>
        <v>0</v>
      </c>
      <c r="I14" s="333">
        <f>VLOOKUP(A14,'Band Calculations - Rebase'!$A$110:$W$127,13,FALSE)</f>
        <v>1991776.7793852668</v>
      </c>
      <c r="J14" s="333">
        <f>VLOOKUP(A14,'Band Calculations - Rebase'!$A$110:$W$127,20,FALSE)</f>
        <v>45985.835743205549</v>
      </c>
      <c r="K14" s="94">
        <f>VLOOKUP(A14,'FSM Calculation 1718'!$A$4:$D$21,4,FALSE)</f>
        <v>33934</v>
      </c>
      <c r="L14" s="94">
        <v>1056.0795972397032</v>
      </c>
      <c r="M14" s="94">
        <f t="shared" si="2"/>
        <v>2740021.5960537032</v>
      </c>
      <c r="N14" s="333">
        <f>M14-F14-G14</f>
        <v>2698234.5960537032</v>
      </c>
      <c r="O14" s="751">
        <f>VLOOKUP(A14,'Band Calculations - Rebase'!$A$110:$W$127,22,FALSE)</f>
        <v>270.50000000000006</v>
      </c>
      <c r="Q14" s="724">
        <f t="shared" si="4"/>
        <v>2071696.6151284727</v>
      </c>
      <c r="R14" s="724">
        <f t="shared" si="5"/>
        <v>7658.7675235803044</v>
      </c>
      <c r="S14" s="724">
        <f>VLOOKUP(A14,'2017-18 Funding Detail'!$A$2:$AD$23,19,FALSE)</f>
        <v>7588.033312603473</v>
      </c>
      <c r="T14" s="42">
        <f t="shared" si="6"/>
        <v>70.734210976831491</v>
      </c>
      <c r="U14" s="724">
        <f t="shared" si="18"/>
        <v>0</v>
      </c>
      <c r="V14" s="42">
        <f t="shared" si="7"/>
        <v>2698234.5960537032</v>
      </c>
      <c r="W14" s="724">
        <f t="shared" si="8"/>
        <v>2705000.0000000005</v>
      </c>
      <c r="X14" s="724">
        <f t="shared" si="9"/>
        <v>6765.4039462972432</v>
      </c>
      <c r="Y14" s="247">
        <f t="shared" si="10"/>
        <v>9974.9892645238542</v>
      </c>
      <c r="Z14" s="247">
        <f t="shared" si="0"/>
        <v>2705000.0000000005</v>
      </c>
      <c r="AA14" s="247">
        <f t="shared" si="1"/>
        <v>-25.010735476145783</v>
      </c>
      <c r="AB14" s="669">
        <f>VLOOKUP(A14,'2017-18 Funding Detail'!$A$4:$AH$23,27,FALSE)</f>
        <v>-218.18965159265645</v>
      </c>
      <c r="AC14" s="645">
        <v>0</v>
      </c>
      <c r="AD14" s="94">
        <f t="shared" si="11"/>
        <v>10000</v>
      </c>
      <c r="AE14" s="726">
        <f t="shared" si="12"/>
        <v>6765.4039462972432</v>
      </c>
      <c r="AF14" s="727">
        <f t="shared" si="13"/>
        <v>2705000.0000000005</v>
      </c>
      <c r="AG14" s="549">
        <v>2705000.0000000009</v>
      </c>
      <c r="AH14" s="549">
        <f t="shared" si="14"/>
        <v>0</v>
      </c>
      <c r="AI14" s="387">
        <f t="shared" si="15"/>
        <v>2705000.0000000005</v>
      </c>
      <c r="AJ14" s="387">
        <f t="shared" si="16"/>
        <v>0</v>
      </c>
      <c r="AK14" s="387">
        <f t="shared" si="20"/>
        <v>0</v>
      </c>
      <c r="AL14" s="696">
        <f t="shared" si="17"/>
        <v>10000</v>
      </c>
      <c r="AM14" s="609"/>
      <c r="AN14" s="633"/>
      <c r="AO14" s="633"/>
      <c r="AP14" s="633"/>
      <c r="AQ14" s="817"/>
      <c r="AR14" s="817"/>
      <c r="AS14" s="817"/>
      <c r="AT14" s="817"/>
      <c r="AU14" s="817"/>
      <c r="AV14" s="817"/>
      <c r="AW14" s="817"/>
      <c r="AX14" s="817"/>
      <c r="AY14" s="73"/>
      <c r="AZ14" s="125"/>
    </row>
    <row r="15" spans="1:52" ht="13" x14ac:dyDescent="0.3">
      <c r="A15" s="185">
        <v>9257016</v>
      </c>
      <c r="B15" s="38" t="s">
        <v>80</v>
      </c>
      <c r="C15" s="335">
        <v>6</v>
      </c>
      <c r="D15" s="94">
        <f>'Funding Model'!$D$25</f>
        <v>493762.11190507573</v>
      </c>
      <c r="E15" s="94">
        <f>'Funding Model'!$E$25</f>
        <v>131719.7894229154</v>
      </c>
      <c r="F15" s="744"/>
      <c r="G15" s="744"/>
      <c r="H15" s="744">
        <f>VLOOKUP(A15,'Band Calculations 1718'!$A$107:$W$125,6,FALSE)</f>
        <v>0</v>
      </c>
      <c r="I15" s="333">
        <f>VLOOKUP(A15,'Band Calculations - Rebase'!$A$110:$W$127,13,FALSE)</f>
        <v>1897984.0311439191</v>
      </c>
      <c r="J15" s="333">
        <f>VLOOKUP(A15,'Band Calculations - Rebase'!$A$110:$W$127,20,FALSE)</f>
        <v>0</v>
      </c>
      <c r="K15" s="94">
        <f>VLOOKUP(A15,'FSM Calculation 1718'!$A$4:$D$21,4,FALSE)</f>
        <v>12948.5</v>
      </c>
      <c r="L15" s="94">
        <v>832.00642333232065</v>
      </c>
      <c r="M15" s="744">
        <f t="shared" si="2"/>
        <v>2537246.4388952428</v>
      </c>
      <c r="N15" s="333">
        <f t="shared" si="3"/>
        <v>2537246.4388952428</v>
      </c>
      <c r="O15" s="751">
        <f>VLOOKUP(A15,'Band Calculations - Rebase'!$A$110:$W$127,22,FALSE)</f>
        <v>148.33333333333334</v>
      </c>
      <c r="Q15" s="724">
        <f t="shared" si="4"/>
        <v>1910932.5311439196</v>
      </c>
      <c r="R15" s="724">
        <f t="shared" si="5"/>
        <v>12882.691221194962</v>
      </c>
      <c r="S15" s="724">
        <f>VLOOKUP(A15,'2017-18 Funding Detail'!$A$2:$AD$23,19,FALSE)</f>
        <v>11812.521056554318</v>
      </c>
      <c r="T15" s="42">
        <f t="shared" si="6"/>
        <v>1070.1701646406436</v>
      </c>
      <c r="U15" s="724">
        <f t="shared" si="18"/>
        <v>0</v>
      </c>
      <c r="V15" s="724">
        <f t="shared" si="7"/>
        <v>2537246.4388952428</v>
      </c>
      <c r="W15" s="42">
        <f t="shared" si="8"/>
        <v>1483333.3333333335</v>
      </c>
      <c r="X15" s="42">
        <f t="shared" si="9"/>
        <v>0</v>
      </c>
      <c r="Y15" s="742">
        <f t="shared" si="10"/>
        <v>17105.032172327479</v>
      </c>
      <c r="Z15" s="742">
        <f t="shared" si="0"/>
        <v>1483333.3333333335</v>
      </c>
      <c r="AA15" s="742">
        <f t="shared" si="1"/>
        <v>7105.0321723274792</v>
      </c>
      <c r="AB15" s="669">
        <f>VLOOKUP(A15,'2017-18 Funding Detail'!$A$4:$AH$23,27,FALSE)</f>
        <v>4427.7026279298007</v>
      </c>
      <c r="AC15" s="744">
        <f t="shared" si="19"/>
        <v>7105.0321723274792</v>
      </c>
      <c r="AD15" s="744">
        <f t="shared" si="11"/>
        <v>17105.032172327479</v>
      </c>
      <c r="AE15" s="726">
        <f t="shared" si="12"/>
        <v>0</v>
      </c>
      <c r="AF15" s="727">
        <f t="shared" si="13"/>
        <v>2537246.4388952428</v>
      </c>
      <c r="AG15" s="549">
        <v>2389888.7502532313</v>
      </c>
      <c r="AH15" s="549">
        <f t="shared" si="14"/>
        <v>147357.68864201149</v>
      </c>
      <c r="AI15" s="387">
        <f t="shared" si="15"/>
        <v>1483333.3333333335</v>
      </c>
      <c r="AJ15" s="387">
        <f t="shared" si="16"/>
        <v>1053913.1055619093</v>
      </c>
      <c r="AK15" s="387">
        <f t="shared" si="20"/>
        <v>7105.0321723274774</v>
      </c>
      <c r="AL15" s="696">
        <f t="shared" si="17"/>
        <v>17105.032172327479</v>
      </c>
      <c r="AM15" s="609"/>
      <c r="AN15" s="633"/>
      <c r="AO15" s="633"/>
      <c r="AP15" s="633"/>
      <c r="AQ15" s="817"/>
      <c r="AR15" s="817"/>
      <c r="AS15" s="817"/>
      <c r="AT15" s="817"/>
      <c r="AU15" s="817"/>
      <c r="AV15" s="817"/>
      <c r="AW15" s="817"/>
      <c r="AX15" s="817"/>
      <c r="AY15" s="73"/>
      <c r="AZ15" s="125"/>
    </row>
    <row r="16" spans="1:52" ht="13" x14ac:dyDescent="0.3">
      <c r="A16" s="185"/>
      <c r="B16" s="38"/>
      <c r="C16" s="39"/>
      <c r="D16" s="744"/>
      <c r="E16" s="744"/>
      <c r="F16" s="744"/>
      <c r="G16" s="744"/>
      <c r="H16" s="744"/>
      <c r="I16" s="333"/>
      <c r="J16" s="333"/>
      <c r="K16" s="94"/>
      <c r="L16" s="94"/>
      <c r="M16" s="744"/>
      <c r="N16" s="333"/>
      <c r="O16" s="751"/>
      <c r="Q16" s="42"/>
      <c r="R16" s="42"/>
      <c r="S16" s="42"/>
      <c r="T16" s="42"/>
      <c r="U16" s="42"/>
      <c r="V16" s="42"/>
      <c r="W16" s="42"/>
      <c r="X16" s="42"/>
      <c r="Y16" s="742"/>
      <c r="Z16" s="742"/>
      <c r="AA16" s="742"/>
      <c r="AB16" s="94"/>
      <c r="AC16" s="744"/>
      <c r="AD16" s="744"/>
      <c r="AE16" s="744">
        <f t="shared" si="12"/>
        <v>0</v>
      </c>
      <c r="AF16" s="156"/>
      <c r="AG16" s="549"/>
      <c r="AH16" s="549"/>
      <c r="AI16" s="387"/>
      <c r="AJ16" s="387"/>
      <c r="AK16" s="387"/>
      <c r="AL16" s="696"/>
      <c r="AM16" s="61"/>
      <c r="AN16" s="633"/>
      <c r="AO16" s="633"/>
      <c r="AP16" s="633"/>
      <c r="AQ16" s="817"/>
      <c r="AR16" s="817"/>
      <c r="AS16" s="817"/>
      <c r="AT16" s="817"/>
      <c r="AU16" s="817"/>
      <c r="AV16" s="817"/>
      <c r="AW16" s="817"/>
      <c r="AX16" s="817"/>
      <c r="AY16" s="73"/>
      <c r="AZ16" s="125"/>
    </row>
    <row r="17" spans="1:52" ht="13" x14ac:dyDescent="0.3">
      <c r="A17" s="185">
        <v>9257031</v>
      </c>
      <c r="B17" s="43" t="s">
        <v>81</v>
      </c>
      <c r="C17" s="335">
        <v>4</v>
      </c>
      <c r="D17" s="94">
        <f>'Funding Model'!D27</f>
        <v>360067.26321081078</v>
      </c>
      <c r="E17" s="94">
        <f>'Funding Model'!E27</f>
        <v>58044.118057617408</v>
      </c>
      <c r="F17" s="94">
        <v>170753.69</v>
      </c>
      <c r="G17" s="744"/>
      <c r="H17" s="744">
        <f>VLOOKUP(A17,'Band Calculations 1718'!$A$107:$W$125,6,FALSE)</f>
        <v>0</v>
      </c>
      <c r="I17" s="333">
        <f>VLOOKUP(A17,'Band Calculations - Rebase'!$A$110:$W$127,13,FALSE)</f>
        <v>808698.09413502784</v>
      </c>
      <c r="J17" s="333">
        <f>VLOOKUP(A17,'Band Calculations - Rebase'!$A$110:$W$127,20,FALSE)</f>
        <v>182257.47900072072</v>
      </c>
      <c r="K17" s="94">
        <f>VLOOKUP(A17,'FSM Calculation 1718'!$A$4:$D$21,4,FALSE)</f>
        <v>7590.5</v>
      </c>
      <c r="L17" s="94">
        <v>669.84820537303062</v>
      </c>
      <c r="M17" s="744">
        <f>SUM(D17:L17)</f>
        <v>1588080.9926095495</v>
      </c>
      <c r="N17" s="333">
        <f>M17-F17</f>
        <v>1417327.3026095496</v>
      </c>
      <c r="O17" s="751">
        <f>VLOOKUP(A17,'Band Calculations - Rebase'!$A$110:$W$127,22,FALSE)</f>
        <v>69.166666666666671</v>
      </c>
      <c r="Q17" s="724">
        <f t="shared" si="4"/>
        <v>998546.07313574839</v>
      </c>
      <c r="R17" s="724">
        <f t="shared" si="5"/>
        <v>14436.81069593853</v>
      </c>
      <c r="S17" s="724">
        <f>VLOOKUP(A17,'2017-18 Funding Detail'!$A$2:$AD$23,19,FALSE)</f>
        <v>14293.455132942658</v>
      </c>
      <c r="T17" s="42">
        <f t="shared" si="6"/>
        <v>143.35556299587188</v>
      </c>
      <c r="U17" s="724">
        <f t="shared" si="18"/>
        <v>0</v>
      </c>
      <c r="V17" s="724">
        <f t="shared" si="7"/>
        <v>1417327.3026095496</v>
      </c>
      <c r="W17" s="42">
        <f t="shared" si="8"/>
        <v>691666.66666666674</v>
      </c>
      <c r="X17" s="42">
        <f t="shared" si="9"/>
        <v>0</v>
      </c>
      <c r="Y17" s="742">
        <f t="shared" si="10"/>
        <v>20491.479073873004</v>
      </c>
      <c r="Z17" s="742">
        <f>O17*10000</f>
        <v>691666.66666666674</v>
      </c>
      <c r="AA17" s="742">
        <f>Y17-10000</f>
        <v>10491.479073873004</v>
      </c>
      <c r="AB17" s="669">
        <f>VLOOKUP(A17,'2017-18 Funding Detail'!$A$4:$AH$23,27,FALSE)</f>
        <v>10491.479073873004</v>
      </c>
      <c r="AC17" s="744">
        <f t="shared" si="19"/>
        <v>10491.479073873004</v>
      </c>
      <c r="AD17" s="744">
        <f t="shared" si="11"/>
        <v>20491.479073873004</v>
      </c>
      <c r="AE17" s="726">
        <f t="shared" si="12"/>
        <v>0</v>
      </c>
      <c r="AF17" s="727">
        <f t="shared" si="13"/>
        <v>1417327.3026095496</v>
      </c>
      <c r="AG17" s="549">
        <v>1424221.7334080583</v>
      </c>
      <c r="AH17" s="549">
        <f t="shared" si="14"/>
        <v>-6894.4307985086925</v>
      </c>
      <c r="AI17" s="387">
        <f t="shared" si="15"/>
        <v>691666.66666666674</v>
      </c>
      <c r="AJ17" s="387">
        <f t="shared" si="16"/>
        <v>725660.63594288286</v>
      </c>
      <c r="AK17" s="387">
        <f t="shared" si="20"/>
        <v>10491.479073873004</v>
      </c>
      <c r="AL17" s="696">
        <f t="shared" si="17"/>
        <v>20491.479073873004</v>
      </c>
      <c r="AM17" s="609"/>
      <c r="AN17" s="633"/>
      <c r="AO17" s="633"/>
      <c r="AP17" s="633"/>
      <c r="AQ17" s="387"/>
      <c r="AR17" s="73"/>
      <c r="AS17" s="73"/>
      <c r="AT17" s="73"/>
      <c r="AU17" s="73"/>
      <c r="AV17" s="73"/>
      <c r="AW17" s="73"/>
      <c r="AX17" s="387"/>
      <c r="AY17" s="73"/>
      <c r="AZ17" s="125"/>
    </row>
    <row r="18" spans="1:52" ht="13" x14ac:dyDescent="0.3">
      <c r="A18" s="185">
        <v>9257029</v>
      </c>
      <c r="B18" s="43" t="s">
        <v>84</v>
      </c>
      <c r="C18" s="667">
        <v>3</v>
      </c>
      <c r="D18" s="94">
        <f>'Funding Model'!$D$26</f>
        <v>280697.16623783787</v>
      </c>
      <c r="E18" s="94">
        <f>'Funding Model'!$E$26</f>
        <v>55663.058379368813</v>
      </c>
      <c r="F18" s="94">
        <v>241540.96</v>
      </c>
      <c r="G18" s="744"/>
      <c r="H18" s="744">
        <f>VLOOKUP(A18,'Band Calculations 1718'!$A$107:$W$125,6,FALSE)</f>
        <v>0</v>
      </c>
      <c r="I18" s="333">
        <f>VLOOKUP(A18,'Band Calculations - Rebase'!$A$110:$W$127,13,FALSE)</f>
        <v>507628.56270403555</v>
      </c>
      <c r="J18" s="333">
        <f>VLOOKUP(A18,'Band Calculations - Rebase'!$A$110:$W$127,20,FALSE)</f>
        <v>114404.99585466928</v>
      </c>
      <c r="K18" s="94">
        <f>VLOOKUP(A18,'FSM Calculation 1718'!$A$4:$D$21,4,FALSE)</f>
        <v>8483.5</v>
      </c>
      <c r="L18" s="94">
        <v>672.79653660865415</v>
      </c>
      <c r="M18" s="744">
        <f>SUM(D18:L18)</f>
        <v>1209091.0397125201</v>
      </c>
      <c r="N18" s="333">
        <f>M18-F18</f>
        <v>967550.07971252012</v>
      </c>
      <c r="O18" s="751">
        <f>VLOOKUP(A18,'Band Calculations - Rebase'!$A$110:$W$127,22,FALSE)</f>
        <v>43.416666666666671</v>
      </c>
      <c r="Q18" s="724">
        <f t="shared" si="4"/>
        <v>630517.0585587048</v>
      </c>
      <c r="R18" s="724">
        <f t="shared" si="5"/>
        <v>14522.465840123717</v>
      </c>
      <c r="S18" s="724">
        <f>VLOOKUP(A18,'2017-18 Funding Detail'!$A$2:$AD$23,19,FALSE)</f>
        <v>14380.20978680139</v>
      </c>
      <c r="T18" s="42">
        <f t="shared" si="6"/>
        <v>142.25605332232772</v>
      </c>
      <c r="U18" s="724">
        <f t="shared" si="18"/>
        <v>0</v>
      </c>
      <c r="V18" s="724">
        <f t="shared" si="7"/>
        <v>967550.07971252012</v>
      </c>
      <c r="W18" s="42">
        <f t="shared" si="8"/>
        <v>434166.66666666669</v>
      </c>
      <c r="X18" s="42">
        <f t="shared" si="9"/>
        <v>0</v>
      </c>
      <c r="Y18" s="742">
        <f t="shared" si="10"/>
        <v>22285.222565355547</v>
      </c>
      <c r="Z18" s="742">
        <f>O18*10000</f>
        <v>434166.66666666669</v>
      </c>
      <c r="AA18" s="742">
        <f>Y18-10000</f>
        <v>12285.222565355547</v>
      </c>
      <c r="AB18" s="669">
        <f>VLOOKUP(A18,'2017-18 Funding Detail'!$A$4:$AH$23,27,FALSE)</f>
        <v>12285.222565355547</v>
      </c>
      <c r="AC18" s="744">
        <f t="shared" si="19"/>
        <v>12285.222565355547</v>
      </c>
      <c r="AD18" s="744">
        <f t="shared" si="11"/>
        <v>22285.222565355547</v>
      </c>
      <c r="AE18" s="726">
        <f t="shared" si="12"/>
        <v>0</v>
      </c>
      <c r="AF18" s="727">
        <f t="shared" si="13"/>
        <v>967550.07971252012</v>
      </c>
      <c r="AG18" s="549">
        <v>967550.07971252012</v>
      </c>
      <c r="AH18" s="549">
        <f t="shared" si="14"/>
        <v>0</v>
      </c>
      <c r="AI18" s="387">
        <f t="shared" si="15"/>
        <v>434166.66666666669</v>
      </c>
      <c r="AJ18" s="387">
        <f t="shared" si="16"/>
        <v>533383.41304585338</v>
      </c>
      <c r="AK18" s="387">
        <f t="shared" si="20"/>
        <v>12285.222565355547</v>
      </c>
      <c r="AL18" s="696">
        <f t="shared" si="17"/>
        <v>22285.222565355547</v>
      </c>
      <c r="AM18" s="609"/>
      <c r="AN18" s="633"/>
      <c r="AO18" s="633"/>
      <c r="AP18" s="633"/>
      <c r="AQ18" s="387"/>
      <c r="AR18" s="73"/>
      <c r="AS18" s="73"/>
      <c r="AT18" s="73"/>
      <c r="AU18" s="73"/>
      <c r="AV18" s="73"/>
      <c r="AW18" s="73"/>
      <c r="AX18" s="387"/>
      <c r="AY18" s="73"/>
      <c r="AZ18" s="125"/>
    </row>
    <row r="19" spans="1:52" ht="13" x14ac:dyDescent="0.3">
      <c r="A19" s="185">
        <v>9257032</v>
      </c>
      <c r="B19" s="43" t="s">
        <v>82</v>
      </c>
      <c r="C19" s="335">
        <v>4</v>
      </c>
      <c r="D19" s="94">
        <f>'Funding Model'!$D$27</f>
        <v>360067.26321081078</v>
      </c>
      <c r="E19" s="94">
        <f>'Funding Model'!$E$27</f>
        <v>58044.118057617408</v>
      </c>
      <c r="F19" s="94">
        <v>214408.47</v>
      </c>
      <c r="G19" s="744"/>
      <c r="H19" s="744">
        <f>VLOOKUP(A19,'Band Calculations 1718'!$A$107:$W$125,6,FALSE)</f>
        <v>0</v>
      </c>
      <c r="I19" s="333">
        <f>VLOOKUP(A19,'Band Calculations - Rebase'!$A$110:$W$127,13,FALSE)</f>
        <v>701521.23828580719</v>
      </c>
      <c r="J19" s="333">
        <f>VLOOKUP(A19,'Band Calculations - Rebase'!$A$110:$W$127,20,FALSE)</f>
        <v>158102.87335002277</v>
      </c>
      <c r="K19" s="94">
        <f>VLOOKUP(A19,'FSM Calculation 1718'!$A$4:$D$21,4,FALSE)</f>
        <v>4911.5</v>
      </c>
      <c r="L19" s="94">
        <v>663.9515429017838</v>
      </c>
      <c r="M19" s="744">
        <f>SUM(D19:L19)</f>
        <v>1497719.41444716</v>
      </c>
      <c r="N19" s="333">
        <f>M19-F19</f>
        <v>1283310.94444716</v>
      </c>
      <c r="O19" s="751">
        <f>VLOOKUP(A19,'Band Calculations - Rebase'!$A$110:$W$127,22,FALSE)</f>
        <v>60</v>
      </c>
      <c r="Q19" s="724">
        <f t="shared" si="4"/>
        <v>864535.61163583002</v>
      </c>
      <c r="R19" s="724">
        <f t="shared" si="5"/>
        <v>14408.926860597167</v>
      </c>
      <c r="S19" s="724">
        <f>VLOOKUP(A19,'2017-18 Funding Detail'!$A$2:$AD$23,19,FALSE)</f>
        <v>14192.792957688209</v>
      </c>
      <c r="T19" s="42">
        <f t="shared" si="6"/>
        <v>216.13390290895768</v>
      </c>
      <c r="U19" s="724">
        <f t="shared" si="18"/>
        <v>0</v>
      </c>
      <c r="V19" s="724">
        <f t="shared" si="7"/>
        <v>1283310.94444716</v>
      </c>
      <c r="W19" s="42">
        <f t="shared" si="8"/>
        <v>600000</v>
      </c>
      <c r="X19" s="42">
        <f t="shared" si="9"/>
        <v>0</v>
      </c>
      <c r="Y19" s="742">
        <f t="shared" si="10"/>
        <v>21388.515740785999</v>
      </c>
      <c r="Z19" s="742">
        <f>O19*10000</f>
        <v>600000</v>
      </c>
      <c r="AA19" s="742">
        <f>Y19-10000</f>
        <v>11388.515740785999</v>
      </c>
      <c r="AB19" s="669">
        <f>VLOOKUP(A19,'2017-18 Funding Detail'!$A$4:$AH$23,27,FALSE)</f>
        <v>11388.515740785999</v>
      </c>
      <c r="AC19" s="744">
        <f t="shared" si="19"/>
        <v>11388.515740785999</v>
      </c>
      <c r="AD19" s="744">
        <f t="shared" si="11"/>
        <v>21388.515740785999</v>
      </c>
      <c r="AE19" s="726">
        <f t="shared" si="12"/>
        <v>0</v>
      </c>
      <c r="AF19" s="727">
        <f t="shared" si="13"/>
        <v>1283310.94444716</v>
      </c>
      <c r="AG19" s="549">
        <v>1283310.94444716</v>
      </c>
      <c r="AH19" s="549">
        <f t="shared" si="14"/>
        <v>0</v>
      </c>
      <c r="AI19" s="387">
        <f t="shared" si="15"/>
        <v>600000</v>
      </c>
      <c r="AJ19" s="387">
        <f t="shared" si="16"/>
        <v>683310.94444716</v>
      </c>
      <c r="AK19" s="387">
        <f t="shared" si="20"/>
        <v>11388.515740786001</v>
      </c>
      <c r="AL19" s="696">
        <f t="shared" si="17"/>
        <v>21388.515740785999</v>
      </c>
      <c r="AM19" s="609"/>
      <c r="AN19" s="633"/>
      <c r="AO19" s="633"/>
      <c r="AP19" s="633"/>
      <c r="AQ19" s="387"/>
      <c r="AR19" s="73"/>
      <c r="AS19" s="73"/>
      <c r="AT19" s="73"/>
      <c r="AU19" s="73"/>
      <c r="AV19" s="73"/>
      <c r="AW19" s="73"/>
      <c r="AX19" s="387"/>
      <c r="AY19" s="73"/>
      <c r="AZ19" s="125"/>
    </row>
    <row r="20" spans="1:52" ht="13" x14ac:dyDescent="0.3">
      <c r="A20" s="185">
        <v>9257030</v>
      </c>
      <c r="B20" s="43" t="s">
        <v>83</v>
      </c>
      <c r="C20" s="667">
        <v>4</v>
      </c>
      <c r="D20" s="94">
        <f>'Funding Model'!$D$27</f>
        <v>360067.26321081078</v>
      </c>
      <c r="E20" s="94">
        <f>'Funding Model'!$E$27</f>
        <v>58044.118057617408</v>
      </c>
      <c r="F20" s="94">
        <v>263272.73</v>
      </c>
      <c r="G20" s="744"/>
      <c r="H20" s="744">
        <f>VLOOKUP(A20,'Band Calculations 1718'!$A$107:$W$125,6,FALSE)</f>
        <v>0</v>
      </c>
      <c r="I20" s="333">
        <f>VLOOKUP(A20,'Band Calculations - Rebase'!$A$110:$W$127,13,FALSE)</f>
        <v>794083.06833740673</v>
      </c>
      <c r="J20" s="333">
        <f>VLOOKUP(A20,'Band Calculations - Rebase'!$A$110:$W$127,20,FALSE)</f>
        <v>178963.66913926188</v>
      </c>
      <c r="K20" s="94">
        <f>VLOOKUP(A20,'FSM Calculation 1718'!$A$4:$D$21,4,FALSE)</f>
        <v>8930</v>
      </c>
      <c r="L20" s="94">
        <v>652.15821795928991</v>
      </c>
      <c r="M20" s="744">
        <f>SUM(D20:L20)</f>
        <v>1664013.006963056</v>
      </c>
      <c r="N20" s="333">
        <f>M20-F20</f>
        <v>1400740.2769630561</v>
      </c>
      <c r="O20" s="751">
        <f>VLOOKUP(A20,'Band Calculations - Rebase'!$A$110:$W$127,22,FALSE)</f>
        <v>67.916666666666671</v>
      </c>
      <c r="Q20" s="724">
        <f t="shared" si="4"/>
        <v>981976.73747666855</v>
      </c>
      <c r="R20" s="724">
        <f t="shared" si="5"/>
        <v>14458.553189840517</v>
      </c>
      <c r="S20" s="724">
        <f>VLOOKUP(A20,'2017-18 Funding Detail'!$A$2:$AD$23,19,FALSE)</f>
        <v>14576.550746280269</v>
      </c>
      <c r="T20" s="42">
        <f t="shared" si="6"/>
        <v>-117.99755643975186</v>
      </c>
      <c r="U20" s="724">
        <f t="shared" si="18"/>
        <v>8014.0007081998147</v>
      </c>
      <c r="V20" s="724">
        <f t="shared" si="7"/>
        <v>1408754.2776712559</v>
      </c>
      <c r="W20" s="42">
        <f t="shared" si="8"/>
        <v>679166.66666666674</v>
      </c>
      <c r="X20" s="42">
        <f t="shared" si="9"/>
        <v>0</v>
      </c>
      <c r="Y20" s="742">
        <f t="shared" si="10"/>
        <v>20624.396716020456</v>
      </c>
      <c r="Z20" s="742">
        <f>O20*10000</f>
        <v>679166.66666666674</v>
      </c>
      <c r="AA20" s="742">
        <f>Y20-10000</f>
        <v>10624.396716020456</v>
      </c>
      <c r="AB20" s="669">
        <f>VLOOKUP(A20,'2017-18 Funding Detail'!$A$4:$AH$23,27,FALSE)</f>
        <v>10624.396716020456</v>
      </c>
      <c r="AC20" s="744">
        <f t="shared" si="19"/>
        <v>10624.396716020456</v>
      </c>
      <c r="AD20" s="744">
        <f t="shared" si="11"/>
        <v>20624.396716020456</v>
      </c>
      <c r="AE20" s="726">
        <f t="shared" si="12"/>
        <v>8014.0007081998147</v>
      </c>
      <c r="AF20" s="727">
        <f t="shared" si="13"/>
        <v>1408754.2776712559</v>
      </c>
      <c r="AG20" s="549">
        <v>1435252.857934782</v>
      </c>
      <c r="AH20" s="549">
        <f t="shared" si="14"/>
        <v>-26498.580263526179</v>
      </c>
      <c r="AI20" s="387">
        <f t="shared" si="15"/>
        <v>679166.66666666674</v>
      </c>
      <c r="AJ20" s="387">
        <f t="shared" si="16"/>
        <v>729587.61100458913</v>
      </c>
      <c r="AK20" s="387">
        <f t="shared" si="20"/>
        <v>10742.394272460208</v>
      </c>
      <c r="AL20" s="696">
        <f t="shared" si="17"/>
        <v>20742.394272460209</v>
      </c>
      <c r="AM20" s="609"/>
      <c r="AN20" s="633"/>
      <c r="AO20" s="633"/>
      <c r="AP20" s="633"/>
      <c r="AQ20" s="387"/>
      <c r="AR20" s="73"/>
      <c r="AS20" s="73"/>
      <c r="AT20" s="73"/>
      <c r="AU20" s="73"/>
      <c r="AV20" s="73"/>
      <c r="AW20" s="73"/>
      <c r="AX20" s="387"/>
      <c r="AY20" s="73"/>
      <c r="AZ20" s="125"/>
    </row>
    <row r="21" spans="1:52" ht="13" x14ac:dyDescent="0.3">
      <c r="A21" s="185"/>
      <c r="B21" s="43"/>
      <c r="C21" s="39"/>
      <c r="D21" s="94"/>
      <c r="E21" s="94"/>
      <c r="F21" s="744"/>
      <c r="G21" s="744"/>
      <c r="H21" s="744"/>
      <c r="I21" s="333"/>
      <c r="J21" s="333"/>
      <c r="K21" s="94"/>
      <c r="L21" s="94"/>
      <c r="M21" s="744"/>
      <c r="N21" s="333"/>
      <c r="O21" s="751"/>
      <c r="Q21" s="42"/>
      <c r="R21" s="42"/>
      <c r="S21" s="42"/>
      <c r="T21" s="42"/>
      <c r="U21" s="42"/>
      <c r="V21" s="42"/>
      <c r="W21" s="42"/>
      <c r="X21" s="42"/>
      <c r="Y21" s="742"/>
      <c r="Z21" s="742"/>
      <c r="AA21" s="742"/>
      <c r="AB21" s="94"/>
      <c r="AC21" s="744"/>
      <c r="AD21" s="744"/>
      <c r="AE21" s="744">
        <f t="shared" si="12"/>
        <v>0</v>
      </c>
      <c r="AF21" s="156"/>
      <c r="AG21" s="549"/>
      <c r="AH21" s="549"/>
      <c r="AI21" s="387"/>
      <c r="AJ21" s="387"/>
      <c r="AK21" s="387"/>
      <c r="AL21" s="696"/>
      <c r="AM21" s="61"/>
      <c r="AN21" s="633"/>
      <c r="AO21" s="633"/>
      <c r="AP21" s="633"/>
      <c r="AQ21" s="387"/>
      <c r="AR21" s="73"/>
      <c r="AS21" s="73"/>
      <c r="AT21" s="73"/>
      <c r="AU21" s="73"/>
      <c r="AV21" s="73"/>
      <c r="AW21" s="73"/>
      <c r="AX21" s="387"/>
      <c r="AY21" s="73"/>
      <c r="AZ21" s="125"/>
    </row>
    <row r="22" spans="1:52" ht="13" x14ac:dyDescent="0.3">
      <c r="A22" s="185">
        <v>9257033</v>
      </c>
      <c r="B22" s="38" t="s">
        <v>72</v>
      </c>
      <c r="C22" s="335">
        <v>3</v>
      </c>
      <c r="D22" s="94">
        <f>'Funding Model'!$D$22</f>
        <v>314686.51772419503</v>
      </c>
      <c r="E22" s="94">
        <f>'Funding Model'!$E$22</f>
        <v>69201.680689977453</v>
      </c>
      <c r="F22" s="744"/>
      <c r="G22" s="744"/>
      <c r="H22" s="744">
        <f>VLOOKUP(A22,'Band Calculations 1718'!$A$107:$W$125,6,FALSE)</f>
        <v>0</v>
      </c>
      <c r="I22" s="333">
        <f>VLOOKUP(A22,'Band Calculations - Rebase'!$A$110:$W$127,13,FALSE)</f>
        <v>655822.17847756646</v>
      </c>
      <c r="J22" s="333">
        <f>VLOOKUP(A22,'Band Calculations - Rebase'!$A$110:$W$127,20,FALSE)</f>
        <v>66754.54652556518</v>
      </c>
      <c r="K22" s="94">
        <f>VLOOKUP(A22,'FSM Calculation 1718'!$A$4:$D$21,4,FALSE)</f>
        <v>14288</v>
      </c>
      <c r="L22" s="94">
        <v>666.89987413740721</v>
      </c>
      <c r="M22" s="744">
        <f>SUM(D22:L22)</f>
        <v>1121419.8232914417</v>
      </c>
      <c r="N22" s="333">
        <f>M22-F22</f>
        <v>1121419.8232914417</v>
      </c>
      <c r="O22" s="751">
        <f>VLOOKUP(A22,'Band Calculations - Rebase'!$A$110:$W$127,22,FALSE)</f>
        <v>73.333333333333343</v>
      </c>
      <c r="Q22" s="724">
        <f t="shared" si="4"/>
        <v>736864.72500313178</v>
      </c>
      <c r="R22" s="724">
        <f t="shared" si="5"/>
        <v>10048.155340951796</v>
      </c>
      <c r="S22" s="724">
        <f>VLOOKUP(A22,'2017-18 Funding Detail'!$A$2:$AD$23,19,FALSE)</f>
        <v>9901.8258879346722</v>
      </c>
      <c r="T22" s="42">
        <f t="shared" si="6"/>
        <v>146.32945301712425</v>
      </c>
      <c r="U22" s="724">
        <f t="shared" si="18"/>
        <v>0</v>
      </c>
      <c r="V22" s="724">
        <f t="shared" si="7"/>
        <v>1121419.8232914417</v>
      </c>
      <c r="W22" s="42">
        <f t="shared" si="8"/>
        <v>733333.33333333337</v>
      </c>
      <c r="X22" s="42">
        <f t="shared" si="9"/>
        <v>0</v>
      </c>
      <c r="Y22" s="742">
        <f t="shared" si="10"/>
        <v>15292.088499428748</v>
      </c>
      <c r="Z22" s="742">
        <f>O22*10000</f>
        <v>733333.33333333337</v>
      </c>
      <c r="AA22" s="742">
        <f>Y22-10000</f>
        <v>5292.088499428748</v>
      </c>
      <c r="AB22" s="669">
        <f>VLOOKUP(A22,'2017-18 Funding Detail'!$A$4:$AH$23,27,FALSE)</f>
        <v>5292.088499428748</v>
      </c>
      <c r="AC22" s="744">
        <f t="shared" si="19"/>
        <v>5292.088499428748</v>
      </c>
      <c r="AD22" s="744">
        <f t="shared" si="11"/>
        <v>15292.088499428748</v>
      </c>
      <c r="AE22" s="726">
        <f t="shared" si="12"/>
        <v>0</v>
      </c>
      <c r="AF22" s="727">
        <f t="shared" si="13"/>
        <v>1121419.8232914417</v>
      </c>
      <c r="AG22" s="549">
        <v>1203004.226340255</v>
      </c>
      <c r="AH22" s="549">
        <f t="shared" si="14"/>
        <v>-81584.403048813343</v>
      </c>
      <c r="AI22" s="387">
        <f t="shared" si="15"/>
        <v>733333.33333333337</v>
      </c>
      <c r="AJ22" s="387">
        <f t="shared" si="16"/>
        <v>388086.48995810829</v>
      </c>
      <c r="AK22" s="387">
        <f t="shared" si="20"/>
        <v>5292.0884994287489</v>
      </c>
      <c r="AL22" s="696">
        <f t="shared" si="17"/>
        <v>15292.088499428748</v>
      </c>
      <c r="AM22" s="609"/>
      <c r="AN22" s="633"/>
      <c r="AO22" s="633"/>
      <c r="AP22" s="633"/>
      <c r="AQ22" s="387"/>
      <c r="AR22" s="73"/>
      <c r="AS22" s="73"/>
      <c r="AT22" s="73"/>
      <c r="AU22" s="73"/>
      <c r="AV22" s="73"/>
      <c r="AW22" s="73"/>
      <c r="AX22" s="387"/>
      <c r="AY22" s="73"/>
      <c r="AZ22" s="125"/>
    </row>
    <row r="23" spans="1:52" ht="13" x14ac:dyDescent="0.3">
      <c r="A23" s="185">
        <v>9257034</v>
      </c>
      <c r="B23" s="38" t="s">
        <v>74</v>
      </c>
      <c r="C23" s="335">
        <v>5</v>
      </c>
      <c r="D23" s="94">
        <f>'Funding Model'!D24</f>
        <v>418723.18610831723</v>
      </c>
      <c r="E23" s="94">
        <f>'Funding Model'!E24</f>
        <v>117027.3922528728</v>
      </c>
      <c r="F23" s="744"/>
      <c r="G23" s="744"/>
      <c r="H23" s="744">
        <f>VLOOKUP(A23,'Band Calculations 1718'!$A$107:$W$125,6,FALSE)</f>
        <v>0</v>
      </c>
      <c r="I23" s="333">
        <f>VLOOKUP(A23,'Band Calculations - Rebase'!$A$110:$W$127,13,FALSE)</f>
        <v>999652.61127131269</v>
      </c>
      <c r="J23" s="333">
        <f>VLOOKUP(A23,'Band Calculations - Rebase'!$A$110:$W$127,20,FALSE)</f>
        <v>64150.621249262302</v>
      </c>
      <c r="K23" s="94">
        <f>VLOOKUP(A23,'FSM Calculation 1718'!$A$4:$D$21,4,FALSE)</f>
        <v>17413.5</v>
      </c>
      <c r="L23" s="94">
        <v>811.36810468295653</v>
      </c>
      <c r="M23" s="744">
        <f>SUM(D23:L23)</f>
        <v>1617778.6789864481</v>
      </c>
      <c r="N23" s="333">
        <f>M23-F23</f>
        <v>1617778.6789864481</v>
      </c>
      <c r="O23" s="751">
        <f>VLOOKUP(A23,'Band Calculations - Rebase'!$A$110:$W$127,22,FALSE)</f>
        <v>118.91666666666667</v>
      </c>
      <c r="Q23" s="724">
        <f t="shared" si="4"/>
        <v>1081216.7325205752</v>
      </c>
      <c r="R23" s="724">
        <f t="shared" si="5"/>
        <v>9092.2219973699375</v>
      </c>
      <c r="S23" s="724">
        <f>VLOOKUP(A23,'2017-18 Funding Detail'!$A$2:$AD$23,19,FALSE)</f>
        <v>8697.9081347561532</v>
      </c>
      <c r="T23" s="42">
        <f t="shared" si="6"/>
        <v>394.31386261378429</v>
      </c>
      <c r="U23" s="724">
        <f t="shared" si="18"/>
        <v>0</v>
      </c>
      <c r="V23" s="724">
        <f t="shared" si="7"/>
        <v>1617778.6789864481</v>
      </c>
      <c r="W23" s="42">
        <f t="shared" si="8"/>
        <v>1189166.6666666667</v>
      </c>
      <c r="X23" s="42">
        <f t="shared" si="9"/>
        <v>0</v>
      </c>
      <c r="Y23" s="742">
        <f t="shared" si="10"/>
        <v>13604.305639689823</v>
      </c>
      <c r="Z23" s="742">
        <f>O23*10000</f>
        <v>1189166.6666666667</v>
      </c>
      <c r="AA23" s="742">
        <f>Y23-10000</f>
        <v>3604.3056396898228</v>
      </c>
      <c r="AB23" s="669">
        <f>VLOOKUP(A23,'2017-18 Funding Detail'!$A$4:$AH$23,27,FALSE)</f>
        <v>3340.6509395997618</v>
      </c>
      <c r="AC23" s="744">
        <f t="shared" si="19"/>
        <v>3604.3056396898228</v>
      </c>
      <c r="AD23" s="744">
        <f t="shared" si="11"/>
        <v>13604.305639689823</v>
      </c>
      <c r="AE23" s="726">
        <f t="shared" si="12"/>
        <v>0</v>
      </c>
      <c r="AF23" s="727">
        <f t="shared" si="13"/>
        <v>1617778.6789864481</v>
      </c>
      <c r="AG23" s="549">
        <v>1586425.7409007384</v>
      </c>
      <c r="AH23" s="549">
        <f t="shared" si="14"/>
        <v>31352.938085709698</v>
      </c>
      <c r="AI23" s="387">
        <f t="shared" si="15"/>
        <v>1189166.6666666667</v>
      </c>
      <c r="AJ23" s="387">
        <f t="shared" si="16"/>
        <v>428612.01231978135</v>
      </c>
      <c r="AK23" s="387">
        <f t="shared" si="20"/>
        <v>3604.3056396898219</v>
      </c>
      <c r="AL23" s="696">
        <f t="shared" si="17"/>
        <v>13604.305639689823</v>
      </c>
      <c r="AM23" s="609"/>
      <c r="AN23" s="633"/>
      <c r="AO23" s="633"/>
      <c r="AP23" s="633"/>
      <c r="AQ23" s="387"/>
      <c r="AR23" s="73"/>
      <c r="AS23" s="73"/>
      <c r="AT23" s="73"/>
      <c r="AU23" s="73"/>
      <c r="AV23" s="73"/>
      <c r="AW23" s="73"/>
      <c r="AX23" s="387"/>
      <c r="AY23" s="73"/>
      <c r="AZ23" s="125"/>
    </row>
    <row r="24" spans="1:52" x14ac:dyDescent="0.25">
      <c r="A24" s="69"/>
      <c r="B24" s="50"/>
      <c r="C24" s="61"/>
      <c r="D24" s="42"/>
      <c r="E24" s="42"/>
      <c r="F24" s="42"/>
      <c r="G24" s="42"/>
      <c r="H24" s="42"/>
      <c r="I24" s="42"/>
      <c r="J24" s="42"/>
      <c r="K24" s="80"/>
      <c r="L24" s="80"/>
      <c r="AG24" s="740"/>
      <c r="AH24" s="740"/>
    </row>
    <row r="25" spans="1:52" ht="13.5" customHeight="1" thickBot="1" x14ac:dyDescent="0.3">
      <c r="A25" s="69"/>
      <c r="D25" s="136">
        <f t="shared" ref="D25:M25" si="21">SUM(D4:D23)</f>
        <v>7087271.8823381308</v>
      </c>
      <c r="E25" s="136">
        <f t="shared" si="21"/>
        <v>1632492.0468683892</v>
      </c>
      <c r="F25" s="136">
        <f t="shared" si="21"/>
        <v>889975.85</v>
      </c>
      <c r="G25" s="136">
        <f t="shared" si="21"/>
        <v>41787</v>
      </c>
      <c r="H25" s="136">
        <f t="shared" si="21"/>
        <v>0</v>
      </c>
      <c r="I25" s="136">
        <f t="shared" si="21"/>
        <v>16364387.411391919</v>
      </c>
      <c r="J25" s="136">
        <f t="shared" si="21"/>
        <v>1176513.0737313814</v>
      </c>
      <c r="K25" s="136">
        <f t="shared" si="21"/>
        <v>230840.5</v>
      </c>
      <c r="L25" s="136">
        <f t="shared" si="21"/>
        <v>13304.411809383275</v>
      </c>
      <c r="M25" s="136">
        <f t="shared" si="21"/>
        <v>27436572.176139202</v>
      </c>
      <c r="N25" s="136">
        <f>SUM(N4:N23)</f>
        <v>26504809.326139204</v>
      </c>
      <c r="O25" s="166">
        <f>SUM(O4:O23)</f>
        <v>1741.916666666667</v>
      </c>
      <c r="P25" s="52"/>
      <c r="Q25" s="52"/>
      <c r="R25" s="52"/>
      <c r="S25" s="52"/>
      <c r="T25" s="52"/>
      <c r="U25" s="70">
        <f>SUM(U4:U23)</f>
        <v>8014.0007081998147</v>
      </c>
      <c r="V25" s="70">
        <f>SUM(V4:V23)</f>
        <v>26512823.326847404</v>
      </c>
      <c r="W25" s="73"/>
      <c r="X25" s="52"/>
      <c r="Z25" s="73"/>
      <c r="AA25" s="75"/>
      <c r="AB25" s="52"/>
      <c r="AC25" s="52"/>
      <c r="AD25" s="736"/>
      <c r="AE25" s="136">
        <f>SUM(AE4:AE23)</f>
        <v>14779.404654497059</v>
      </c>
      <c r="AF25" s="136">
        <f>SUM(AF4:AF23)</f>
        <v>26519588.730793703</v>
      </c>
      <c r="AG25" s="128"/>
      <c r="AH25" s="128"/>
      <c r="AI25" s="128"/>
      <c r="AJ25" s="128"/>
      <c r="AK25" s="128"/>
      <c r="AL25" s="128"/>
      <c r="AY25" s="42"/>
    </row>
    <row r="26" spans="1:52" x14ac:dyDescent="0.25">
      <c r="A26" s="69"/>
      <c r="B26" s="40"/>
      <c r="C26" s="40"/>
      <c r="D26" s="79"/>
      <c r="E26" s="79"/>
      <c r="F26" s="79"/>
      <c r="G26" s="79"/>
      <c r="H26" s="79"/>
      <c r="I26" s="40"/>
      <c r="J26" s="40"/>
      <c r="M26" s="79"/>
      <c r="N26" s="124"/>
      <c r="O26" s="126"/>
      <c r="P26" s="52"/>
      <c r="Q26" s="52"/>
      <c r="R26" s="52"/>
      <c r="S26" s="52"/>
      <c r="T26" s="52"/>
      <c r="U26" s="52"/>
      <c r="V26" s="52"/>
      <c r="W26" s="52"/>
      <c r="X26" s="52"/>
      <c r="Z26" s="73"/>
      <c r="AA26" s="75"/>
      <c r="AB26" s="52"/>
      <c r="AC26" s="52"/>
      <c r="AD26" s="736"/>
      <c r="AY26" s="42"/>
    </row>
    <row r="27" spans="1:52" x14ac:dyDescent="0.25">
      <c r="B27" s="737"/>
      <c r="C27" s="737"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Y27" s="42" t="s">
        <v>402</v>
      </c>
      <c r="Z27" s="737" t="s">
        <v>402</v>
      </c>
      <c r="AA27" s="737" t="s">
        <v>402</v>
      </c>
      <c r="AB27" s="737" t="s">
        <v>402</v>
      </c>
      <c r="AC27" s="737" t="s">
        <v>402</v>
      </c>
      <c r="AD27" s="737" t="s">
        <v>402</v>
      </c>
      <c r="AE27" s="42"/>
      <c r="AF27" s="737" t="s">
        <v>402</v>
      </c>
      <c r="AY27" s="42"/>
    </row>
    <row r="28" spans="1:52" x14ac:dyDescent="0.25">
      <c r="B28" s="737"/>
      <c r="O28" s="165"/>
      <c r="AA28" s="79"/>
      <c r="AB28" s="79"/>
      <c r="AC28" s="40"/>
      <c r="AY28" s="42"/>
    </row>
    <row r="29" spans="1:52" x14ac:dyDescent="0.25">
      <c r="B29" s="737"/>
      <c r="D29" s="609"/>
      <c r="E29" s="609"/>
      <c r="F29" s="42"/>
      <c r="G29" s="42"/>
      <c r="H29" s="42"/>
      <c r="I29" s="42"/>
      <c r="J29" s="42"/>
      <c r="K29" s="42"/>
      <c r="L29" s="42"/>
      <c r="M29" s="42"/>
      <c r="N29" s="42"/>
      <c r="O29" s="165"/>
      <c r="P29" s="42"/>
      <c r="Q29" s="42"/>
      <c r="R29" s="42"/>
      <c r="S29" s="42"/>
      <c r="T29" s="42"/>
      <c r="U29" s="42"/>
      <c r="V29" s="42"/>
      <c r="W29" s="42"/>
      <c r="X29" s="42"/>
      <c r="AY29" s="42"/>
    </row>
    <row r="30" spans="1:52" x14ac:dyDescent="0.25">
      <c r="A30" s="79"/>
      <c r="B30" s="740"/>
      <c r="D30" s="128"/>
      <c r="E30" s="128"/>
      <c r="F30" s="128"/>
      <c r="G30" s="128"/>
      <c r="H30" s="128"/>
      <c r="I30" s="128"/>
      <c r="J30" s="128"/>
      <c r="K30" s="128"/>
      <c r="L30" s="128"/>
      <c r="M30" s="128"/>
      <c r="O30" s="165"/>
      <c r="AE30" s="42"/>
      <c r="AF30" s="42"/>
      <c r="AG30" s="42"/>
      <c r="AH30" s="42"/>
      <c r="AI30" s="42"/>
      <c r="AJ30" s="42"/>
      <c r="AK30" s="42"/>
      <c r="AL30" s="42"/>
    </row>
    <row r="31" spans="1:52" x14ac:dyDescent="0.25">
      <c r="B31" s="737"/>
      <c r="D31" s="128"/>
      <c r="E31" s="128"/>
      <c r="F31" s="42"/>
      <c r="I31" s="737"/>
      <c r="J31" s="737"/>
      <c r="K31" s="79"/>
      <c r="L31" s="79"/>
      <c r="N31" s="737"/>
      <c r="AY31" s="737"/>
    </row>
    <row r="32" spans="1:52" x14ac:dyDescent="0.25">
      <c r="B32" s="740"/>
      <c r="D32" s="42"/>
      <c r="E32" s="42"/>
      <c r="F32" s="42"/>
      <c r="G32" s="42"/>
      <c r="H32" s="42"/>
      <c r="I32" s="42"/>
      <c r="J32" s="42"/>
      <c r="K32" s="42"/>
      <c r="L32" s="42"/>
      <c r="M32" s="42"/>
      <c r="N32" s="737"/>
      <c r="AE32" s="42"/>
      <c r="AF32" s="42"/>
      <c r="AG32" s="42"/>
      <c r="AH32" s="42"/>
      <c r="AI32" s="42"/>
      <c r="AJ32" s="42"/>
      <c r="AK32" s="42"/>
      <c r="AL32" s="42"/>
    </row>
    <row r="33" spans="2:38" x14ac:dyDescent="0.25">
      <c r="B33" s="737"/>
      <c r="D33" s="1887"/>
      <c r="E33" s="1887"/>
      <c r="I33" s="33"/>
      <c r="J33" s="741"/>
      <c r="L33" s="79"/>
    </row>
    <row r="34" spans="2:38" x14ac:dyDescent="0.25">
      <c r="B34" s="740"/>
      <c r="D34" s="627"/>
      <c r="E34" s="627"/>
      <c r="F34" s="627"/>
      <c r="G34" s="627"/>
      <c r="H34" s="802"/>
      <c r="I34" s="802"/>
      <c r="J34" s="802"/>
      <c r="K34" s="803"/>
      <c r="L34" s="627"/>
      <c r="M34" s="627"/>
      <c r="N34" s="627"/>
      <c r="O34" s="627"/>
      <c r="P34" s="627"/>
      <c r="Q34" s="627"/>
      <c r="R34" s="627"/>
      <c r="S34" s="627"/>
      <c r="T34" s="627"/>
      <c r="U34" s="627"/>
      <c r="V34" s="627"/>
      <c r="W34" s="627"/>
      <c r="X34" s="627"/>
      <c r="Y34" s="627"/>
      <c r="Z34" s="627"/>
      <c r="AA34" s="627"/>
      <c r="AB34" s="627"/>
      <c r="AC34" s="627"/>
      <c r="AD34" s="627"/>
      <c r="AE34" s="627"/>
      <c r="AF34" s="627"/>
      <c r="AG34" s="627"/>
      <c r="AH34" s="627"/>
      <c r="AI34" s="627"/>
      <c r="AJ34" s="627"/>
      <c r="AK34" s="627"/>
      <c r="AL34" s="627"/>
    </row>
    <row r="35" spans="2:38" x14ac:dyDescent="0.25">
      <c r="H35" s="796"/>
      <c r="I35" s="52"/>
      <c r="J35" s="52"/>
      <c r="K35" s="50"/>
    </row>
    <row r="36" spans="2:38" x14ac:dyDescent="0.25">
      <c r="H36" s="796"/>
      <c r="I36" s="52"/>
      <c r="J36" s="52"/>
      <c r="K36" s="50"/>
    </row>
    <row r="37" spans="2:38" x14ac:dyDescent="0.25">
      <c r="H37" s="796"/>
      <c r="I37" s="52"/>
      <c r="J37" s="52"/>
      <c r="K37" s="50"/>
    </row>
    <row r="38" spans="2:38" x14ac:dyDescent="0.25">
      <c r="H38" s="804"/>
      <c r="I38" s="633"/>
      <c r="J38" s="805"/>
      <c r="K38" s="50"/>
    </row>
    <row r="39" spans="2:38" x14ac:dyDescent="0.25">
      <c r="H39" s="804"/>
      <c r="I39" s="805"/>
      <c r="J39" s="805"/>
      <c r="K39" s="50"/>
    </row>
    <row r="40" spans="2:38" x14ac:dyDescent="0.25">
      <c r="H40" s="804"/>
      <c r="I40" s="806"/>
      <c r="J40" s="805"/>
      <c r="K40" s="50"/>
    </row>
    <row r="41" spans="2:38" x14ac:dyDescent="0.25">
      <c r="H41" s="802"/>
      <c r="I41" s="805"/>
      <c r="J41" s="805"/>
      <c r="K41" s="50"/>
    </row>
    <row r="42" spans="2:38" x14ac:dyDescent="0.25">
      <c r="H42" s="804"/>
      <c r="I42" s="633"/>
      <c r="J42" s="805"/>
      <c r="K42" s="50"/>
    </row>
    <row r="43" spans="2:38" x14ac:dyDescent="0.25">
      <c r="H43" s="802"/>
      <c r="I43" s="805"/>
      <c r="J43" s="805"/>
      <c r="K43" s="50"/>
    </row>
    <row r="44" spans="2:38" x14ac:dyDescent="0.25">
      <c r="H44" s="796"/>
      <c r="I44" s="52"/>
      <c r="J44" s="52"/>
      <c r="K44" s="50"/>
    </row>
  </sheetData>
  <mergeCells count="3">
    <mergeCell ref="S2:S3"/>
    <mergeCell ref="AM2:AQ2"/>
    <mergeCell ref="D33:E3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31"/>
  <sheetViews>
    <sheetView topLeftCell="A82" workbookViewId="0">
      <selection activeCell="P131" sqref="P131"/>
    </sheetView>
  </sheetViews>
  <sheetFormatPr defaultColWidth="10.26953125" defaultRowHeight="12.5" x14ac:dyDescent="0.25"/>
  <cols>
    <col min="1" max="1" width="9.1796875" style="34" customWidth="1"/>
    <col min="2" max="2" width="26.7265625" style="34" customWidth="1"/>
    <col min="3" max="3" width="6.26953125" style="34" customWidth="1"/>
    <col min="4" max="5" width="11.26953125" style="34" customWidth="1"/>
    <col min="6" max="6" width="11.1796875" style="34" customWidth="1"/>
    <col min="7" max="8" width="10.26953125" style="34" customWidth="1"/>
    <col min="9" max="9" width="11.54296875" style="737" customWidth="1"/>
    <col min="10" max="10" width="11.1796875" style="737" customWidth="1"/>
    <col min="11" max="11" width="11" style="34" customWidth="1"/>
    <col min="12" max="12" width="11.1796875" style="34" customWidth="1"/>
    <col min="13" max="13" width="11.26953125" style="34" customWidth="1"/>
    <col min="14" max="14" width="10.54296875" style="34" customWidth="1"/>
    <col min="15" max="15" width="12.81640625" style="34" customWidth="1"/>
    <col min="16" max="16" width="11.54296875" style="34" customWidth="1"/>
    <col min="17" max="17" width="11" style="34" customWidth="1"/>
    <col min="18" max="18" width="11.54296875" style="34" customWidth="1"/>
    <col min="19" max="19" width="12.453125" style="34" customWidth="1"/>
    <col min="20" max="20" width="12.26953125" style="34" customWidth="1"/>
    <col min="21" max="22" width="11.26953125" style="34" customWidth="1"/>
    <col min="23" max="24" width="10.26953125" style="34" customWidth="1"/>
    <col min="25" max="25" width="11.1796875" style="34" customWidth="1"/>
    <col min="26" max="26" width="11.26953125" style="34" customWidth="1"/>
    <col min="27" max="27" width="11" style="34" customWidth="1"/>
    <col min="28" max="29" width="11.1796875" style="34" customWidth="1"/>
    <col min="30" max="31" width="10.26953125" style="34" customWidth="1"/>
    <col min="32" max="32" width="11.1796875" style="34" customWidth="1"/>
    <col min="33" max="35" width="10.26953125" style="34" customWidth="1"/>
    <col min="36" max="36" width="11.1796875" style="34" customWidth="1"/>
    <col min="37" max="37" width="2" style="34" customWidth="1"/>
    <col min="38" max="38" width="11" style="34" customWidth="1"/>
    <col min="39" max="41" width="10.26953125" style="34" customWidth="1"/>
    <col min="42" max="16384" width="10.26953125" style="34"/>
  </cols>
  <sheetData>
    <row r="1" spans="1:28" x14ac:dyDescent="0.25">
      <c r="A1" s="63" t="s">
        <v>97</v>
      </c>
      <c r="C1" s="33"/>
      <c r="S1" s="1899" t="s">
        <v>379</v>
      </c>
      <c r="T1" s="338"/>
      <c r="U1" s="1902" t="s">
        <v>380</v>
      </c>
      <c r="V1" s="1902"/>
      <c r="W1" s="1902"/>
    </row>
    <row r="2" spans="1:28" ht="13" x14ac:dyDescent="0.3">
      <c r="A2" s="63"/>
      <c r="C2" s="33"/>
      <c r="E2" s="332" t="s">
        <v>607</v>
      </c>
      <c r="S2" s="1900"/>
      <c r="T2" s="339"/>
      <c r="U2" s="1902" t="s">
        <v>381</v>
      </c>
      <c r="V2" s="1902"/>
      <c r="W2" s="1902"/>
    </row>
    <row r="3" spans="1:28" ht="13" x14ac:dyDescent="0.3">
      <c r="A3" s="230" t="s">
        <v>282</v>
      </c>
      <c r="C3" s="47"/>
      <c r="I3" s="231" t="s">
        <v>608</v>
      </c>
      <c r="S3" s="1900"/>
      <c r="T3" s="340"/>
      <c r="U3" s="1902" t="s">
        <v>382</v>
      </c>
      <c r="V3" s="1902"/>
      <c r="W3" s="1902"/>
    </row>
    <row r="4" spans="1:28" x14ac:dyDescent="0.25">
      <c r="B4" s="35"/>
      <c r="C4" s="35"/>
      <c r="P4" s="1893" t="s">
        <v>332</v>
      </c>
      <c r="Q4" s="1894"/>
      <c r="S4" s="1901"/>
      <c r="T4" s="341"/>
      <c r="U4" s="1902" t="s">
        <v>383</v>
      </c>
      <c r="V4" s="1902"/>
      <c r="W4" s="1902"/>
    </row>
    <row r="5" spans="1:28" ht="37.5" x14ac:dyDescent="0.25">
      <c r="A5" s="183" t="s">
        <v>201</v>
      </c>
      <c r="B5" s="36" t="s">
        <v>66</v>
      </c>
      <c r="C5" s="738" t="s">
        <v>51</v>
      </c>
      <c r="D5" s="34" t="s">
        <v>256</v>
      </c>
      <c r="E5" s="34" t="s">
        <v>257</v>
      </c>
      <c r="F5" s="34" t="s">
        <v>258</v>
      </c>
      <c r="G5" s="34" t="s">
        <v>259</v>
      </c>
      <c r="H5" s="526" t="s">
        <v>683</v>
      </c>
      <c r="I5" s="34" t="s">
        <v>260</v>
      </c>
      <c r="J5" s="741" t="s">
        <v>252</v>
      </c>
      <c r="K5" s="741" t="s">
        <v>253</v>
      </c>
      <c r="L5" s="741" t="s">
        <v>251</v>
      </c>
      <c r="M5" s="741" t="s">
        <v>385</v>
      </c>
      <c r="N5" s="741" t="s">
        <v>336</v>
      </c>
      <c r="O5" s="741" t="s">
        <v>386</v>
      </c>
      <c r="P5" s="741" t="s">
        <v>387</v>
      </c>
      <c r="Q5" s="413" t="s">
        <v>337</v>
      </c>
      <c r="R5" s="694" t="s">
        <v>338</v>
      </c>
    </row>
    <row r="6" spans="1:28" x14ac:dyDescent="0.25">
      <c r="A6" s="185">
        <v>9257010</v>
      </c>
      <c r="B6" s="38" t="s">
        <v>67</v>
      </c>
      <c r="C6" s="337">
        <v>4</v>
      </c>
      <c r="D6" s="49">
        <f>'Revised Bands - Rebase'!F62</f>
        <v>0.36486912645853048</v>
      </c>
      <c r="E6" s="49">
        <f>'Revised Bands - Rebase'!G62</f>
        <v>0.2857142857142857</v>
      </c>
      <c r="F6" s="49">
        <f>'Revised Bands - Rebase'!H62</f>
        <v>0.11904761904761904</v>
      </c>
      <c r="G6" s="49">
        <f>'Revised Bands - Rebase'!I62</f>
        <v>0</v>
      </c>
      <c r="H6" s="49">
        <f>'Revised Bands - Rebase'!K62</f>
        <v>0.15894039735099336</v>
      </c>
      <c r="I6" s="49">
        <f>'Revised Bands - Rebase'!J62</f>
        <v>7.1428571428571425E-2</v>
      </c>
      <c r="J6" s="233">
        <v>0</v>
      </c>
      <c r="K6" s="233">
        <v>39</v>
      </c>
      <c r="L6" s="168">
        <f>SUM(J6:K6)</f>
        <v>39</v>
      </c>
      <c r="M6" s="80">
        <f t="shared" ref="M6:M23" si="0">((((J6*D6)*$G$92)+((J6*E6)*$G$94)+((J6*F6)*$G$96)+((J6*G6)*$G$98)+((J6*I6)*$G$102)))*(5/12)</f>
        <v>0</v>
      </c>
      <c r="N6" s="80">
        <f>((((K6*D6)*$G$92)+((K6*E6)*$G$94)+((K6*F6)*$G$96)+((K6*G6)*$G$98)+((K6*H6)*$G$100)+((K6*I6)*$G$102))*(5/12))</f>
        <v>186289.34996295019</v>
      </c>
      <c r="O6" s="80">
        <f>((L6*I6)*$G$104)*(5/12)</f>
        <v>3058.5377284974647</v>
      </c>
      <c r="P6" s="80">
        <f>SUM(M6:O6)</f>
        <v>189347.88769144766</v>
      </c>
      <c r="Q6" s="724">
        <f>(L6*(5/12))*10000</f>
        <v>162500</v>
      </c>
      <c r="R6" s="724">
        <f>(VLOOKUP(A6,'Funding Detail - Rebase'!$A$4:$AK$23,37,FALSE)*5/12)*L6</f>
        <v>189019.21354028239</v>
      </c>
      <c r="S6" s="42"/>
      <c r="T6" s="80"/>
      <c r="U6" s="42"/>
      <c r="V6" s="623" t="s">
        <v>566</v>
      </c>
      <c r="Y6" s="42"/>
    </row>
    <row r="7" spans="1:28" ht="12.75" customHeight="1" x14ac:dyDescent="0.25">
      <c r="A7" s="185">
        <v>9257005</v>
      </c>
      <c r="B7" s="38" t="s">
        <v>68</v>
      </c>
      <c r="C7" s="335">
        <v>4</v>
      </c>
      <c r="D7" s="49">
        <f>'Revised Bands - Rebase'!F67</f>
        <v>0.13157894736842105</v>
      </c>
      <c r="E7" s="49">
        <f>'Revised Bands - Rebase'!G67</f>
        <v>0.35526315789473684</v>
      </c>
      <c r="F7" s="49">
        <f>'Revised Bands - Rebase'!H67</f>
        <v>0.17105263157894737</v>
      </c>
      <c r="G7" s="49">
        <f>'Revised Bands - Rebase'!I67</f>
        <v>5.0986842105263164E-2</v>
      </c>
      <c r="H7" s="49">
        <f>'Revised Bands - Rebase'!K67</f>
        <v>9.3750000000000014E-2</v>
      </c>
      <c r="I7" s="49">
        <f>'Revised Bands - Rebase'!J67</f>
        <v>0.19736842105263158</v>
      </c>
      <c r="J7" s="233">
        <v>0</v>
      </c>
      <c r="K7" s="233">
        <v>45</v>
      </c>
      <c r="L7" s="168">
        <f t="shared" ref="L7:L23" si="1">SUM(J7:K7)</f>
        <v>45</v>
      </c>
      <c r="M7" s="80">
        <f t="shared" si="0"/>
        <v>0</v>
      </c>
      <c r="N7" s="80">
        <f t="shared" ref="N7:N23" si="2">((((K7*D7)*$G$92)+((K7*E7)*$G$94)+((K7*F7)*$G$96)+((K7*G7)*$G$98)+((K7*H7)*$G$100)+((K7*I7)*$G$102))*(5/12))</f>
        <v>191200.21921852537</v>
      </c>
      <c r="O7" s="80">
        <f t="shared" ref="O7:O23" si="3">((L7*I7)*$G$104)*(5/12)</f>
        <v>9751.4107740556829</v>
      </c>
      <c r="P7" s="80">
        <f>SUM(M7:O7)</f>
        <v>200951.62999258106</v>
      </c>
      <c r="Q7" s="724">
        <f>(L7*(5/12))*10000</f>
        <v>187500</v>
      </c>
      <c r="R7" s="724">
        <f>(VLOOKUP(A7,'Funding Detail - Rebase'!$A$4:$AK$23,37,FALSE)*5/12)*L7</f>
        <v>139718.00207943967</v>
      </c>
      <c r="S7" s="42"/>
      <c r="T7" s="80"/>
      <c r="U7" s="626" t="s">
        <v>402</v>
      </c>
      <c r="V7" s="624" t="s">
        <v>567</v>
      </c>
      <c r="W7" s="33"/>
      <c r="X7" s="33"/>
      <c r="Y7" s="42"/>
      <c r="Z7" s="740"/>
    </row>
    <row r="8" spans="1:28" ht="12.75" customHeight="1" x14ac:dyDescent="0.25">
      <c r="A8" s="185">
        <v>9257025</v>
      </c>
      <c r="B8" s="38" t="s">
        <v>69</v>
      </c>
      <c r="C8" s="667">
        <v>4</v>
      </c>
      <c r="D8" s="49">
        <f>'Revised Bands - Rebase'!F72</f>
        <v>0.2252640008007607</v>
      </c>
      <c r="E8" s="49">
        <f>'Revised Bands - Rebase'!G72</f>
        <v>0.41509433962264153</v>
      </c>
      <c r="F8" s="49">
        <f>'Revised Bands - Rebase'!H72</f>
        <v>5.6603773584905662E-2</v>
      </c>
      <c r="G8" s="49">
        <f>'Revised Bands - Rebase'!I72</f>
        <v>0</v>
      </c>
      <c r="H8" s="49">
        <f>'Revised Bands - Rebase'!K72</f>
        <v>9.5490716180371346E-2</v>
      </c>
      <c r="I8" s="49">
        <f>'Revised Bands - Rebase'!J72</f>
        <v>0.20754716981132076</v>
      </c>
      <c r="J8" s="233">
        <v>0</v>
      </c>
      <c r="K8" s="233">
        <v>49</v>
      </c>
      <c r="L8" s="168">
        <f t="shared" si="1"/>
        <v>49</v>
      </c>
      <c r="M8" s="80">
        <f t="shared" si="0"/>
        <v>0</v>
      </c>
      <c r="N8" s="80">
        <f t="shared" si="2"/>
        <v>215994.22036728152</v>
      </c>
      <c r="O8" s="80">
        <f t="shared" si="3"/>
        <v>11165.808272492439</v>
      </c>
      <c r="P8" s="80">
        <f t="shared" ref="P8:P23" si="4">SUM(M8:O8)</f>
        <v>227160.02863977395</v>
      </c>
      <c r="Q8" s="724">
        <f t="shared" ref="Q8:Q23" si="5">(L8*(5/12))*10000</f>
        <v>204166.66666666669</v>
      </c>
      <c r="R8" s="724">
        <f>(VLOOKUP(A8,'Funding Detail - Rebase'!$A$4:$AK$23,37,FALSE)*5/12)*L8</f>
        <v>186802.43164840087</v>
      </c>
      <c r="S8" s="42"/>
      <c r="T8" s="80"/>
      <c r="U8" s="626" t="s">
        <v>402</v>
      </c>
      <c r="V8" s="1895" t="s">
        <v>592</v>
      </c>
      <c r="W8" s="1895"/>
      <c r="X8" s="1895"/>
      <c r="Y8" s="1895"/>
      <c r="Z8" s="1895"/>
      <c r="AA8" s="1895"/>
      <c r="AB8" s="1895"/>
    </row>
    <row r="9" spans="1:28" x14ac:dyDescent="0.25">
      <c r="A9" s="185">
        <v>9257011</v>
      </c>
      <c r="B9" s="38" t="s">
        <v>70</v>
      </c>
      <c r="C9" s="335">
        <v>4</v>
      </c>
      <c r="D9" s="49">
        <f>'Revised Bands - Rebase'!F77</f>
        <v>0.31076711386308908</v>
      </c>
      <c r="E9" s="49">
        <f>'Revised Bands - Rebase'!G77</f>
        <v>0.42222222222222222</v>
      </c>
      <c r="F9" s="49">
        <f>'Revised Bands - Rebase'!H77</f>
        <v>0</v>
      </c>
      <c r="G9" s="49">
        <f>'Revised Bands - Rebase'!I77</f>
        <v>0</v>
      </c>
      <c r="H9" s="49">
        <f>'Revised Bands - Rebase'!K77</f>
        <v>0.11145510835913314</v>
      </c>
      <c r="I9" s="49">
        <f>'Revised Bands - Rebase'!J77</f>
        <v>0.15555555555555556</v>
      </c>
      <c r="J9" s="233">
        <v>0</v>
      </c>
      <c r="K9" s="233">
        <v>47</v>
      </c>
      <c r="L9" s="168">
        <f t="shared" si="1"/>
        <v>47</v>
      </c>
      <c r="M9" s="80">
        <f t="shared" si="0"/>
        <v>0</v>
      </c>
      <c r="N9" s="80">
        <f t="shared" si="2"/>
        <v>215878.79427874461</v>
      </c>
      <c r="O9" s="80">
        <f t="shared" si="3"/>
        <v>8027.1366253329461</v>
      </c>
      <c r="P9" s="80">
        <f t="shared" si="4"/>
        <v>223905.93090407754</v>
      </c>
      <c r="Q9" s="724">
        <f t="shared" si="5"/>
        <v>195833.33333333334</v>
      </c>
      <c r="R9" s="724">
        <f>(VLOOKUP(A9,'Funding Detail - Rebase'!$A$4:$AK$23,37,FALSE)*5/12)*L9</f>
        <v>210638.81900383069</v>
      </c>
      <c r="S9" s="42"/>
      <c r="T9" s="80"/>
      <c r="U9" s="626"/>
      <c r="V9" s="1895"/>
      <c r="W9" s="1895"/>
      <c r="X9" s="1895"/>
      <c r="Y9" s="1895"/>
      <c r="Z9" s="1895"/>
      <c r="AA9" s="1895"/>
      <c r="AB9" s="1895"/>
    </row>
    <row r="10" spans="1:28" x14ac:dyDescent="0.25">
      <c r="A10" s="185">
        <v>9257024</v>
      </c>
      <c r="B10" s="38" t="s">
        <v>71</v>
      </c>
      <c r="C10" s="335">
        <v>3</v>
      </c>
      <c r="D10" s="49">
        <f>'Revised Bands - Rebase'!F82</f>
        <v>0.2</v>
      </c>
      <c r="E10" s="49">
        <f>'Revised Bands - Rebase'!G82</f>
        <v>0.5636363636363636</v>
      </c>
      <c r="F10" s="49">
        <f>'Revised Bands - Rebase'!H82</f>
        <v>1.8181818181818181E-2</v>
      </c>
      <c r="G10" s="49">
        <f>'Revised Bands - Rebase'!I82</f>
        <v>2.3558542624690485E-2</v>
      </c>
      <c r="H10" s="49">
        <f>'Revised Bands - Rebase'!K82</f>
        <v>0.14007782101167315</v>
      </c>
      <c r="I10" s="49">
        <f>'Revised Bands - Rebase'!J82</f>
        <v>5.4545454545454543E-2</v>
      </c>
      <c r="J10" s="233">
        <v>0</v>
      </c>
      <c r="K10" s="233">
        <v>45</v>
      </c>
      <c r="L10" s="168">
        <f t="shared" si="1"/>
        <v>45</v>
      </c>
      <c r="M10" s="80">
        <f t="shared" si="0"/>
        <v>0</v>
      </c>
      <c r="N10" s="80">
        <f t="shared" si="2"/>
        <v>198931.32014596194</v>
      </c>
      <c r="O10" s="80">
        <f t="shared" si="3"/>
        <v>2694.9353411935704</v>
      </c>
      <c r="P10" s="80">
        <f t="shared" si="4"/>
        <v>201626.25548715552</v>
      </c>
      <c r="Q10" s="724">
        <f t="shared" si="5"/>
        <v>187500</v>
      </c>
      <c r="R10" s="724">
        <f>(VLOOKUP(A10,'Funding Detail - Rebase'!$A$4:$AK$23,37,FALSE)*5/12)*L10</f>
        <v>129075.65334189688</v>
      </c>
      <c r="S10" s="42"/>
      <c r="T10" s="80"/>
      <c r="U10" s="626"/>
      <c r="V10" s="1895"/>
      <c r="W10" s="1895"/>
      <c r="X10" s="1895"/>
      <c r="Y10" s="1895"/>
      <c r="Z10" s="1895"/>
      <c r="AA10" s="1895"/>
      <c r="AB10" s="1895"/>
    </row>
    <row r="11" spans="1:28" ht="12.75" customHeight="1" x14ac:dyDescent="0.25">
      <c r="A11" s="185">
        <v>9257031</v>
      </c>
      <c r="B11" s="38" t="s">
        <v>98</v>
      </c>
      <c r="C11" s="335">
        <v>4</v>
      </c>
      <c r="D11" s="49">
        <f>SUM('Revised Bands - Rebase'!G35)</f>
        <v>0</v>
      </c>
      <c r="E11" s="49">
        <f>SUM('Revised Bands - Rebase'!I35)</f>
        <v>0</v>
      </c>
      <c r="F11" s="49">
        <f>SUM('Revised Bands - Rebase'!K35)</f>
        <v>0</v>
      </c>
      <c r="G11" s="49">
        <f>SUM('Revised Bands - Rebase'!M35)</f>
        <v>0</v>
      </c>
      <c r="H11" s="49">
        <f>SUM('Revised Bands - Rebase'!O35)</f>
        <v>0</v>
      </c>
      <c r="I11" s="49">
        <f>SUM('Revised Bands - Rebase'!Q35)</f>
        <v>1</v>
      </c>
      <c r="J11" s="233">
        <v>0</v>
      </c>
      <c r="K11" s="233">
        <v>68</v>
      </c>
      <c r="L11" s="168">
        <f t="shared" si="1"/>
        <v>68</v>
      </c>
      <c r="M11" s="80">
        <f t="shared" si="0"/>
        <v>0</v>
      </c>
      <c r="N11" s="80">
        <f t="shared" si="2"/>
        <v>331273.91807940899</v>
      </c>
      <c r="O11" s="80">
        <f t="shared" si="3"/>
        <v>74659.69019306633</v>
      </c>
      <c r="P11" s="80">
        <f t="shared" si="4"/>
        <v>405933.60827247531</v>
      </c>
      <c r="Q11" s="724">
        <f t="shared" si="5"/>
        <v>283333.33333333337</v>
      </c>
      <c r="R11" s="724">
        <f>(VLOOKUP(A11,'Funding Detail - Rebase'!$A$4:$AK$23,37,FALSE)*5/12)*L11</f>
        <v>297258.57375973515</v>
      </c>
      <c r="S11" s="42"/>
      <c r="T11" s="80"/>
      <c r="U11" s="626"/>
      <c r="V11" s="1895" t="s">
        <v>568</v>
      </c>
      <c r="W11" s="1895"/>
      <c r="X11" s="1895"/>
      <c r="Y11" s="1895"/>
      <c r="Z11" s="1895"/>
      <c r="AA11" s="1895"/>
      <c r="AB11" s="1895"/>
    </row>
    <row r="12" spans="1:28" x14ac:dyDescent="0.25">
      <c r="A12" s="185">
        <v>9257033</v>
      </c>
      <c r="B12" s="38" t="s">
        <v>72</v>
      </c>
      <c r="C12" s="335">
        <v>3</v>
      </c>
      <c r="D12" s="49">
        <f>SUM('Revised Bands - Rebase'!G36)</f>
        <v>3.6363636363636362E-2</v>
      </c>
      <c r="E12" s="49">
        <f>SUM('Revised Bands - Rebase'!I36)</f>
        <v>0.29090909090909089</v>
      </c>
      <c r="F12" s="49">
        <f>SUM('Revised Bands - Rebase'!K36)</f>
        <v>0.27272727272727271</v>
      </c>
      <c r="G12" s="49">
        <f>SUM('Revised Bands - Rebase'!M36)</f>
        <v>5.4545454545454543E-2</v>
      </c>
      <c r="H12" s="49">
        <f>SUM('Revised Bands - Rebase'!O36)</f>
        <v>0</v>
      </c>
      <c r="I12" s="49">
        <f>SUM('Revised Bands - Rebase'!Q36)</f>
        <v>0.34545454545454546</v>
      </c>
      <c r="J12" s="233">
        <v>0</v>
      </c>
      <c r="K12" s="233">
        <v>57</v>
      </c>
      <c r="L12" s="168">
        <f t="shared" si="1"/>
        <v>57</v>
      </c>
      <c r="M12" s="80">
        <f t="shared" si="0"/>
        <v>0</v>
      </c>
      <c r="N12" s="80">
        <f t="shared" si="2"/>
        <v>212396.95552966642</v>
      </c>
      <c r="O12" s="80">
        <f t="shared" si="3"/>
        <v>21619.370181575086</v>
      </c>
      <c r="P12" s="80">
        <f t="shared" si="4"/>
        <v>234016.32571124152</v>
      </c>
      <c r="Q12" s="724">
        <f t="shared" si="5"/>
        <v>237500</v>
      </c>
      <c r="R12" s="724">
        <f>(VLOOKUP(A12,'Funding Detail - Rebase'!$A$4:$AK$23,37,FALSE)*5/12)*L12</f>
        <v>125687.10186143278</v>
      </c>
      <c r="S12" s="42"/>
      <c r="T12" s="80"/>
      <c r="U12" s="626"/>
      <c r="V12" s="1895"/>
      <c r="W12" s="1895"/>
      <c r="X12" s="1895"/>
      <c r="Y12" s="1895"/>
      <c r="Z12" s="1895"/>
      <c r="AA12" s="1895"/>
      <c r="AB12" s="1895"/>
    </row>
    <row r="13" spans="1:28" x14ac:dyDescent="0.25">
      <c r="A13" s="185">
        <v>9257008</v>
      </c>
      <c r="B13" s="38" t="s">
        <v>73</v>
      </c>
      <c r="C13" s="667">
        <v>4</v>
      </c>
      <c r="D13" s="49">
        <f>SUM('Revised Bands - Rebase'!G37)</f>
        <v>0</v>
      </c>
      <c r="E13" s="49">
        <f>SUM('Revised Bands - Rebase'!I37)</f>
        <v>8.2352941176470587E-2</v>
      </c>
      <c r="F13" s="49">
        <f>SUM('Revised Bands - Rebase'!K37)</f>
        <v>0.61176470588235299</v>
      </c>
      <c r="G13" s="49">
        <f>SUM('Revised Bands - Rebase'!M37)</f>
        <v>2.3529411764705882E-2</v>
      </c>
      <c r="H13" s="49">
        <f>SUM('Revised Bands - Rebase'!O37)</f>
        <v>0</v>
      </c>
      <c r="I13" s="49">
        <f>SUM('Revised Bands - Rebase'!Q37)</f>
        <v>0.28235294117647058</v>
      </c>
      <c r="J13" s="233">
        <v>0</v>
      </c>
      <c r="K13" s="233">
        <v>90</v>
      </c>
      <c r="L13" s="168">
        <f t="shared" si="1"/>
        <v>90</v>
      </c>
      <c r="M13" s="80">
        <f t="shared" si="0"/>
        <v>0</v>
      </c>
      <c r="N13" s="80">
        <f t="shared" si="2"/>
        <v>300051.70758049889</v>
      </c>
      <c r="O13" s="80">
        <f t="shared" si="3"/>
        <v>27900.507061768727</v>
      </c>
      <c r="P13" s="80">
        <f t="shared" si="4"/>
        <v>327952.21464226762</v>
      </c>
      <c r="Q13" s="724">
        <f t="shared" si="5"/>
        <v>375000</v>
      </c>
      <c r="R13" s="724">
        <f>(VLOOKUP(A13,'Funding Detail - Rebase'!$A$4:$AK$23,37,FALSE)*5/12)*L13</f>
        <v>164161.03455877426</v>
      </c>
      <c r="S13" s="42"/>
      <c r="T13" s="80"/>
      <c r="U13" s="626"/>
      <c r="V13" s="1895"/>
      <c r="W13" s="1895"/>
      <c r="X13" s="1895"/>
      <c r="Y13" s="1895"/>
      <c r="Z13" s="1895"/>
      <c r="AA13" s="1895"/>
      <c r="AB13" s="1895"/>
    </row>
    <row r="14" spans="1:28" x14ac:dyDescent="0.25">
      <c r="A14" s="185">
        <v>9257034</v>
      </c>
      <c r="B14" s="38" t="s">
        <v>74</v>
      </c>
      <c r="C14" s="335">
        <v>5</v>
      </c>
      <c r="D14" s="49">
        <f>'Revised Bands - Rebase'!F112</f>
        <v>7.0866141732283464E-2</v>
      </c>
      <c r="E14" s="49">
        <f>'Revised Bands - Rebase'!G112</f>
        <v>0.16535433070866143</v>
      </c>
      <c r="F14" s="49">
        <f>'Revised Bands - Rebase'!H112</f>
        <v>0.51968503937007871</v>
      </c>
      <c r="G14" s="49">
        <f>'Revised Bands - Rebase'!I112</f>
        <v>1.4142328214579346E-2</v>
      </c>
      <c r="H14" s="49">
        <f>'Revised Bands - Rebase'!K112</f>
        <v>2.5227750525578133E-2</v>
      </c>
      <c r="I14" s="49">
        <f>'Revised Bands - Rebase'!J112</f>
        <v>0.20472440944881889</v>
      </c>
      <c r="J14" s="233">
        <v>0</v>
      </c>
      <c r="K14" s="233">
        <v>89</v>
      </c>
      <c r="L14" s="168">
        <f t="shared" si="1"/>
        <v>89</v>
      </c>
      <c r="M14" s="80">
        <f t="shared" si="0"/>
        <v>0</v>
      </c>
      <c r="N14" s="80">
        <f t="shared" si="2"/>
        <v>311734.69657724886</v>
      </c>
      <c r="O14" s="80">
        <f t="shared" si="3"/>
        <v>20004.923935474231</v>
      </c>
      <c r="P14" s="80">
        <f t="shared" si="4"/>
        <v>331739.62051272311</v>
      </c>
      <c r="Q14" s="724">
        <f t="shared" si="5"/>
        <v>370833.33333333337</v>
      </c>
      <c r="R14" s="724">
        <f>(VLOOKUP(A14,'Funding Detail - Rebase'!$A$4:$AK$23,37,FALSE)*5/12)*L14</f>
        <v>133659.66747183088</v>
      </c>
      <c r="S14" s="42"/>
      <c r="T14" s="80"/>
      <c r="U14" s="626"/>
      <c r="V14" s="1895"/>
      <c r="W14" s="1895"/>
      <c r="X14" s="1895"/>
      <c r="Y14" s="1895"/>
      <c r="Z14" s="1895"/>
      <c r="AA14" s="1895"/>
      <c r="AB14" s="1895"/>
    </row>
    <row r="15" spans="1:28" x14ac:dyDescent="0.25">
      <c r="A15" s="185">
        <v>9257002</v>
      </c>
      <c r="B15" s="38" t="s">
        <v>75</v>
      </c>
      <c r="C15" s="335">
        <v>5</v>
      </c>
      <c r="D15" s="49">
        <f>'Revised Bands - Rebase'!F87</f>
        <v>8.4033613445378148E-3</v>
      </c>
      <c r="E15" s="49">
        <f>'Revised Bands - Rebase'!G87</f>
        <v>0.27731092436974791</v>
      </c>
      <c r="F15" s="49">
        <f>'Revised Bands - Rebase'!H87</f>
        <v>0.59663865546218486</v>
      </c>
      <c r="G15" s="49">
        <f>'Revised Bands - Rebase'!I87</f>
        <v>1.7798101328239758E-2</v>
      </c>
      <c r="H15" s="49">
        <f>'Revised Bands - Rebase'!K87</f>
        <v>7.4119827053736867E-3</v>
      </c>
      <c r="I15" s="49">
        <f>'Revised Bands - Rebase'!J87</f>
        <v>9.2436974789915971E-2</v>
      </c>
      <c r="J15" s="233">
        <v>0</v>
      </c>
      <c r="K15" s="233">
        <v>125</v>
      </c>
      <c r="L15" s="168">
        <f t="shared" si="1"/>
        <v>125</v>
      </c>
      <c r="M15" s="80">
        <f t="shared" si="0"/>
        <v>0</v>
      </c>
      <c r="N15" s="80">
        <f t="shared" si="2"/>
        <v>380977.53314531496</v>
      </c>
      <c r="O15" s="80">
        <f t="shared" si="3"/>
        <v>12686.242463601851</v>
      </c>
      <c r="P15" s="80">
        <f t="shared" si="4"/>
        <v>393663.77560891683</v>
      </c>
      <c r="Q15" s="724">
        <f t="shared" si="5"/>
        <v>520833.33333333337</v>
      </c>
      <c r="R15" s="724">
        <f>(VLOOKUP(A15,'Funding Detail - Rebase'!$A$4:$AK$23,37,FALSE)*5/12)*L15</f>
        <v>88779.856042500207</v>
      </c>
      <c r="S15" s="42"/>
      <c r="T15" s="80"/>
      <c r="U15" s="626"/>
      <c r="V15" s="1895"/>
      <c r="W15" s="1895"/>
      <c r="X15" s="1895"/>
      <c r="Y15" s="1895"/>
      <c r="Z15" s="1895"/>
      <c r="AA15" s="1895"/>
      <c r="AB15" s="1895"/>
    </row>
    <row r="16" spans="1:28" x14ac:dyDescent="0.25">
      <c r="A16" s="185">
        <v>9257009</v>
      </c>
      <c r="B16" s="38" t="s">
        <v>76</v>
      </c>
      <c r="C16" s="335">
        <v>4</v>
      </c>
      <c r="D16" s="49">
        <f>SUM('Revised Bands - Rebase'!G40)</f>
        <v>0</v>
      </c>
      <c r="E16" s="49">
        <f>SUM('Revised Bands - Rebase'!I40)</f>
        <v>0.14615384615384616</v>
      </c>
      <c r="F16" s="49">
        <f>SUM('Revised Bands - Rebase'!K40)</f>
        <v>0.7</v>
      </c>
      <c r="G16" s="49">
        <f>SUM('Revised Bands - Rebase'!M40)</f>
        <v>1.5384615384615385E-2</v>
      </c>
      <c r="H16" s="49">
        <f>SUM('Revised Bands - Rebase'!O40)</f>
        <v>0</v>
      </c>
      <c r="I16" s="49">
        <f>SUM('Revised Bands - Rebase'!Q40)</f>
        <v>0.13846153846153847</v>
      </c>
      <c r="J16" s="233">
        <v>0</v>
      </c>
      <c r="K16" s="233">
        <v>128</v>
      </c>
      <c r="L16" s="168">
        <f t="shared" si="1"/>
        <v>128</v>
      </c>
      <c r="M16" s="80">
        <f t="shared" si="0"/>
        <v>0</v>
      </c>
      <c r="N16" s="80">
        <f t="shared" si="2"/>
        <v>386326.99019738677</v>
      </c>
      <c r="O16" s="80">
        <f t="shared" si="3"/>
        <v>19458.815181541268</v>
      </c>
      <c r="P16" s="80">
        <f t="shared" si="4"/>
        <v>405785.80537892802</v>
      </c>
      <c r="Q16" s="724">
        <f t="shared" si="5"/>
        <v>533333.33333333337</v>
      </c>
      <c r="R16" s="724">
        <f>(VLOOKUP(A16,'Funding Detail - Rebase'!$A$4:$AK$23,37,FALSE)*5/12)*L16</f>
        <v>82760.594660838993</v>
      </c>
      <c r="S16" s="42"/>
      <c r="T16" s="80"/>
      <c r="U16" s="626"/>
      <c r="V16" s="1895"/>
      <c r="W16" s="1895"/>
      <c r="X16" s="1895"/>
      <c r="Y16" s="1895"/>
      <c r="Z16" s="1895"/>
      <c r="AA16" s="1895"/>
      <c r="AB16" s="1895"/>
    </row>
    <row r="17" spans="1:25" x14ac:dyDescent="0.25">
      <c r="A17" s="185">
        <v>9257029</v>
      </c>
      <c r="B17" s="38" t="s">
        <v>99</v>
      </c>
      <c r="C17" s="667">
        <v>3</v>
      </c>
      <c r="D17" s="49">
        <f>SUM('Revised Bands - Rebase'!G41)</f>
        <v>0</v>
      </c>
      <c r="E17" s="49">
        <f>SUM('Revised Bands - Rebase'!I41)</f>
        <v>0</v>
      </c>
      <c r="F17" s="49">
        <f>SUM('Revised Bands - Rebase'!K41)</f>
        <v>0</v>
      </c>
      <c r="G17" s="49">
        <f>SUM('Revised Bands - Rebase'!M41)</f>
        <v>0</v>
      </c>
      <c r="H17" s="49">
        <f>SUM('Revised Bands - Rebase'!O41)</f>
        <v>0</v>
      </c>
      <c r="I17" s="49">
        <f>SUM('Revised Bands - Rebase'!Q41)</f>
        <v>1</v>
      </c>
      <c r="J17" s="233">
        <v>0</v>
      </c>
      <c r="K17" s="233">
        <v>44</v>
      </c>
      <c r="L17" s="168">
        <f t="shared" si="1"/>
        <v>44</v>
      </c>
      <c r="M17" s="80">
        <f t="shared" si="0"/>
        <v>0</v>
      </c>
      <c r="N17" s="80">
        <f t="shared" si="2"/>
        <v>214353.7116984411</v>
      </c>
      <c r="O17" s="80">
        <f t="shared" si="3"/>
        <v>48309.211301395851</v>
      </c>
      <c r="P17" s="80">
        <f t="shared" si="4"/>
        <v>262662.92299983697</v>
      </c>
      <c r="Q17" s="724">
        <f t="shared" si="5"/>
        <v>183333.33333333334</v>
      </c>
      <c r="R17" s="724">
        <f>(VLOOKUP(A17,'Funding Detail - Rebase'!$A$4:$AK$23,37,FALSE)*5/12)*L17</f>
        <v>225229.08036485172</v>
      </c>
      <c r="S17" s="42"/>
      <c r="T17" s="80"/>
      <c r="U17" s="626" t="s">
        <v>402</v>
      </c>
      <c r="V17" s="625" t="s">
        <v>569</v>
      </c>
      <c r="Y17" s="42"/>
    </row>
    <row r="18" spans="1:25" x14ac:dyDescent="0.25">
      <c r="A18" s="185">
        <v>9257032</v>
      </c>
      <c r="B18" s="38" t="s">
        <v>100</v>
      </c>
      <c r="C18" s="335">
        <v>4</v>
      </c>
      <c r="D18" s="49">
        <f>SUM('Revised Bands - Rebase'!G42)</f>
        <v>0</v>
      </c>
      <c r="E18" s="49">
        <f>SUM('Revised Bands - Rebase'!I42)</f>
        <v>0</v>
      </c>
      <c r="F18" s="49">
        <f>SUM('Revised Bands - Rebase'!K42)</f>
        <v>0</v>
      </c>
      <c r="G18" s="49">
        <f>SUM('Revised Bands - Rebase'!M42)</f>
        <v>0</v>
      </c>
      <c r="H18" s="49">
        <f>SUM('Revised Bands - Rebase'!O42)</f>
        <v>0</v>
      </c>
      <c r="I18" s="49">
        <f>SUM('Revised Bands - Rebase'!Q42)</f>
        <v>1</v>
      </c>
      <c r="J18" s="233">
        <v>0</v>
      </c>
      <c r="K18" s="233">
        <v>60</v>
      </c>
      <c r="L18" s="168">
        <f t="shared" si="1"/>
        <v>60</v>
      </c>
      <c r="M18" s="80">
        <f t="shared" si="0"/>
        <v>0</v>
      </c>
      <c r="N18" s="80">
        <f t="shared" si="2"/>
        <v>292300.51595241966</v>
      </c>
      <c r="O18" s="80">
        <f t="shared" si="3"/>
        <v>65876.197229176163</v>
      </c>
      <c r="P18" s="80">
        <f t="shared" si="4"/>
        <v>358176.71318159584</v>
      </c>
      <c r="Q18" s="724">
        <f t="shared" si="5"/>
        <v>250000</v>
      </c>
      <c r="R18" s="724">
        <f>(VLOOKUP(A18,'Funding Detail - Rebase'!$A$4:$AK$23,37,FALSE)*5/12)*L18</f>
        <v>284712.89351965004</v>
      </c>
      <c r="S18" s="42"/>
      <c r="T18" s="80"/>
      <c r="U18" s="42"/>
      <c r="Y18" s="42"/>
    </row>
    <row r="19" spans="1:25" x14ac:dyDescent="0.25">
      <c r="A19" s="185">
        <v>9257030</v>
      </c>
      <c r="B19" s="38" t="s">
        <v>92</v>
      </c>
      <c r="C19" s="667">
        <v>4</v>
      </c>
      <c r="D19" s="49">
        <f>SUM('Revised Bands - Rebase'!G43)</f>
        <v>0</v>
      </c>
      <c r="E19" s="49">
        <f>SUM('Revised Bands - Rebase'!I43)</f>
        <v>0</v>
      </c>
      <c r="F19" s="49">
        <f>SUM('Revised Bands - Rebase'!K43)</f>
        <v>0</v>
      </c>
      <c r="G19" s="49">
        <f>SUM('Revised Bands - Rebase'!M43)</f>
        <v>0</v>
      </c>
      <c r="H19" s="49">
        <f>SUM('Revised Bands - Rebase'!O43)</f>
        <v>0</v>
      </c>
      <c r="I19" s="49">
        <f>SUM('Revised Bands - Rebase'!Q43)</f>
        <v>1</v>
      </c>
      <c r="J19" s="233">
        <v>0</v>
      </c>
      <c r="K19" s="233">
        <v>65</v>
      </c>
      <c r="L19" s="168">
        <f t="shared" si="1"/>
        <v>65</v>
      </c>
      <c r="M19" s="80">
        <f t="shared" si="0"/>
        <v>0</v>
      </c>
      <c r="N19" s="80">
        <f t="shared" si="2"/>
        <v>316658.89228178799</v>
      </c>
      <c r="O19" s="80">
        <f t="shared" si="3"/>
        <v>71365.880331607506</v>
      </c>
      <c r="P19" s="80">
        <f t="shared" si="4"/>
        <v>388024.77261339547</v>
      </c>
      <c r="Q19" s="724">
        <f t="shared" si="5"/>
        <v>270833.33333333337</v>
      </c>
      <c r="R19" s="724">
        <f>(VLOOKUP(A19,'Funding Detail - Rebase'!$A$4:$AK$23,37,FALSE)*5/12)*L19</f>
        <v>290939.8448791306</v>
      </c>
      <c r="S19" s="42"/>
      <c r="T19" s="80"/>
      <c r="U19" s="42"/>
      <c r="Y19" s="42"/>
    </row>
    <row r="20" spans="1:25" x14ac:dyDescent="0.25">
      <c r="A20" s="185">
        <v>9257028</v>
      </c>
      <c r="B20" s="38" t="s">
        <v>77</v>
      </c>
      <c r="C20" s="335">
        <v>5</v>
      </c>
      <c r="D20" s="49">
        <f>'Revised Bands - Rebase'!F92</f>
        <v>0.22253521126760564</v>
      </c>
      <c r="E20" s="49">
        <f>'Revised Bands - Rebase'!G92</f>
        <v>0.3380281690140845</v>
      </c>
      <c r="F20" s="49">
        <f>'Revised Bands - Rebase'!H92</f>
        <v>0</v>
      </c>
      <c r="G20" s="49">
        <f>'Revised Bands - Rebase'!I92</f>
        <v>0</v>
      </c>
      <c r="H20" s="49">
        <f>'Revised Bands - Rebase'!K92</f>
        <v>0.2</v>
      </c>
      <c r="I20" s="49">
        <f>'Revised Bands - Rebase'!J92</f>
        <v>0.23943661971830987</v>
      </c>
      <c r="J20" s="523">
        <v>0</v>
      </c>
      <c r="K20" s="233">
        <v>53</v>
      </c>
      <c r="L20" s="168">
        <f t="shared" si="1"/>
        <v>53</v>
      </c>
      <c r="M20" s="525">
        <f t="shared" si="0"/>
        <v>0</v>
      </c>
      <c r="N20" s="80">
        <f t="shared" si="2"/>
        <v>271946.07414162339</v>
      </c>
      <c r="O20" s="80">
        <f t="shared" si="3"/>
        <v>13932.970352931392</v>
      </c>
      <c r="P20" s="80">
        <f t="shared" si="4"/>
        <v>285879.04449455481</v>
      </c>
      <c r="Q20" s="724">
        <f t="shared" si="5"/>
        <v>220833.33333333334</v>
      </c>
      <c r="R20" s="724">
        <f>(VLOOKUP(A20,'Funding Detail - Rebase'!$A$4:$AK$23,37,FALSE)*5/12)*L20</f>
        <v>224974.18475396419</v>
      </c>
      <c r="S20" s="42"/>
      <c r="T20" s="80"/>
      <c r="U20" s="42"/>
      <c r="Y20" s="42"/>
    </row>
    <row r="21" spans="1:25" x14ac:dyDescent="0.25">
      <c r="A21" s="185">
        <v>9257021</v>
      </c>
      <c r="B21" s="38" t="s">
        <v>78</v>
      </c>
      <c r="C21" s="667">
        <v>5</v>
      </c>
      <c r="D21" s="49">
        <f>'Revised Bands - Rebase'!F97</f>
        <v>0</v>
      </c>
      <c r="E21" s="49">
        <f>'Revised Bands - Rebase'!G97</f>
        <v>9.8591549295774641E-2</v>
      </c>
      <c r="F21" s="49">
        <f>'Revised Bands - Rebase'!H97</f>
        <v>0.71830985915492962</v>
      </c>
      <c r="G21" s="49">
        <f>'Revised Bands - Rebase'!I97</f>
        <v>2.9426156081330312E-2</v>
      </c>
      <c r="H21" s="49">
        <f>'Revised Bands - Rebase'!K97</f>
        <v>1.282736504543025E-2</v>
      </c>
      <c r="I21" s="49">
        <f>'Revised Bands - Rebase'!J97</f>
        <v>0.14084507042253522</v>
      </c>
      <c r="J21" s="233">
        <v>0</v>
      </c>
      <c r="K21" s="233">
        <v>154</v>
      </c>
      <c r="L21" s="168">
        <f t="shared" si="1"/>
        <v>154</v>
      </c>
      <c r="M21" s="80">
        <f t="shared" si="0"/>
        <v>0</v>
      </c>
      <c r="N21" s="80">
        <f t="shared" si="2"/>
        <v>480251.68099481857</v>
      </c>
      <c r="O21" s="80">
        <f t="shared" si="3"/>
        <v>23814.399937307815</v>
      </c>
      <c r="P21" s="80">
        <f t="shared" si="4"/>
        <v>504066.08093212638</v>
      </c>
      <c r="Q21" s="724">
        <f t="shared" si="5"/>
        <v>641666.66666666674</v>
      </c>
      <c r="R21" s="724">
        <f>(VLOOKUP(A21,'Funding Detail - Rebase'!$A$4:$AK$23,37,FALSE)*5/12)*L21</f>
        <v>95570.205754192561</v>
      </c>
      <c r="S21" s="42"/>
      <c r="T21" s="80"/>
      <c r="U21" s="42"/>
      <c r="Y21" s="42"/>
    </row>
    <row r="22" spans="1:25" x14ac:dyDescent="0.25">
      <c r="A22" s="185">
        <v>9257015</v>
      </c>
      <c r="B22" s="38" t="s">
        <v>55</v>
      </c>
      <c r="C22" s="335">
        <v>6</v>
      </c>
      <c r="D22" s="49">
        <f>'Revised Bands - Rebase'!F102</f>
        <v>4.1999582612843596E-2</v>
      </c>
      <c r="E22" s="49">
        <f>'Revised Bands - Rebase'!G102</f>
        <v>0.22177419354838709</v>
      </c>
      <c r="F22" s="49">
        <f>'Revised Bands - Rebase'!H102</f>
        <v>0.65322580645161288</v>
      </c>
      <c r="G22" s="49">
        <f>'Revised Bands - Rebase'!I102</f>
        <v>0</v>
      </c>
      <c r="H22" s="49">
        <f>'Revised Bands - Rebase'!K102</f>
        <v>1.8484288354898331E-2</v>
      </c>
      <c r="I22" s="49">
        <f>'Revised Bands - Rebase'!J102</f>
        <v>6.4516129032258063E-2</v>
      </c>
      <c r="J22" s="233">
        <v>0</v>
      </c>
      <c r="K22" s="233">
        <v>263</v>
      </c>
      <c r="L22" s="168">
        <f>SUM(J22:K22)</f>
        <v>263</v>
      </c>
      <c r="M22" s="80">
        <f t="shared" si="0"/>
        <v>0</v>
      </c>
      <c r="N22" s="80">
        <f t="shared" si="2"/>
        <v>806896.63120506029</v>
      </c>
      <c r="O22" s="80">
        <f t="shared" si="3"/>
        <v>18629.505237928312</v>
      </c>
      <c r="P22" s="80">
        <f t="shared" si="4"/>
        <v>825526.13644298865</v>
      </c>
      <c r="Q22" s="724">
        <f t="shared" si="5"/>
        <v>1095833.3333333335</v>
      </c>
      <c r="R22" s="724">
        <f>(VLOOKUP(A22,'Funding Detail - Rebase'!$A$4:$AK$23,37,FALSE)*5/12)*L22</f>
        <v>0</v>
      </c>
      <c r="S22" s="42"/>
      <c r="T22" s="80"/>
      <c r="U22" s="42"/>
      <c r="Y22" s="42"/>
    </row>
    <row r="23" spans="1:25" x14ac:dyDescent="0.25">
      <c r="A23" s="185">
        <v>9257016</v>
      </c>
      <c r="B23" s="38" t="s">
        <v>80</v>
      </c>
      <c r="C23" s="335">
        <v>6</v>
      </c>
      <c r="D23" s="49">
        <f>'Revised Bands - Rebase'!F107</f>
        <v>0.45493133583021222</v>
      </c>
      <c r="E23" s="49">
        <f>'Revised Bands - Rebase'!G107</f>
        <v>0</v>
      </c>
      <c r="F23" s="49">
        <f>'Revised Bands - Rebase'!H107</f>
        <v>0.28888888888888886</v>
      </c>
      <c r="G23" s="49">
        <f>'Revised Bands - Rebase'!I107</f>
        <v>0</v>
      </c>
      <c r="H23" s="49">
        <f>'Revised Bands - Rebase'!K107</f>
        <v>0.25617977528089886</v>
      </c>
      <c r="I23" s="49">
        <f>'Revised Bands - Rebase'!J107</f>
        <v>0</v>
      </c>
      <c r="J23" s="233">
        <v>0</v>
      </c>
      <c r="K23" s="233">
        <v>97</v>
      </c>
      <c r="L23" s="168">
        <f t="shared" si="1"/>
        <v>97</v>
      </c>
      <c r="M23" s="80">
        <f t="shared" si="0"/>
        <v>0</v>
      </c>
      <c r="N23" s="80">
        <f t="shared" si="2"/>
        <v>517147.33432853973</v>
      </c>
      <c r="O23" s="80">
        <f t="shared" si="3"/>
        <v>0</v>
      </c>
      <c r="P23" s="80">
        <f t="shared" si="4"/>
        <v>517147.33432853973</v>
      </c>
      <c r="Q23" s="724">
        <f t="shared" si="5"/>
        <v>404166.66666666669</v>
      </c>
      <c r="R23" s="724">
        <f>(VLOOKUP(A23,'Funding Detail - Rebase'!$A$4:$AK$23,37,FALSE)*5/12)*L23</f>
        <v>287161.71696490218</v>
      </c>
      <c r="S23" s="628" t="s">
        <v>402</v>
      </c>
      <c r="T23" s="80"/>
      <c r="U23" s="42"/>
      <c r="Y23" s="42"/>
    </row>
    <row r="24" spans="1:25" x14ac:dyDescent="0.25">
      <c r="A24" s="75"/>
      <c r="B24" s="50"/>
      <c r="C24" s="61"/>
      <c r="D24" s="628"/>
      <c r="E24" s="49"/>
      <c r="F24" s="49"/>
      <c r="G24" s="49"/>
      <c r="H24" s="628" t="s">
        <v>402</v>
      </c>
      <c r="I24" s="168"/>
      <c r="J24" s="168"/>
      <c r="K24" s="628" t="s">
        <v>402</v>
      </c>
      <c r="L24" s="80"/>
      <c r="M24" s="80"/>
      <c r="N24" s="80"/>
      <c r="O24" s="628" t="s">
        <v>402</v>
      </c>
      <c r="P24" s="168"/>
      <c r="Q24" s="168"/>
    </row>
    <row r="25" spans="1:25" ht="13" x14ac:dyDescent="0.3">
      <c r="A25" s="230" t="s">
        <v>283</v>
      </c>
      <c r="B25" s="50"/>
      <c r="C25" s="61"/>
      <c r="D25" s="49"/>
      <c r="E25" s="49"/>
      <c r="F25" s="49"/>
      <c r="G25" s="49"/>
      <c r="H25" s="49"/>
      <c r="I25" s="168"/>
      <c r="J25" s="168"/>
      <c r="K25" s="168"/>
      <c r="L25" s="80"/>
      <c r="M25" s="80"/>
      <c r="N25" s="80"/>
      <c r="O25" s="80"/>
      <c r="P25" s="168"/>
      <c r="Q25" s="168"/>
    </row>
    <row r="26" spans="1:25" x14ac:dyDescent="0.25">
      <c r="A26" s="75"/>
      <c r="B26" s="50"/>
      <c r="C26" s="61"/>
      <c r="D26" s="49"/>
      <c r="E26" s="49"/>
      <c r="F26" s="49"/>
      <c r="G26" s="49"/>
      <c r="H26" s="49"/>
      <c r="I26" s="231" t="s">
        <v>608</v>
      </c>
      <c r="J26" s="168"/>
      <c r="K26" s="168"/>
      <c r="L26" s="80"/>
      <c r="M26" s="1893" t="s">
        <v>332</v>
      </c>
      <c r="N26" s="1894"/>
      <c r="O26" s="80"/>
      <c r="P26" s="168"/>
      <c r="Q26" s="168"/>
    </row>
    <row r="27" spans="1:25" ht="37.5" x14ac:dyDescent="0.25">
      <c r="A27" s="183" t="s">
        <v>201</v>
      </c>
      <c r="B27" s="36" t="s">
        <v>66</v>
      </c>
      <c r="C27" s="738" t="s">
        <v>51</v>
      </c>
      <c r="D27" s="34" t="s">
        <v>256</v>
      </c>
      <c r="E27" s="34" t="s">
        <v>257</v>
      </c>
      <c r="F27" s="34" t="s">
        <v>258</v>
      </c>
      <c r="G27" s="34" t="s">
        <v>259</v>
      </c>
      <c r="H27" s="526" t="s">
        <v>683</v>
      </c>
      <c r="I27" s="34" t="s">
        <v>260</v>
      </c>
      <c r="J27" s="741" t="s">
        <v>185</v>
      </c>
      <c r="K27" s="741" t="s">
        <v>288</v>
      </c>
      <c r="L27" s="741" t="s">
        <v>388</v>
      </c>
      <c r="M27" s="741" t="s">
        <v>288</v>
      </c>
      <c r="N27" s="252" t="s">
        <v>330</v>
      </c>
      <c r="O27" s="694" t="s">
        <v>339</v>
      </c>
      <c r="P27" s="741"/>
      <c r="Q27" s="741"/>
      <c r="R27" s="741"/>
    </row>
    <row r="28" spans="1:25" x14ac:dyDescent="0.25">
      <c r="A28" s="185">
        <v>9257010</v>
      </c>
      <c r="B28" s="38" t="s">
        <v>67</v>
      </c>
      <c r="C28" s="337">
        <v>4</v>
      </c>
      <c r="D28" s="49">
        <v>0.36486912645853048</v>
      </c>
      <c r="E28" s="49">
        <v>0.2857142857142857</v>
      </c>
      <c r="F28" s="49">
        <v>0.11904761904761904</v>
      </c>
      <c r="G28" s="49">
        <v>0</v>
      </c>
      <c r="H28" s="49">
        <v>0.15894039735099336</v>
      </c>
      <c r="I28" s="49">
        <v>7.1428571428571425E-2</v>
      </c>
      <c r="J28" s="233">
        <v>10</v>
      </c>
      <c r="K28" s="80">
        <f>((((J28*D28)*$G$92)+((J28*E28)*$G$94)+((J28*F28)*$G$96)+((J28*G28)*$G$98)+((J28*H28)*$G$100)+((J28*I28)*$G$102)))*(4/12)</f>
        <v>38213.199992400027</v>
      </c>
      <c r="L28" s="80">
        <f t="shared" ref="L28:L45" si="6">((J28*I28)*$G$104)*(4/12)</f>
        <v>627.39235456358233</v>
      </c>
      <c r="M28" s="80">
        <f>SUM(K28:L28)</f>
        <v>38840.592346963611</v>
      </c>
      <c r="N28" s="724">
        <f>(J28*(4/12))*10000</f>
        <v>33333.333333333328</v>
      </c>
      <c r="O28" s="724">
        <f>(VLOOKUP(A28,'Funding Detail - Rebase'!$A$4:$AK$23,37,FALSE)*4/12)*J28</f>
        <v>38773.172008263056</v>
      </c>
      <c r="P28" s="80"/>
      <c r="Q28" s="80"/>
      <c r="R28" s="80"/>
      <c r="S28" s="80"/>
      <c r="T28" s="42"/>
      <c r="U28" s="626" t="s">
        <v>402</v>
      </c>
      <c r="V28" s="625" t="s">
        <v>593</v>
      </c>
    </row>
    <row r="29" spans="1:25" x14ac:dyDescent="0.25">
      <c r="A29" s="185">
        <v>9257005</v>
      </c>
      <c r="B29" s="38" t="s">
        <v>68</v>
      </c>
      <c r="C29" s="335">
        <v>4</v>
      </c>
      <c r="D29" s="49">
        <v>0.13157894736842105</v>
      </c>
      <c r="E29" s="49">
        <v>0.35526315789473684</v>
      </c>
      <c r="F29" s="49">
        <v>0.17105263157894737</v>
      </c>
      <c r="G29" s="49">
        <v>5.0986842105263164E-2</v>
      </c>
      <c r="H29" s="49">
        <v>9.3750000000000014E-2</v>
      </c>
      <c r="I29" s="49">
        <v>0.19736842105263158</v>
      </c>
      <c r="J29" s="233">
        <v>29</v>
      </c>
      <c r="K29" s="80">
        <f t="shared" ref="K29:K45" si="7">((((J29*D29)*$G$92)+((J29*E29)*$G$94)+((J29*F29)*$G$96)+((J29*G29)*$G$98)+((J29*H29)*$G$100)+((J29*I29)*$G$102)))*(4/12)</f>
        <v>98574.335241550842</v>
      </c>
      <c r="L29" s="80">
        <f t="shared" si="6"/>
        <v>5027.3939990687068</v>
      </c>
      <c r="M29" s="80">
        <f>SUM(K29:L29)</f>
        <v>103601.72924061955</v>
      </c>
      <c r="N29" s="724">
        <f>(J29*(4/12))*10000</f>
        <v>96666.666666666657</v>
      </c>
      <c r="O29" s="724">
        <f>(VLOOKUP(A29,'Funding Detail - Rebase'!$A$4:$AK$23,37,FALSE)*4/12)*J29</f>
        <v>72032.392183177784</v>
      </c>
      <c r="P29" s="80"/>
      <c r="Q29" s="80"/>
      <c r="R29" s="80"/>
      <c r="S29" s="80"/>
      <c r="T29" s="42"/>
      <c r="U29" s="42"/>
    </row>
    <row r="30" spans="1:25" x14ac:dyDescent="0.25">
      <c r="A30" s="185">
        <v>9257025</v>
      </c>
      <c r="B30" s="38" t="s">
        <v>69</v>
      </c>
      <c r="C30" s="667">
        <v>4</v>
      </c>
      <c r="D30" s="49">
        <v>0.2252640008007607</v>
      </c>
      <c r="E30" s="49">
        <v>0.41509433962264153</v>
      </c>
      <c r="F30" s="49">
        <v>5.6603773584905662E-2</v>
      </c>
      <c r="G30" s="49">
        <v>0</v>
      </c>
      <c r="H30" s="49">
        <v>9.5490716180371346E-2</v>
      </c>
      <c r="I30" s="49">
        <v>0.20754716981132076</v>
      </c>
      <c r="J30" s="233">
        <v>13</v>
      </c>
      <c r="K30" s="80">
        <f t="shared" si="7"/>
        <v>45843.671261627089</v>
      </c>
      <c r="L30" s="80">
        <f t="shared" si="6"/>
        <v>2369.8858374269662</v>
      </c>
      <c r="M30" s="80">
        <f t="shared" ref="M30:M45" si="8">SUM(K30:L30)</f>
        <v>48213.557099054058</v>
      </c>
      <c r="N30" s="724">
        <f t="shared" ref="N30:N45" si="9">(J30*(4/12))*10000</f>
        <v>43333.333333333328</v>
      </c>
      <c r="O30" s="724">
        <f>(VLOOKUP(A30,'Funding Detail - Rebase'!$A$4:$AK$23,37,FALSE)*4/12)*J30</f>
        <v>39647.863043742233</v>
      </c>
      <c r="P30" s="80"/>
      <c r="Q30" s="80"/>
      <c r="R30" s="80"/>
      <c r="S30" s="80"/>
      <c r="T30" s="42"/>
      <c r="U30" s="42"/>
    </row>
    <row r="31" spans="1:25" x14ac:dyDescent="0.25">
      <c r="A31" s="185">
        <v>9257011</v>
      </c>
      <c r="B31" s="38" t="s">
        <v>70</v>
      </c>
      <c r="C31" s="335">
        <v>4</v>
      </c>
      <c r="D31" s="49">
        <v>0.31076711386308908</v>
      </c>
      <c r="E31" s="49">
        <v>0.42222222222222222</v>
      </c>
      <c r="F31" s="49">
        <v>0</v>
      </c>
      <c r="G31" s="49">
        <v>0</v>
      </c>
      <c r="H31" s="49">
        <v>0.11145510835913314</v>
      </c>
      <c r="I31" s="49">
        <v>0.15555555555555556</v>
      </c>
      <c r="J31" s="233">
        <v>3</v>
      </c>
      <c r="K31" s="80">
        <f t="shared" si="7"/>
        <v>11023.59800572313</v>
      </c>
      <c r="L31" s="80">
        <f t="shared" si="6"/>
        <v>409.8963383148739</v>
      </c>
      <c r="M31" s="80">
        <f t="shared" si="8"/>
        <v>11433.494344038005</v>
      </c>
      <c r="N31" s="724">
        <f t="shared" si="9"/>
        <v>10000</v>
      </c>
      <c r="O31" s="724">
        <f>(VLOOKUP(A31,'Funding Detail - Rebase'!$A$4:$AK$23,37,FALSE)*4/12)*J31</f>
        <v>10756.02480019561</v>
      </c>
      <c r="P31" s="80"/>
      <c r="Q31" s="80"/>
      <c r="R31" s="80"/>
      <c r="S31" s="80"/>
      <c r="T31" s="42"/>
      <c r="U31" s="42"/>
    </row>
    <row r="32" spans="1:25" x14ac:dyDescent="0.25">
      <c r="A32" s="185">
        <v>9257024</v>
      </c>
      <c r="B32" s="38" t="s">
        <v>71</v>
      </c>
      <c r="C32" s="335">
        <v>3</v>
      </c>
      <c r="D32" s="49">
        <v>0.2</v>
      </c>
      <c r="E32" s="49">
        <v>0.5636363636363636</v>
      </c>
      <c r="F32" s="49">
        <v>1.8181818181818181E-2</v>
      </c>
      <c r="G32" s="49">
        <v>2.3558542624690485E-2</v>
      </c>
      <c r="H32" s="49">
        <v>0.14007782101167315</v>
      </c>
      <c r="I32" s="49">
        <v>5.4545454545454543E-2</v>
      </c>
      <c r="J32" s="233">
        <v>13</v>
      </c>
      <c r="K32" s="80">
        <f t="shared" si="7"/>
        <v>45975.238433733437</v>
      </c>
      <c r="L32" s="80">
        <f t="shared" si="6"/>
        <v>622.82950107584725</v>
      </c>
      <c r="M32" s="80">
        <f t="shared" si="8"/>
        <v>46598.067934809282</v>
      </c>
      <c r="N32" s="724">
        <f t="shared" si="9"/>
        <v>43333.333333333328</v>
      </c>
      <c r="O32" s="724">
        <f>(VLOOKUP(A32,'Funding Detail - Rebase'!$A$4:$AK$23,37,FALSE)*4/12)*J32</f>
        <v>29830.81766123839</v>
      </c>
      <c r="P32" s="80"/>
      <c r="Q32" s="80"/>
      <c r="R32" s="80"/>
      <c r="S32" s="80"/>
      <c r="T32" s="42"/>
      <c r="U32" s="42"/>
    </row>
    <row r="33" spans="1:21" x14ac:dyDescent="0.25">
      <c r="A33" s="185">
        <v>9257031</v>
      </c>
      <c r="B33" s="38" t="s">
        <v>98</v>
      </c>
      <c r="C33" s="335">
        <v>4</v>
      </c>
      <c r="D33" s="49">
        <v>0</v>
      </c>
      <c r="E33" s="49">
        <v>0</v>
      </c>
      <c r="F33" s="49">
        <v>0</v>
      </c>
      <c r="G33" s="49">
        <v>0</v>
      </c>
      <c r="H33" s="49">
        <v>0</v>
      </c>
      <c r="I33" s="49">
        <v>1</v>
      </c>
      <c r="J33" s="233">
        <v>0</v>
      </c>
      <c r="K33" s="80">
        <f t="shared" si="7"/>
        <v>0</v>
      </c>
      <c r="L33" s="80">
        <f t="shared" si="6"/>
        <v>0</v>
      </c>
      <c r="M33" s="80">
        <f t="shared" si="8"/>
        <v>0</v>
      </c>
      <c r="N33" s="724">
        <f t="shared" si="9"/>
        <v>0</v>
      </c>
      <c r="O33" s="724">
        <f>(VLOOKUP(A33,'Funding Detail - Rebase'!$A$4:$AK$23,37,FALSE)*4/12)*J33</f>
        <v>0</v>
      </c>
      <c r="P33" s="80"/>
      <c r="Q33" s="80"/>
      <c r="R33" s="80"/>
      <c r="S33" s="80"/>
      <c r="T33" s="42"/>
      <c r="U33" s="42"/>
    </row>
    <row r="34" spans="1:21" x14ac:dyDescent="0.25">
      <c r="A34" s="185">
        <v>9257033</v>
      </c>
      <c r="B34" s="38" t="s">
        <v>72</v>
      </c>
      <c r="C34" s="335">
        <v>3</v>
      </c>
      <c r="D34" s="49">
        <v>3.6363636363636362E-2</v>
      </c>
      <c r="E34" s="49">
        <v>0.29090909090909089</v>
      </c>
      <c r="F34" s="49">
        <v>0.27272727272727271</v>
      </c>
      <c r="G34" s="49">
        <v>5.4545454545454543E-2</v>
      </c>
      <c r="H34" s="49">
        <v>0</v>
      </c>
      <c r="I34" s="49">
        <v>0.34545454545454546</v>
      </c>
      <c r="J34" s="233">
        <v>0</v>
      </c>
      <c r="K34" s="80">
        <f t="shared" si="7"/>
        <v>0</v>
      </c>
      <c r="L34" s="80">
        <f t="shared" si="6"/>
        <v>0</v>
      </c>
      <c r="M34" s="80">
        <f t="shared" si="8"/>
        <v>0</v>
      </c>
      <c r="N34" s="724">
        <f t="shared" si="9"/>
        <v>0</v>
      </c>
      <c r="O34" s="724">
        <f>(VLOOKUP(A34,'Funding Detail - Rebase'!$A$4:$AK$23,37,FALSE)*4/12)*J34</f>
        <v>0</v>
      </c>
      <c r="P34" s="80"/>
      <c r="Q34" s="80"/>
      <c r="R34" s="80"/>
      <c r="S34" s="80"/>
      <c r="T34" s="42"/>
      <c r="U34" s="42"/>
    </row>
    <row r="35" spans="1:21" x14ac:dyDescent="0.25">
      <c r="A35" s="185">
        <v>9257008</v>
      </c>
      <c r="B35" s="38" t="s">
        <v>73</v>
      </c>
      <c r="C35" s="667">
        <v>4</v>
      </c>
      <c r="D35" s="49">
        <v>0</v>
      </c>
      <c r="E35" s="49">
        <v>8.2352941176470587E-2</v>
      </c>
      <c r="F35" s="49">
        <v>0.61176470588235299</v>
      </c>
      <c r="G35" s="49">
        <v>2.3529411764705882E-2</v>
      </c>
      <c r="H35" s="49">
        <v>0</v>
      </c>
      <c r="I35" s="49">
        <v>0.28235294117647058</v>
      </c>
      <c r="J35" s="233">
        <v>0</v>
      </c>
      <c r="K35" s="80">
        <f t="shared" si="7"/>
        <v>0</v>
      </c>
      <c r="L35" s="80">
        <f t="shared" si="6"/>
        <v>0</v>
      </c>
      <c r="M35" s="80">
        <f t="shared" si="8"/>
        <v>0</v>
      </c>
      <c r="N35" s="724">
        <f t="shared" si="9"/>
        <v>0</v>
      </c>
      <c r="O35" s="724">
        <f>(VLOOKUP(A35,'Funding Detail - Rebase'!$A$4:$AK$23,37,FALSE)*4/12)*J35</f>
        <v>0</v>
      </c>
      <c r="P35" s="80"/>
      <c r="Q35" s="80"/>
      <c r="R35" s="80"/>
      <c r="S35" s="80"/>
      <c r="T35" s="42"/>
      <c r="U35" s="42"/>
    </row>
    <row r="36" spans="1:21" x14ac:dyDescent="0.25">
      <c r="A36" s="185">
        <v>9257034</v>
      </c>
      <c r="B36" s="38" t="s">
        <v>74</v>
      </c>
      <c r="C36" s="335">
        <v>5</v>
      </c>
      <c r="D36" s="49">
        <v>7.0866141732283464E-2</v>
      </c>
      <c r="E36" s="49">
        <v>0.16535433070866143</v>
      </c>
      <c r="F36" s="49">
        <v>0.51968503937007871</v>
      </c>
      <c r="G36" s="49">
        <v>1.4142328214579346E-2</v>
      </c>
      <c r="H36" s="49">
        <v>2.5227750525578133E-2</v>
      </c>
      <c r="I36" s="49">
        <v>0.20472440944881889</v>
      </c>
      <c r="J36" s="233">
        <v>32</v>
      </c>
      <c r="K36" s="80">
        <f t="shared" si="7"/>
        <v>89667.508228961451</v>
      </c>
      <c r="L36" s="80">
        <f t="shared" si="6"/>
        <v>5754.2253117768569</v>
      </c>
      <c r="M36" s="80">
        <f t="shared" si="8"/>
        <v>95421.733540738307</v>
      </c>
      <c r="N36" s="724">
        <f t="shared" si="9"/>
        <v>106666.66666666666</v>
      </c>
      <c r="O36" s="724">
        <f>(VLOOKUP(A36,'Funding Detail - Rebase'!$A$4:$AK$23,37,FALSE)*4/12)*J36</f>
        <v>38445.926823358102</v>
      </c>
      <c r="P36" s="80"/>
      <c r="Q36" s="80"/>
      <c r="R36" s="80"/>
      <c r="S36" s="80"/>
      <c r="T36" s="42"/>
      <c r="U36" s="42"/>
    </row>
    <row r="37" spans="1:21" x14ac:dyDescent="0.25">
      <c r="A37" s="185">
        <v>9257002</v>
      </c>
      <c r="B37" s="38" t="s">
        <v>75</v>
      </c>
      <c r="C37" s="335">
        <v>5</v>
      </c>
      <c r="D37" s="49">
        <v>8.4033613445378148E-3</v>
      </c>
      <c r="E37" s="49">
        <v>0.27731092436974791</v>
      </c>
      <c r="F37" s="49">
        <v>0.59663865546218486</v>
      </c>
      <c r="G37" s="49">
        <v>1.7798101328239758E-2</v>
      </c>
      <c r="H37" s="49">
        <v>7.4119827053736867E-3</v>
      </c>
      <c r="I37" s="49">
        <v>9.2436974789915971E-2</v>
      </c>
      <c r="J37" s="233">
        <v>0</v>
      </c>
      <c r="K37" s="80">
        <f t="shared" si="7"/>
        <v>0</v>
      </c>
      <c r="L37" s="80">
        <f t="shared" si="6"/>
        <v>0</v>
      </c>
      <c r="M37" s="80">
        <f t="shared" si="8"/>
        <v>0</v>
      </c>
      <c r="N37" s="724">
        <f t="shared" si="9"/>
        <v>0</v>
      </c>
      <c r="O37" s="724">
        <f>(VLOOKUP(A37,'Funding Detail - Rebase'!$A$4:$AK$23,37,FALSE)*4/12)*J37</f>
        <v>0</v>
      </c>
      <c r="P37" s="80"/>
      <c r="Q37" s="80"/>
      <c r="R37" s="80"/>
      <c r="S37" s="80"/>
      <c r="T37" s="42"/>
      <c r="U37" s="42"/>
    </row>
    <row r="38" spans="1:21" x14ac:dyDescent="0.25">
      <c r="A38" s="185">
        <v>9257009</v>
      </c>
      <c r="B38" s="38" t="s">
        <v>76</v>
      </c>
      <c r="C38" s="335">
        <v>4</v>
      </c>
      <c r="D38" s="49">
        <v>0</v>
      </c>
      <c r="E38" s="49">
        <v>0.14615384615384616</v>
      </c>
      <c r="F38" s="49">
        <v>0.7</v>
      </c>
      <c r="G38" s="49">
        <v>1.5384615384615385E-2</v>
      </c>
      <c r="H38" s="49">
        <v>0</v>
      </c>
      <c r="I38" s="49">
        <v>0.13846153846153847</v>
      </c>
      <c r="J38" s="233">
        <v>0</v>
      </c>
      <c r="K38" s="80">
        <f t="shared" si="7"/>
        <v>0</v>
      </c>
      <c r="L38" s="80">
        <f t="shared" si="6"/>
        <v>0</v>
      </c>
      <c r="M38" s="80">
        <f t="shared" si="8"/>
        <v>0</v>
      </c>
      <c r="N38" s="724">
        <f t="shared" si="9"/>
        <v>0</v>
      </c>
      <c r="O38" s="724">
        <f>(VLOOKUP(A38,'Funding Detail - Rebase'!$A$4:$AK$23,37,FALSE)*4/12)*J38</f>
        <v>0</v>
      </c>
      <c r="P38" s="80"/>
      <c r="Q38" s="80"/>
      <c r="R38" s="80"/>
      <c r="S38" s="80"/>
      <c r="T38" s="42"/>
      <c r="U38" s="42"/>
    </row>
    <row r="39" spans="1:21" x14ac:dyDescent="0.25">
      <c r="A39" s="185">
        <v>9257029</v>
      </c>
      <c r="B39" s="38" t="s">
        <v>99</v>
      </c>
      <c r="C39" s="667">
        <v>3</v>
      </c>
      <c r="D39" s="49">
        <v>0</v>
      </c>
      <c r="E39" s="49">
        <v>0</v>
      </c>
      <c r="F39" s="49">
        <v>0</v>
      </c>
      <c r="G39" s="49">
        <v>0</v>
      </c>
      <c r="H39" s="49">
        <v>0</v>
      </c>
      <c r="I39" s="49">
        <v>1</v>
      </c>
      <c r="J39" s="233">
        <v>0</v>
      </c>
      <c r="K39" s="80">
        <f t="shared" si="7"/>
        <v>0</v>
      </c>
      <c r="L39" s="80">
        <f t="shared" si="6"/>
        <v>0</v>
      </c>
      <c r="M39" s="80">
        <f t="shared" si="8"/>
        <v>0</v>
      </c>
      <c r="N39" s="724">
        <f t="shared" si="9"/>
        <v>0</v>
      </c>
      <c r="O39" s="724">
        <f>(VLOOKUP(A39,'Funding Detail - Rebase'!$A$4:$AK$23,37,FALSE)*4/12)*J39</f>
        <v>0</v>
      </c>
      <c r="P39" s="80"/>
      <c r="Q39" s="80"/>
      <c r="R39" s="80"/>
      <c r="S39" s="80"/>
      <c r="T39" s="42"/>
      <c r="U39" s="42"/>
    </row>
    <row r="40" spans="1:21" x14ac:dyDescent="0.25">
      <c r="A40" s="185">
        <v>9257032</v>
      </c>
      <c r="B40" s="38" t="s">
        <v>100</v>
      </c>
      <c r="C40" s="335">
        <v>4</v>
      </c>
      <c r="D40" s="49">
        <v>0</v>
      </c>
      <c r="E40" s="49">
        <v>0</v>
      </c>
      <c r="F40" s="49">
        <v>0</v>
      </c>
      <c r="G40" s="49">
        <v>0</v>
      </c>
      <c r="H40" s="49">
        <v>0</v>
      </c>
      <c r="I40" s="49">
        <v>1</v>
      </c>
      <c r="J40" s="233">
        <v>0</v>
      </c>
      <c r="K40" s="80">
        <f t="shared" si="7"/>
        <v>0</v>
      </c>
      <c r="L40" s="80">
        <f t="shared" si="6"/>
        <v>0</v>
      </c>
      <c r="M40" s="80">
        <f t="shared" si="8"/>
        <v>0</v>
      </c>
      <c r="N40" s="724">
        <f t="shared" si="9"/>
        <v>0</v>
      </c>
      <c r="O40" s="724">
        <f>(VLOOKUP(A40,'Funding Detail - Rebase'!$A$4:$AK$23,37,FALSE)*4/12)*J40</f>
        <v>0</v>
      </c>
      <c r="P40" s="80"/>
      <c r="Q40" s="80"/>
      <c r="R40" s="80"/>
      <c r="S40" s="80"/>
      <c r="T40" s="42"/>
      <c r="U40" s="42"/>
    </row>
    <row r="41" spans="1:21" x14ac:dyDescent="0.25">
      <c r="A41" s="185">
        <v>9257030</v>
      </c>
      <c r="B41" s="38" t="s">
        <v>92</v>
      </c>
      <c r="C41" s="667">
        <v>4</v>
      </c>
      <c r="D41" s="49">
        <v>0</v>
      </c>
      <c r="E41" s="49">
        <v>0</v>
      </c>
      <c r="F41" s="49">
        <v>0</v>
      </c>
      <c r="G41" s="49">
        <v>0</v>
      </c>
      <c r="H41" s="49">
        <v>0</v>
      </c>
      <c r="I41" s="49">
        <v>1</v>
      </c>
      <c r="J41" s="233">
        <v>0</v>
      </c>
      <c r="K41" s="80">
        <f t="shared" si="7"/>
        <v>0</v>
      </c>
      <c r="L41" s="80">
        <f t="shared" si="6"/>
        <v>0</v>
      </c>
      <c r="M41" s="80">
        <f t="shared" si="8"/>
        <v>0</v>
      </c>
      <c r="N41" s="724">
        <f t="shared" si="9"/>
        <v>0</v>
      </c>
      <c r="O41" s="724">
        <f>(VLOOKUP(A41,'Funding Detail - Rebase'!$A$4:$AK$23,37,FALSE)*4/12)*J41</f>
        <v>0</v>
      </c>
      <c r="P41" s="80"/>
      <c r="Q41" s="80"/>
      <c r="R41" s="80"/>
      <c r="S41" s="80"/>
      <c r="T41" s="42"/>
      <c r="U41" s="42"/>
    </row>
    <row r="42" spans="1:21" x14ac:dyDescent="0.25">
      <c r="A42" s="185">
        <v>9257028</v>
      </c>
      <c r="B42" s="38" t="s">
        <v>77</v>
      </c>
      <c r="C42" s="335">
        <v>5</v>
      </c>
      <c r="D42" s="49">
        <v>0.22253521126760564</v>
      </c>
      <c r="E42" s="49">
        <v>0.3380281690140845</v>
      </c>
      <c r="F42" s="49">
        <v>0</v>
      </c>
      <c r="G42" s="49">
        <v>0</v>
      </c>
      <c r="H42" s="49">
        <v>0.2</v>
      </c>
      <c r="I42" s="49">
        <v>0.23943661971830987</v>
      </c>
      <c r="J42" s="233">
        <v>16</v>
      </c>
      <c r="K42" s="80">
        <f t="shared" si="7"/>
        <v>65677.54243420338</v>
      </c>
      <c r="L42" s="80">
        <f t="shared" si="6"/>
        <v>3364.9437833494676</v>
      </c>
      <c r="M42" s="80">
        <f t="shared" si="8"/>
        <v>69042.486217552854</v>
      </c>
      <c r="N42" s="724">
        <f t="shared" si="9"/>
        <v>53333.333333333328</v>
      </c>
      <c r="O42" s="724">
        <f>(VLOOKUP(A42,'Funding Detail - Rebase'!$A$4:$AK$23,37,FALSE)*4/12)*J42</f>
        <v>54333.388016051729</v>
      </c>
      <c r="P42" s="80"/>
      <c r="Q42" s="80"/>
      <c r="R42" s="80"/>
      <c r="S42" s="80"/>
      <c r="T42" s="42"/>
      <c r="U42" s="42"/>
    </row>
    <row r="43" spans="1:21" x14ac:dyDescent="0.25">
      <c r="A43" s="185">
        <v>9257021</v>
      </c>
      <c r="B43" s="38" t="s">
        <v>78</v>
      </c>
      <c r="C43" s="667">
        <v>5</v>
      </c>
      <c r="D43" s="49">
        <v>0</v>
      </c>
      <c r="E43" s="49">
        <v>9.8591549295774641E-2</v>
      </c>
      <c r="F43" s="49">
        <v>0.71830985915492962</v>
      </c>
      <c r="G43" s="49">
        <v>2.9426156081330312E-2</v>
      </c>
      <c r="H43" s="49">
        <v>1.282736504543025E-2</v>
      </c>
      <c r="I43" s="49">
        <v>0.14084507042253522</v>
      </c>
      <c r="J43" s="233">
        <v>0</v>
      </c>
      <c r="K43" s="80">
        <f t="shared" si="7"/>
        <v>0</v>
      </c>
      <c r="L43" s="80">
        <f t="shared" si="6"/>
        <v>0</v>
      </c>
      <c r="M43" s="80">
        <f t="shared" si="8"/>
        <v>0</v>
      </c>
      <c r="N43" s="724">
        <f t="shared" si="9"/>
        <v>0</v>
      </c>
      <c r="O43" s="724">
        <f>(VLOOKUP(A43,'Funding Detail - Rebase'!$A$4:$AK$23,37,FALSE)*4/12)*J43</f>
        <v>0</v>
      </c>
      <c r="P43" s="80"/>
      <c r="Q43" s="80"/>
      <c r="R43" s="80"/>
      <c r="S43" s="80"/>
      <c r="T43" s="42"/>
      <c r="U43" s="42"/>
    </row>
    <row r="44" spans="1:21" x14ac:dyDescent="0.25">
      <c r="A44" s="185">
        <v>9257015</v>
      </c>
      <c r="B44" s="38" t="s">
        <v>55</v>
      </c>
      <c r="C44" s="335">
        <v>6</v>
      </c>
      <c r="D44" s="49">
        <v>4.1999582612843596E-2</v>
      </c>
      <c r="E44" s="49">
        <v>0.22177419354838709</v>
      </c>
      <c r="F44" s="49">
        <v>0.65322580645161288</v>
      </c>
      <c r="G44" s="49">
        <v>0</v>
      </c>
      <c r="H44" s="49">
        <v>1.8484288354898331E-2</v>
      </c>
      <c r="I44" s="49">
        <v>6.4516129032258063E-2</v>
      </c>
      <c r="J44" s="233">
        <v>19</v>
      </c>
      <c r="K44" s="80">
        <f t="shared" si="7"/>
        <v>46634.330016414126</v>
      </c>
      <c r="L44" s="80">
        <f t="shared" si="6"/>
        <v>1076.6862342833092</v>
      </c>
      <c r="M44" s="80">
        <f t="shared" si="8"/>
        <v>47711.016250697437</v>
      </c>
      <c r="N44" s="724">
        <f t="shared" si="9"/>
        <v>63333.333333333328</v>
      </c>
      <c r="O44" s="724">
        <f>(VLOOKUP(A44,'Funding Detail - Rebase'!$A$4:$AK$23,37,FALSE)*4/12)*J44</f>
        <v>0</v>
      </c>
      <c r="P44" s="80"/>
      <c r="Q44" s="80"/>
      <c r="R44" s="80"/>
      <c r="S44" s="80"/>
      <c r="T44" s="42"/>
      <c r="U44" s="42"/>
    </row>
    <row r="45" spans="1:21" x14ac:dyDescent="0.25">
      <c r="A45" s="185">
        <v>9257016</v>
      </c>
      <c r="B45" s="38" t="s">
        <v>80</v>
      </c>
      <c r="C45" s="335">
        <v>6</v>
      </c>
      <c r="D45" s="49">
        <v>0.45493133583021222</v>
      </c>
      <c r="E45" s="49">
        <v>0</v>
      </c>
      <c r="F45" s="49">
        <v>0.28888888888888886</v>
      </c>
      <c r="G45" s="49">
        <v>0</v>
      </c>
      <c r="H45" s="49">
        <v>0.25617977528089886</v>
      </c>
      <c r="I45" s="49">
        <v>0</v>
      </c>
      <c r="J45" s="233">
        <v>54</v>
      </c>
      <c r="K45" s="80">
        <f t="shared" si="7"/>
        <v>230317.16332982387</v>
      </c>
      <c r="L45" s="80">
        <f t="shared" si="6"/>
        <v>0</v>
      </c>
      <c r="M45" s="80">
        <f t="shared" si="8"/>
        <v>230317.16332982387</v>
      </c>
      <c r="N45" s="724">
        <f t="shared" si="9"/>
        <v>180000</v>
      </c>
      <c r="O45" s="724">
        <f>(VLOOKUP(A45,'Funding Detail - Rebase'!$A$4:$AK$23,37,FALSE)*4/12)*J45</f>
        <v>127890.5791018946</v>
      </c>
      <c r="P45" s="628" t="s">
        <v>402</v>
      </c>
      <c r="Q45" s="80"/>
      <c r="R45" s="80"/>
      <c r="S45" s="80"/>
      <c r="T45" s="42"/>
      <c r="U45" s="42"/>
    </row>
    <row r="46" spans="1:21" x14ac:dyDescent="0.25">
      <c r="A46" s="75"/>
      <c r="B46" s="50"/>
      <c r="C46" s="61"/>
      <c r="D46" s="49"/>
      <c r="E46" s="49"/>
      <c r="F46" s="49"/>
      <c r="G46" s="49"/>
      <c r="H46" s="628" t="s">
        <v>402</v>
      </c>
      <c r="I46" s="628" t="s">
        <v>402</v>
      </c>
      <c r="J46" s="168"/>
      <c r="K46" s="168"/>
      <c r="L46" s="628" t="s">
        <v>402</v>
      </c>
      <c r="M46" s="80"/>
      <c r="N46" s="80"/>
      <c r="O46" s="80"/>
      <c r="P46" s="233"/>
      <c r="Q46" s="233"/>
      <c r="R46" s="40"/>
    </row>
    <row r="47" spans="1:21" ht="13" x14ac:dyDescent="0.3">
      <c r="A47" s="230" t="s">
        <v>285</v>
      </c>
      <c r="B47" s="50"/>
      <c r="C47" s="50"/>
    </row>
    <row r="48" spans="1:21" x14ac:dyDescent="0.25">
      <c r="B48" s="50"/>
      <c r="C48" s="50"/>
      <c r="I48" s="231" t="s">
        <v>608</v>
      </c>
      <c r="P48" s="1893" t="s">
        <v>332</v>
      </c>
      <c r="Q48" s="1894"/>
    </row>
    <row r="49" spans="1:22" ht="39.75" customHeight="1" x14ac:dyDescent="0.25">
      <c r="A49" s="183" t="s">
        <v>201</v>
      </c>
      <c r="B49" s="36" t="s">
        <v>66</v>
      </c>
      <c r="C49" s="738" t="s">
        <v>51</v>
      </c>
      <c r="D49" s="34" t="s">
        <v>256</v>
      </c>
      <c r="E49" s="34" t="s">
        <v>257</v>
      </c>
      <c r="F49" s="34" t="s">
        <v>258</v>
      </c>
      <c r="G49" s="34" t="s">
        <v>259</v>
      </c>
      <c r="H49" s="526" t="s">
        <v>683</v>
      </c>
      <c r="I49" s="34" t="s">
        <v>260</v>
      </c>
      <c r="J49" s="741" t="s">
        <v>252</v>
      </c>
      <c r="K49" s="741" t="s">
        <v>253</v>
      </c>
      <c r="L49" s="741" t="s">
        <v>251</v>
      </c>
      <c r="M49" s="741" t="s">
        <v>389</v>
      </c>
      <c r="N49" s="741" t="s">
        <v>390</v>
      </c>
      <c r="O49" s="741" t="s">
        <v>391</v>
      </c>
      <c r="P49" s="741" t="s">
        <v>287</v>
      </c>
      <c r="Q49" s="93" t="s">
        <v>329</v>
      </c>
      <c r="R49" s="694" t="s">
        <v>340</v>
      </c>
    </row>
    <row r="50" spans="1:22" x14ac:dyDescent="0.25">
      <c r="A50" s="131">
        <v>9257010</v>
      </c>
      <c r="B50" s="38" t="s">
        <v>67</v>
      </c>
      <c r="C50" s="337">
        <v>4</v>
      </c>
      <c r="D50" s="49">
        <v>0.36486912645853048</v>
      </c>
      <c r="E50" s="49">
        <v>0.2857142857142857</v>
      </c>
      <c r="F50" s="49">
        <v>0.11904761904761904</v>
      </c>
      <c r="G50" s="49">
        <v>0</v>
      </c>
      <c r="H50" s="49">
        <v>0.15894039735099336</v>
      </c>
      <c r="I50" s="49">
        <v>7.1428571428571425E-2</v>
      </c>
      <c r="J50" s="233">
        <v>0</v>
      </c>
      <c r="K50" s="524">
        <v>47</v>
      </c>
      <c r="L50" s="233">
        <f>SUM(J50:K50)</f>
        <v>47</v>
      </c>
      <c r="M50" s="42">
        <f t="shared" ref="M50:M67" si="10">((((J50*D50)*$G$92)+((J50*E50)*$G$94)+((J50*F50)*$G$96)+((J50*G50)*$G$98)+((J50*I50)*$G$102)))*(7/12)</f>
        <v>0</v>
      </c>
      <c r="N50" s="42">
        <f>((((K50*D50)*$G$92)+((K50*E50)*$G$94)+((K50*F50)*$G$96)+((K50*G50)*$G$98)+((K50*H50)*$G$100)+((K50*I50)*$G$102)))*(7/12)</f>
        <v>314303.56993749033</v>
      </c>
      <c r="O50" s="42">
        <f>((I50*L50)*$G$104)*(7/12)</f>
        <v>5160.3021162854657</v>
      </c>
      <c r="P50" s="42">
        <f t="shared" ref="P50:P67" si="11">SUM(M50:O50)</f>
        <v>319463.87205377582</v>
      </c>
      <c r="Q50" s="724">
        <f>(L50*(7/12))*10000</f>
        <v>274166.66666666669</v>
      </c>
      <c r="R50" s="724">
        <f>(VLOOKUP(A50,'Funding Detail - Rebase'!$A$4:$AK$23,37,FALSE)*7/12)*L50</f>
        <v>318909.33976796368</v>
      </c>
      <c r="S50" s="42"/>
      <c r="T50" s="42"/>
      <c r="U50" s="626" t="s">
        <v>402</v>
      </c>
      <c r="V50" s="625" t="s">
        <v>595</v>
      </c>
    </row>
    <row r="51" spans="1:22" x14ac:dyDescent="0.25">
      <c r="A51" s="131">
        <v>9257005</v>
      </c>
      <c r="B51" s="38" t="s">
        <v>68</v>
      </c>
      <c r="C51" s="335">
        <v>4</v>
      </c>
      <c r="D51" s="49">
        <v>0.13157894736842105</v>
      </c>
      <c r="E51" s="49">
        <v>0.35526315789473684</v>
      </c>
      <c r="F51" s="49">
        <v>0.17105263157894737</v>
      </c>
      <c r="G51" s="49">
        <v>5.0986842105263164E-2</v>
      </c>
      <c r="H51" s="49">
        <v>9.3750000000000014E-2</v>
      </c>
      <c r="I51" s="49">
        <v>0.19736842105263158</v>
      </c>
      <c r="J51" s="233">
        <v>0</v>
      </c>
      <c r="K51" s="524">
        <v>45</v>
      </c>
      <c r="L51" s="233">
        <f t="shared" ref="L51:L67" si="12">SUM(J51:K51)</f>
        <v>45</v>
      </c>
      <c r="M51" s="42">
        <f t="shared" si="10"/>
        <v>0</v>
      </c>
      <c r="N51" s="42">
        <f t="shared" ref="N51:N67" si="13">((((K51*D51)*$G$92)+((K51*E51)*$G$94)+((K51*F51)*$G$96)+((K51*G51)*$G$98)+((K51*H51)*$G$100)+((K51*I51)*$G$102)))*(7/12)</f>
        <v>267680.30690593552</v>
      </c>
      <c r="O51" s="42">
        <f t="shared" ref="O51:O67" si="14">((I51*L51)*$G$104)*(7/12)</f>
        <v>13651.975083677955</v>
      </c>
      <c r="P51" s="42">
        <f t="shared" si="11"/>
        <v>281332.28198961349</v>
      </c>
      <c r="Q51" s="724">
        <f t="shared" ref="Q51:Q67" si="15">(L51*(7/12))*10000</f>
        <v>262500</v>
      </c>
      <c r="R51" s="724">
        <f>(VLOOKUP(A51,'Funding Detail - Rebase'!$A$4:$AK$23,37,FALSE)*7/12)*L51</f>
        <v>195605.20291121554</v>
      </c>
      <c r="S51" s="42"/>
      <c r="T51" s="42"/>
      <c r="U51" s="42"/>
    </row>
    <row r="52" spans="1:22" x14ac:dyDescent="0.25">
      <c r="A52" s="131">
        <v>9257025</v>
      </c>
      <c r="B52" s="38" t="s">
        <v>69</v>
      </c>
      <c r="C52" s="667">
        <v>4</v>
      </c>
      <c r="D52" s="49">
        <v>0.2252640008007607</v>
      </c>
      <c r="E52" s="49">
        <v>0.41509433962264153</v>
      </c>
      <c r="F52" s="49">
        <v>5.6603773584905662E-2</v>
      </c>
      <c r="G52" s="49">
        <v>0</v>
      </c>
      <c r="H52" s="49">
        <v>9.5490716180371346E-2</v>
      </c>
      <c r="I52" s="49">
        <v>0.20754716981132076</v>
      </c>
      <c r="J52" s="233">
        <v>0</v>
      </c>
      <c r="K52" s="524">
        <v>47</v>
      </c>
      <c r="L52" s="233">
        <f t="shared" si="12"/>
        <v>47</v>
      </c>
      <c r="M52" s="42">
        <f t="shared" si="10"/>
        <v>0</v>
      </c>
      <c r="N52" s="42">
        <f t="shared" si="13"/>
        <v>290049.38163606374</v>
      </c>
      <c r="O52" s="42">
        <f t="shared" si="14"/>
        <v>14994.085394489844</v>
      </c>
      <c r="P52" s="42">
        <f t="shared" si="11"/>
        <v>305043.46703055361</v>
      </c>
      <c r="Q52" s="724">
        <f t="shared" si="15"/>
        <v>274166.66666666669</v>
      </c>
      <c r="R52" s="724">
        <f>(VLOOKUP(A52,'Funding Detail - Rebase'!$A$4:$AK$23,37,FALSE)*7/12)*L52</f>
        <v>250848.97964213835</v>
      </c>
      <c r="S52" s="42"/>
      <c r="T52" s="42"/>
      <c r="U52" s="42"/>
    </row>
    <row r="53" spans="1:22" x14ac:dyDescent="0.25">
      <c r="A53" s="131">
        <v>9257011</v>
      </c>
      <c r="B53" s="38" t="s">
        <v>70</v>
      </c>
      <c r="C53" s="335">
        <v>4</v>
      </c>
      <c r="D53" s="49">
        <v>0.31076711386308908</v>
      </c>
      <c r="E53" s="49">
        <v>0.42222222222222222</v>
      </c>
      <c r="F53" s="49">
        <v>0</v>
      </c>
      <c r="G53" s="49">
        <v>0</v>
      </c>
      <c r="H53" s="49">
        <v>0.11145510835913314</v>
      </c>
      <c r="I53" s="49">
        <v>0.15555555555555556</v>
      </c>
      <c r="J53" s="233">
        <v>0</v>
      </c>
      <c r="K53" s="524">
        <v>41</v>
      </c>
      <c r="L53" s="233">
        <f t="shared" si="12"/>
        <v>41</v>
      </c>
      <c r="M53" s="42">
        <f t="shared" si="10"/>
        <v>0</v>
      </c>
      <c r="N53" s="42">
        <f t="shared" si="13"/>
        <v>263647.71897021157</v>
      </c>
      <c r="O53" s="42">
        <f t="shared" si="14"/>
        <v>9803.3540913640682</v>
      </c>
      <c r="P53" s="42">
        <f t="shared" si="11"/>
        <v>273451.07306157565</v>
      </c>
      <c r="Q53" s="724">
        <f t="shared" si="15"/>
        <v>239166.66666666669</v>
      </c>
      <c r="R53" s="724">
        <f>(VLOOKUP(A53,'Funding Detail - Rebase'!$A$4:$AK$23,37,FALSE)*7/12)*L53</f>
        <v>257248.25980467832</v>
      </c>
      <c r="S53" s="42"/>
      <c r="T53" s="42"/>
      <c r="U53" s="42"/>
    </row>
    <row r="54" spans="1:22" x14ac:dyDescent="0.25">
      <c r="A54" s="131">
        <v>9257024</v>
      </c>
      <c r="B54" s="38" t="s">
        <v>71</v>
      </c>
      <c r="C54" s="335">
        <v>3</v>
      </c>
      <c r="D54" s="49">
        <v>0.2</v>
      </c>
      <c r="E54" s="49">
        <v>0.5636363636363636</v>
      </c>
      <c r="F54" s="49">
        <v>1.8181818181818181E-2</v>
      </c>
      <c r="G54" s="49">
        <v>2.3558542624690485E-2</v>
      </c>
      <c r="H54" s="49">
        <v>0.14007782101167315</v>
      </c>
      <c r="I54" s="49">
        <v>5.4545454545454543E-2</v>
      </c>
      <c r="J54" s="233">
        <v>0</v>
      </c>
      <c r="K54" s="524">
        <v>58</v>
      </c>
      <c r="L54" s="233">
        <f t="shared" si="12"/>
        <v>58</v>
      </c>
      <c r="M54" s="42">
        <f t="shared" si="10"/>
        <v>0</v>
      </c>
      <c r="N54" s="42">
        <f t="shared" si="13"/>
        <v>358960.51546338026</v>
      </c>
      <c r="O54" s="42">
        <f t="shared" si="14"/>
        <v>4862.8611045537318</v>
      </c>
      <c r="P54" s="42">
        <f t="shared" si="11"/>
        <v>363823.376567934</v>
      </c>
      <c r="Q54" s="724">
        <f t="shared" si="15"/>
        <v>338333.33333333337</v>
      </c>
      <c r="R54" s="724">
        <f>(VLOOKUP(A54,'Funding Detail - Rebase'!$A$4:$AK$23,37,FALSE)*7/12)*L54</f>
        <v>232909.8455858228</v>
      </c>
      <c r="S54" s="42"/>
      <c r="T54" s="42"/>
      <c r="U54" s="42"/>
    </row>
    <row r="55" spans="1:22" x14ac:dyDescent="0.25">
      <c r="A55" s="131">
        <v>9257031</v>
      </c>
      <c r="B55" s="38" t="s">
        <v>98</v>
      </c>
      <c r="C55" s="335">
        <v>4</v>
      </c>
      <c r="D55" s="49">
        <v>0</v>
      </c>
      <c r="E55" s="49">
        <v>0</v>
      </c>
      <c r="F55" s="49">
        <v>0</v>
      </c>
      <c r="G55" s="49">
        <v>0</v>
      </c>
      <c r="H55" s="49">
        <v>0</v>
      </c>
      <c r="I55" s="49">
        <v>1</v>
      </c>
      <c r="J55" s="233">
        <v>0</v>
      </c>
      <c r="K55" s="524">
        <v>70</v>
      </c>
      <c r="L55" s="233">
        <f t="shared" si="12"/>
        <v>70</v>
      </c>
      <c r="M55" s="42">
        <f t="shared" si="10"/>
        <v>0</v>
      </c>
      <c r="N55" s="42">
        <f t="shared" si="13"/>
        <v>477424.17605561879</v>
      </c>
      <c r="O55" s="42">
        <f t="shared" si="14"/>
        <v>107597.78880765439</v>
      </c>
      <c r="P55" s="42">
        <f t="shared" si="11"/>
        <v>585021.9648632732</v>
      </c>
      <c r="Q55" s="724">
        <f t="shared" si="15"/>
        <v>408333.33333333337</v>
      </c>
      <c r="R55" s="724">
        <f>(VLOOKUP(A55,'Funding Detail - Rebase'!$A$4:$AK$23,37,FALSE)*7/12)*L55</f>
        <v>428402.06218314765</v>
      </c>
      <c r="S55" s="42"/>
      <c r="T55" s="42"/>
      <c r="U55" s="42"/>
    </row>
    <row r="56" spans="1:22" x14ac:dyDescent="0.25">
      <c r="A56" s="131">
        <v>9257033</v>
      </c>
      <c r="B56" s="38" t="s">
        <v>72</v>
      </c>
      <c r="C56" s="335">
        <v>3</v>
      </c>
      <c r="D56" s="49">
        <v>3.6363636363636362E-2</v>
      </c>
      <c r="E56" s="49">
        <v>0.29090909090909089</v>
      </c>
      <c r="F56" s="49">
        <v>0.27272727272727271</v>
      </c>
      <c r="G56" s="49">
        <v>5.4545454545454543E-2</v>
      </c>
      <c r="H56" s="49">
        <v>0</v>
      </c>
      <c r="I56" s="49">
        <v>0.34545454545454546</v>
      </c>
      <c r="J56" s="233">
        <v>0</v>
      </c>
      <c r="K56" s="524">
        <v>85</v>
      </c>
      <c r="L56" s="233">
        <f t="shared" si="12"/>
        <v>85</v>
      </c>
      <c r="M56" s="42">
        <f t="shared" si="10"/>
        <v>0</v>
      </c>
      <c r="N56" s="42">
        <f t="shared" si="13"/>
        <v>443425.22294790001</v>
      </c>
      <c r="O56" s="42">
        <f t="shared" si="14"/>
        <v>45135.17634399009</v>
      </c>
      <c r="P56" s="42">
        <f t="shared" si="11"/>
        <v>488560.39929189009</v>
      </c>
      <c r="Q56" s="724">
        <f t="shared" si="15"/>
        <v>495833.33333333337</v>
      </c>
      <c r="R56" s="724">
        <f>(VLOOKUP(A56,'Funding Detail - Rebase'!$A$4:$AK$23,37,FALSE)*7/12)*L56</f>
        <v>262399.38809667545</v>
      </c>
      <c r="S56" s="42"/>
      <c r="T56" s="42"/>
      <c r="U56" s="42"/>
    </row>
    <row r="57" spans="1:22" x14ac:dyDescent="0.25">
      <c r="A57" s="131">
        <v>9257008</v>
      </c>
      <c r="B57" s="38" t="s">
        <v>73</v>
      </c>
      <c r="C57" s="667">
        <v>4</v>
      </c>
      <c r="D57" s="49">
        <v>0</v>
      </c>
      <c r="E57" s="49">
        <v>8.2352941176470587E-2</v>
      </c>
      <c r="F57" s="49">
        <v>0.61176470588235299</v>
      </c>
      <c r="G57" s="49">
        <v>2.3529411764705882E-2</v>
      </c>
      <c r="H57" s="49">
        <v>0</v>
      </c>
      <c r="I57" s="49">
        <v>0.28235294117647058</v>
      </c>
      <c r="J57" s="233">
        <v>0</v>
      </c>
      <c r="K57" s="524">
        <v>90</v>
      </c>
      <c r="L57" s="233">
        <f t="shared" si="12"/>
        <v>90</v>
      </c>
      <c r="M57" s="42">
        <f t="shared" si="10"/>
        <v>0</v>
      </c>
      <c r="N57" s="42">
        <f t="shared" si="13"/>
        <v>420072.39061269845</v>
      </c>
      <c r="O57" s="42">
        <f t="shared" si="14"/>
        <v>39060.709886476216</v>
      </c>
      <c r="P57" s="42">
        <f t="shared" si="11"/>
        <v>459133.10049917467</v>
      </c>
      <c r="Q57" s="724">
        <f t="shared" si="15"/>
        <v>525000</v>
      </c>
      <c r="R57" s="724">
        <f>(VLOOKUP(A57,'Funding Detail - Rebase'!$A$4:$AK$23,37,FALSE)*7/12)*L57</f>
        <v>229825.448382284</v>
      </c>
      <c r="S57" s="42"/>
      <c r="T57" s="42"/>
      <c r="U57" s="42"/>
    </row>
    <row r="58" spans="1:22" x14ac:dyDescent="0.25">
      <c r="A58" s="131">
        <v>9257034</v>
      </c>
      <c r="B58" s="38" t="s">
        <v>74</v>
      </c>
      <c r="C58" s="335">
        <v>5</v>
      </c>
      <c r="D58" s="49">
        <v>7.0866141732283464E-2</v>
      </c>
      <c r="E58" s="49">
        <v>0.16535433070866143</v>
      </c>
      <c r="F58" s="49">
        <v>0.51968503937007871</v>
      </c>
      <c r="G58" s="49">
        <v>1.4142328214579346E-2</v>
      </c>
      <c r="H58" s="49">
        <v>2.5227750525578133E-2</v>
      </c>
      <c r="I58" s="49">
        <v>0.20472440944881889</v>
      </c>
      <c r="J58" s="233">
        <v>0</v>
      </c>
      <c r="K58" s="524">
        <v>82</v>
      </c>
      <c r="L58" s="233">
        <f t="shared" si="12"/>
        <v>82</v>
      </c>
      <c r="M58" s="42">
        <f t="shared" si="10"/>
        <v>0</v>
      </c>
      <c r="N58" s="42">
        <f t="shared" si="13"/>
        <v>402102.73221424909</v>
      </c>
      <c r="O58" s="42">
        <f t="shared" si="14"/>
        <v>25804.104132499346</v>
      </c>
      <c r="P58" s="42">
        <f t="shared" si="11"/>
        <v>427906.83634674846</v>
      </c>
      <c r="Q58" s="724">
        <f t="shared" si="15"/>
        <v>478333.33333333337</v>
      </c>
      <c r="R58" s="724">
        <f>(VLOOKUP(A58,'Funding Detail - Rebase'!$A$4:$AK$23,37,FALSE)*7/12)*L58</f>
        <v>172405.95309849648</v>
      </c>
      <c r="S58" s="42"/>
      <c r="T58" s="42"/>
      <c r="U58" s="42"/>
    </row>
    <row r="59" spans="1:22" x14ac:dyDescent="0.25">
      <c r="A59" s="131">
        <v>9257002</v>
      </c>
      <c r="B59" s="38" t="s">
        <v>75</v>
      </c>
      <c r="C59" s="335">
        <v>5</v>
      </c>
      <c r="D59" s="49">
        <v>8.4033613445378148E-3</v>
      </c>
      <c r="E59" s="49">
        <v>0.27731092436974791</v>
      </c>
      <c r="F59" s="49">
        <v>0.59663865546218486</v>
      </c>
      <c r="G59" s="49">
        <v>1.7798101328239758E-2</v>
      </c>
      <c r="H59" s="49">
        <v>7.4119827053736867E-3</v>
      </c>
      <c r="I59" s="49">
        <v>9.2436974789915971E-2</v>
      </c>
      <c r="J59" s="233">
        <v>0</v>
      </c>
      <c r="K59" s="524">
        <v>142</v>
      </c>
      <c r="L59" s="233">
        <f t="shared" si="12"/>
        <v>142</v>
      </c>
      <c r="M59" s="42">
        <f t="shared" si="10"/>
        <v>0</v>
      </c>
      <c r="N59" s="42">
        <f t="shared" si="13"/>
        <v>605906.66871430899</v>
      </c>
      <c r="O59" s="42">
        <f t="shared" si="14"/>
        <v>20176.20001411239</v>
      </c>
      <c r="P59" s="42">
        <f t="shared" si="11"/>
        <v>626082.8687284214</v>
      </c>
      <c r="Q59" s="724">
        <f t="shared" si="15"/>
        <v>828333.33333333337</v>
      </c>
      <c r="R59" s="724">
        <f>(VLOOKUP(A59,'Funding Detail - Rebase'!$A$4:$AK$23,37,FALSE)*7/12)*L59</f>
        <v>141195.48304999233</v>
      </c>
      <c r="S59" s="42"/>
      <c r="T59" s="42"/>
      <c r="U59" s="42"/>
    </row>
    <row r="60" spans="1:22" x14ac:dyDescent="0.25">
      <c r="A60" s="131">
        <v>9257009</v>
      </c>
      <c r="B60" s="38" t="s">
        <v>76</v>
      </c>
      <c r="C60" s="335">
        <v>4</v>
      </c>
      <c r="D60" s="49">
        <v>0</v>
      </c>
      <c r="E60" s="49">
        <v>0.14615384615384616</v>
      </c>
      <c r="F60" s="49">
        <v>0.7</v>
      </c>
      <c r="G60" s="49">
        <v>1.5384615384615385E-2</v>
      </c>
      <c r="H60" s="49">
        <v>0</v>
      </c>
      <c r="I60" s="49">
        <v>0.13846153846153847</v>
      </c>
      <c r="J60" s="233">
        <v>0</v>
      </c>
      <c r="K60" s="524">
        <v>129</v>
      </c>
      <c r="L60" s="233">
        <f t="shared" si="12"/>
        <v>129</v>
      </c>
      <c r="M60" s="42">
        <f t="shared" si="10"/>
        <v>0</v>
      </c>
      <c r="N60" s="42">
        <f t="shared" si="13"/>
        <v>545083.23773162556</v>
      </c>
      <c r="O60" s="42">
        <f t="shared" si="14"/>
        <v>27455.17204520588</v>
      </c>
      <c r="P60" s="42">
        <f t="shared" si="11"/>
        <v>572538.40977683139</v>
      </c>
      <c r="Q60" s="724">
        <f t="shared" si="15"/>
        <v>752500</v>
      </c>
      <c r="R60" s="724">
        <f>(VLOOKUP(A60,'Funding Detail - Rebase'!$A$4:$AK$23,37,FALSE)*7/12)*L60</f>
        <v>116770.02652927751</v>
      </c>
      <c r="S60" s="42"/>
      <c r="T60" s="42"/>
      <c r="U60" s="42"/>
    </row>
    <row r="61" spans="1:22" x14ac:dyDescent="0.25">
      <c r="A61" s="131">
        <v>9257029</v>
      </c>
      <c r="B61" s="38" t="s">
        <v>99</v>
      </c>
      <c r="C61" s="667">
        <v>3</v>
      </c>
      <c r="D61" s="49">
        <v>0</v>
      </c>
      <c r="E61" s="49">
        <v>0</v>
      </c>
      <c r="F61" s="49">
        <v>0</v>
      </c>
      <c r="G61" s="49">
        <v>0</v>
      </c>
      <c r="H61" s="49">
        <v>0</v>
      </c>
      <c r="I61" s="49">
        <v>1</v>
      </c>
      <c r="J61" s="233">
        <v>0</v>
      </c>
      <c r="K61" s="524">
        <v>43</v>
      </c>
      <c r="L61" s="233">
        <f t="shared" si="12"/>
        <v>43</v>
      </c>
      <c r="M61" s="42">
        <f t="shared" si="10"/>
        <v>0</v>
      </c>
      <c r="N61" s="42">
        <f t="shared" si="13"/>
        <v>293274.85100559442</v>
      </c>
      <c r="O61" s="42">
        <f t="shared" si="14"/>
        <v>66095.784553273421</v>
      </c>
      <c r="P61" s="42">
        <f t="shared" si="11"/>
        <v>359370.63555886783</v>
      </c>
      <c r="Q61" s="724">
        <f t="shared" si="15"/>
        <v>250833.33333333334</v>
      </c>
      <c r="R61" s="724">
        <f>(VLOOKUP(A61,'Funding Detail - Rebase'!$A$4:$AK$23,37,FALSE)*7/12)*L61</f>
        <v>308154.33268100163</v>
      </c>
      <c r="S61" s="42"/>
      <c r="T61" s="42"/>
      <c r="U61" s="42"/>
    </row>
    <row r="62" spans="1:22" x14ac:dyDescent="0.25">
      <c r="A62" s="131">
        <v>9257032</v>
      </c>
      <c r="B62" s="38" t="s">
        <v>100</v>
      </c>
      <c r="C62" s="335">
        <v>4</v>
      </c>
      <c r="D62" s="49">
        <v>0</v>
      </c>
      <c r="E62" s="49">
        <v>0</v>
      </c>
      <c r="F62" s="49">
        <v>0</v>
      </c>
      <c r="G62" s="49">
        <v>0</v>
      </c>
      <c r="H62" s="49">
        <v>0</v>
      </c>
      <c r="I62" s="49">
        <v>1</v>
      </c>
      <c r="J62" s="233">
        <v>0</v>
      </c>
      <c r="K62" s="524">
        <v>60</v>
      </c>
      <c r="L62" s="233">
        <f t="shared" si="12"/>
        <v>60</v>
      </c>
      <c r="M62" s="42">
        <f t="shared" si="10"/>
        <v>0</v>
      </c>
      <c r="N62" s="42">
        <f t="shared" si="13"/>
        <v>409220.72233338753</v>
      </c>
      <c r="O62" s="42">
        <f t="shared" si="14"/>
        <v>92226.67612084662</v>
      </c>
      <c r="P62" s="42">
        <f t="shared" si="11"/>
        <v>501447.39845423412</v>
      </c>
      <c r="Q62" s="724">
        <f t="shared" si="15"/>
        <v>350000</v>
      </c>
      <c r="R62" s="724">
        <f>(VLOOKUP(A62,'Funding Detail - Rebase'!$A$4:$AK$23,37,FALSE)*7/12)*L62</f>
        <v>398598.05092751002</v>
      </c>
      <c r="S62" s="42"/>
      <c r="T62" s="42"/>
      <c r="U62" s="42"/>
    </row>
    <row r="63" spans="1:22" x14ac:dyDescent="0.25">
      <c r="A63" s="131">
        <v>9257030</v>
      </c>
      <c r="B63" s="38" t="s">
        <v>92</v>
      </c>
      <c r="C63" s="667">
        <v>4</v>
      </c>
      <c r="D63" s="49">
        <v>0</v>
      </c>
      <c r="E63" s="49">
        <v>0</v>
      </c>
      <c r="F63" s="49">
        <v>0</v>
      </c>
      <c r="G63" s="49">
        <v>0</v>
      </c>
      <c r="H63" s="49">
        <v>0</v>
      </c>
      <c r="I63" s="49">
        <v>1</v>
      </c>
      <c r="J63" s="233">
        <v>0</v>
      </c>
      <c r="K63" s="524">
        <v>70</v>
      </c>
      <c r="L63" s="233">
        <f t="shared" si="12"/>
        <v>70</v>
      </c>
      <c r="M63" s="42">
        <f t="shared" si="10"/>
        <v>0</v>
      </c>
      <c r="N63" s="42">
        <f t="shared" si="13"/>
        <v>477424.17605561879</v>
      </c>
      <c r="O63" s="42">
        <f t="shared" si="14"/>
        <v>107597.78880765439</v>
      </c>
      <c r="P63" s="42">
        <f t="shared" si="11"/>
        <v>585021.9648632732</v>
      </c>
      <c r="Q63" s="724">
        <f t="shared" si="15"/>
        <v>408333.33333333337</v>
      </c>
      <c r="R63" s="724">
        <f>(VLOOKUP(A63,'Funding Detail - Rebase'!$A$4:$AK$23,37,FALSE)*7/12)*L63</f>
        <v>438647.76612545847</v>
      </c>
      <c r="S63" s="42"/>
      <c r="T63" s="42"/>
      <c r="U63" s="42"/>
    </row>
    <row r="64" spans="1:22" x14ac:dyDescent="0.25">
      <c r="A64" s="131">
        <v>9257028</v>
      </c>
      <c r="B64" s="38" t="s">
        <v>77</v>
      </c>
      <c r="C64" s="335">
        <v>5</v>
      </c>
      <c r="D64" s="49">
        <v>0.22253521126760564</v>
      </c>
      <c r="E64" s="49">
        <v>0.3380281690140845</v>
      </c>
      <c r="F64" s="49">
        <v>0</v>
      </c>
      <c r="G64" s="49">
        <v>0</v>
      </c>
      <c r="H64" s="49">
        <v>0.2</v>
      </c>
      <c r="I64" s="49">
        <v>0.23943661971830987</v>
      </c>
      <c r="J64" s="523">
        <v>0</v>
      </c>
      <c r="K64" s="524">
        <v>61</v>
      </c>
      <c r="L64" s="233">
        <f t="shared" si="12"/>
        <v>61</v>
      </c>
      <c r="M64" s="42">
        <f t="shared" si="10"/>
        <v>0</v>
      </c>
      <c r="N64" s="42">
        <f t="shared" si="13"/>
        <v>438192.3534282007</v>
      </c>
      <c r="O64" s="42">
        <f t="shared" si="14"/>
        <v>22450.48430453473</v>
      </c>
      <c r="P64" s="42">
        <f t="shared" si="11"/>
        <v>460642.83773273544</v>
      </c>
      <c r="Q64" s="724">
        <f t="shared" si="15"/>
        <v>355833.33333333337</v>
      </c>
      <c r="R64" s="724">
        <f>(VLOOKUP(A64,'Funding Detail - Rebase'!$A$4:$AK$23,37,FALSE)*7/12)*L64</f>
        <v>362505.5731695951</v>
      </c>
      <c r="S64" s="42"/>
      <c r="T64" s="42"/>
      <c r="U64" s="42"/>
    </row>
    <row r="65" spans="1:22" x14ac:dyDescent="0.25">
      <c r="A65" s="131">
        <v>9257021</v>
      </c>
      <c r="B65" s="38" t="s">
        <v>78</v>
      </c>
      <c r="C65" s="667">
        <v>5</v>
      </c>
      <c r="D65" s="49">
        <v>0</v>
      </c>
      <c r="E65" s="49">
        <v>9.8591549295774641E-2</v>
      </c>
      <c r="F65" s="49">
        <v>0.71830985915492962</v>
      </c>
      <c r="G65" s="49">
        <v>2.9426156081330312E-2</v>
      </c>
      <c r="H65" s="49">
        <v>1.282736504543025E-2</v>
      </c>
      <c r="I65" s="49">
        <v>0.14084507042253522</v>
      </c>
      <c r="J65" s="233">
        <v>0</v>
      </c>
      <c r="K65" s="524">
        <v>155</v>
      </c>
      <c r="L65" s="233">
        <f t="shared" si="12"/>
        <v>155</v>
      </c>
      <c r="M65" s="42">
        <f t="shared" si="10"/>
        <v>0</v>
      </c>
      <c r="N65" s="42">
        <f t="shared" si="13"/>
        <v>676718.2777654262</v>
      </c>
      <c r="O65" s="42">
        <f t="shared" si="14"/>
        <v>33556.654457115561</v>
      </c>
      <c r="P65" s="42">
        <f t="shared" si="11"/>
        <v>710274.93222254177</v>
      </c>
      <c r="Q65" s="724">
        <f t="shared" si="15"/>
        <v>904166.66666666674</v>
      </c>
      <c r="R65" s="724">
        <f>(VLOOKUP(A65,'Funding Detail - Rebase'!$A$4:$AK$23,37,FALSE)*7/12)*L65</f>
        <v>134667.10810818043</v>
      </c>
      <c r="S65" s="42"/>
      <c r="T65" s="42"/>
      <c r="U65" s="42"/>
    </row>
    <row r="66" spans="1:22" x14ac:dyDescent="0.25">
      <c r="A66" s="131">
        <v>9257015</v>
      </c>
      <c r="B66" s="38" t="s">
        <v>55</v>
      </c>
      <c r="C66" s="335">
        <v>6</v>
      </c>
      <c r="D66" s="49">
        <v>4.1999582612843596E-2</v>
      </c>
      <c r="E66" s="49">
        <v>0.22177419354838709</v>
      </c>
      <c r="F66" s="49">
        <v>0.65322580645161288</v>
      </c>
      <c r="G66" s="49">
        <v>0</v>
      </c>
      <c r="H66" s="49">
        <v>1.8484288354898331E-2</v>
      </c>
      <c r="I66" s="49">
        <v>6.4516129032258063E-2</v>
      </c>
      <c r="J66" s="233">
        <v>0</v>
      </c>
      <c r="K66" s="524">
        <v>233</v>
      </c>
      <c r="L66" s="233">
        <f t="shared" si="12"/>
        <v>233</v>
      </c>
      <c r="M66" s="42">
        <f t="shared" si="10"/>
        <v>0</v>
      </c>
      <c r="N66" s="42">
        <f t="shared" si="13"/>
        <v>1000797.2665364664</v>
      </c>
      <c r="O66" s="42">
        <f t="shared" si="14"/>
        <v>23106.253264685231</v>
      </c>
      <c r="P66" s="42">
        <f t="shared" si="11"/>
        <v>1023903.5198011517</v>
      </c>
      <c r="Q66" s="724">
        <f t="shared" si="15"/>
        <v>1359166.6666666667</v>
      </c>
      <c r="R66" s="724">
        <f>(VLOOKUP(A66,'Funding Detail - Rebase'!$A$4:$AK$23,37,FALSE)*7/12)*L66</f>
        <v>0</v>
      </c>
      <c r="S66" s="42"/>
      <c r="T66" s="42"/>
      <c r="U66" s="42"/>
    </row>
    <row r="67" spans="1:22" x14ac:dyDescent="0.25">
      <c r="A67" s="131">
        <v>9257016</v>
      </c>
      <c r="B67" s="38" t="s">
        <v>80</v>
      </c>
      <c r="C67" s="335">
        <v>6</v>
      </c>
      <c r="D67" s="49">
        <v>0.45493133583021222</v>
      </c>
      <c r="E67" s="49">
        <v>0</v>
      </c>
      <c r="F67" s="49">
        <v>0.28888888888888886</v>
      </c>
      <c r="G67" s="49">
        <v>0</v>
      </c>
      <c r="H67" s="49">
        <v>0.25617977528089886</v>
      </c>
      <c r="I67" s="49">
        <v>0</v>
      </c>
      <c r="J67" s="233">
        <v>0</v>
      </c>
      <c r="K67" s="524">
        <v>89</v>
      </c>
      <c r="L67" s="233">
        <f t="shared" si="12"/>
        <v>89</v>
      </c>
      <c r="M67" s="42">
        <f t="shared" si="10"/>
        <v>0</v>
      </c>
      <c r="N67" s="42">
        <f t="shared" si="13"/>
        <v>664294.41090037173</v>
      </c>
      <c r="O67" s="42">
        <f t="shared" si="14"/>
        <v>0</v>
      </c>
      <c r="P67" s="42">
        <f t="shared" si="11"/>
        <v>664294.41090037173</v>
      </c>
      <c r="Q67" s="724">
        <f t="shared" si="15"/>
        <v>519166.66666666669</v>
      </c>
      <c r="R67" s="724">
        <f>(VLOOKUP(A67,'Funding Detail - Rebase'!$A$4:$AK$23,37,FALSE)*7/12)*L67</f>
        <v>368869.58694666822</v>
      </c>
      <c r="S67" s="628" t="s">
        <v>402</v>
      </c>
      <c r="T67" s="42"/>
      <c r="U67" s="42"/>
    </row>
    <row r="68" spans="1:22" x14ac:dyDescent="0.25">
      <c r="B68" s="50"/>
      <c r="C68" s="50"/>
      <c r="H68" s="628" t="s">
        <v>402</v>
      </c>
      <c r="I68" s="628" t="s">
        <v>402</v>
      </c>
      <c r="K68" s="628" t="s">
        <v>402</v>
      </c>
      <c r="O68" s="628" t="s">
        <v>402</v>
      </c>
    </row>
    <row r="69" spans="1:22" ht="13" x14ac:dyDescent="0.3">
      <c r="A69" s="230" t="s">
        <v>292</v>
      </c>
      <c r="B69" s="50"/>
      <c r="C69" s="50"/>
    </row>
    <row r="70" spans="1:22" x14ac:dyDescent="0.25">
      <c r="B70" s="50"/>
      <c r="C70" s="50"/>
      <c r="M70" s="1893" t="s">
        <v>332</v>
      </c>
      <c r="N70" s="1894"/>
    </row>
    <row r="71" spans="1:22" ht="37.5" x14ac:dyDescent="0.25">
      <c r="A71" s="183" t="s">
        <v>201</v>
      </c>
      <c r="B71" s="36" t="s">
        <v>66</v>
      </c>
      <c r="C71" s="738" t="s">
        <v>51</v>
      </c>
      <c r="D71" s="34" t="s">
        <v>256</v>
      </c>
      <c r="E71" s="34" t="s">
        <v>257</v>
      </c>
      <c r="F71" s="34" t="s">
        <v>258</v>
      </c>
      <c r="G71" s="34" t="s">
        <v>259</v>
      </c>
      <c r="H71" s="526" t="s">
        <v>683</v>
      </c>
      <c r="I71" s="34" t="s">
        <v>260</v>
      </c>
      <c r="J71" s="741" t="s">
        <v>185</v>
      </c>
      <c r="K71" s="741" t="s">
        <v>289</v>
      </c>
      <c r="L71" s="741" t="s">
        <v>392</v>
      </c>
      <c r="M71" s="741" t="s">
        <v>289</v>
      </c>
      <c r="N71" s="741" t="s">
        <v>330</v>
      </c>
      <c r="O71" s="694" t="s">
        <v>341</v>
      </c>
      <c r="P71" s="741"/>
      <c r="Q71" s="741"/>
      <c r="R71" s="741"/>
    </row>
    <row r="72" spans="1:22" x14ac:dyDescent="0.25">
      <c r="A72" s="185">
        <v>9257010</v>
      </c>
      <c r="B72" s="38" t="s">
        <v>67</v>
      </c>
      <c r="C72" s="337">
        <v>4</v>
      </c>
      <c r="D72" s="49">
        <v>0.36486912645853048</v>
      </c>
      <c r="E72" s="49">
        <v>0.2857142857142857</v>
      </c>
      <c r="F72" s="49">
        <v>0.11904761904761904</v>
      </c>
      <c r="G72" s="49">
        <v>0</v>
      </c>
      <c r="H72" s="49">
        <v>0.15894039735099336</v>
      </c>
      <c r="I72" s="49">
        <v>7.1428571428571425E-2</v>
      </c>
      <c r="J72" s="524">
        <v>5</v>
      </c>
      <c r="K72" s="42">
        <f>(((J72*D72)*$G$92)+((J72*E72)*$G$94)+((J72*F72)*$G$96)+((J72*G72)*$G$98)+((J72*H72)*$G$100)+((J72*I72)*$G$102))*(8/12)</f>
        <v>38213.199992400027</v>
      </c>
      <c r="L72" s="42">
        <f t="shared" ref="L72:L89" si="16">((I72*J72)*$G$104)*(8/12)</f>
        <v>627.39235456358233</v>
      </c>
      <c r="M72" s="42">
        <f>SUM(K72:L72)</f>
        <v>38840.592346963611</v>
      </c>
      <c r="N72" s="724">
        <f>(J72*(8/12))*10000</f>
        <v>33333.333333333328</v>
      </c>
      <c r="O72" s="724">
        <f>(VLOOKUP(A72,'Funding Detail - Rebase'!$A$4:$AK$23,37,FALSE)*8/12)*J72</f>
        <v>38773.172008263056</v>
      </c>
      <c r="P72" s="80"/>
      <c r="Q72" s="42"/>
      <c r="R72" s="168"/>
      <c r="S72" s="348"/>
      <c r="U72" s="626" t="s">
        <v>402</v>
      </c>
      <c r="V72" s="625" t="s">
        <v>594</v>
      </c>
    </row>
    <row r="73" spans="1:22" x14ac:dyDescent="0.25">
      <c r="A73" s="185">
        <v>9257005</v>
      </c>
      <c r="B73" s="38" t="s">
        <v>68</v>
      </c>
      <c r="C73" s="335">
        <v>4</v>
      </c>
      <c r="D73" s="49">
        <v>0.13157894736842105</v>
      </c>
      <c r="E73" s="49">
        <v>0.35526315789473684</v>
      </c>
      <c r="F73" s="49">
        <v>0.17105263157894737</v>
      </c>
      <c r="G73" s="49">
        <v>5.0986842105263164E-2</v>
      </c>
      <c r="H73" s="49">
        <v>9.3750000000000014E-2</v>
      </c>
      <c r="I73" s="49">
        <v>0.19736842105263158</v>
      </c>
      <c r="J73" s="524">
        <v>30</v>
      </c>
      <c r="K73" s="42">
        <f t="shared" ref="K73:K89" si="17">(((J73*D73)*$G$92)+((J73*E73)*$G$94)+((J73*F73)*$G$96)+((J73*G73)*$G$98)+((J73*H73)*$G$100)+((J73*I73)*$G$102))*(8/12)</f>
        <v>203946.90049976041</v>
      </c>
      <c r="L73" s="42">
        <f t="shared" si="16"/>
        <v>10401.504825659395</v>
      </c>
      <c r="M73" s="42">
        <f>SUM(K73:L73)</f>
        <v>214348.40532541979</v>
      </c>
      <c r="N73" s="724">
        <f t="shared" ref="N73:N89" si="18">(J73*(8/12))*10000</f>
        <v>200000</v>
      </c>
      <c r="O73" s="724">
        <f>(VLOOKUP(A73,'Funding Detail - Rebase'!$A$4:$AK$23,37,FALSE)*8/12)*J73</f>
        <v>149032.53555140231</v>
      </c>
      <c r="P73" s="80"/>
      <c r="Q73" s="42"/>
      <c r="R73" s="168"/>
      <c r="S73" s="348"/>
    </row>
    <row r="74" spans="1:22" x14ac:dyDescent="0.25">
      <c r="A74" s="185">
        <v>9257025</v>
      </c>
      <c r="B74" s="38" t="s">
        <v>69</v>
      </c>
      <c r="C74" s="667">
        <v>4</v>
      </c>
      <c r="D74" s="49">
        <v>0.2252640008007607</v>
      </c>
      <c r="E74" s="49">
        <v>0.41509433962264153</v>
      </c>
      <c r="F74" s="49">
        <v>5.6603773584905662E-2</v>
      </c>
      <c r="G74" s="49">
        <v>0</v>
      </c>
      <c r="H74" s="49">
        <v>9.5490716180371346E-2</v>
      </c>
      <c r="I74" s="49">
        <v>0.20754716981132076</v>
      </c>
      <c r="J74" s="524">
        <v>16</v>
      </c>
      <c r="K74" s="42">
        <f t="shared" si="17"/>
        <v>112845.96002862052</v>
      </c>
      <c r="L74" s="42">
        <f t="shared" si="16"/>
        <v>5833.5651382817632</v>
      </c>
      <c r="M74" s="42">
        <f t="shared" ref="M74:M89" si="19">SUM(K74:L74)</f>
        <v>118679.52516690228</v>
      </c>
      <c r="N74" s="724">
        <f t="shared" si="18"/>
        <v>106666.66666666666</v>
      </c>
      <c r="O74" s="724">
        <f>(VLOOKUP(A74,'Funding Detail - Rebase'!$A$4:$AK$23,37,FALSE)*8/12)*J74</f>
        <v>97594.739799980875</v>
      </c>
      <c r="P74" s="80"/>
      <c r="Q74" s="42"/>
      <c r="R74" s="168"/>
      <c r="S74" s="348"/>
    </row>
    <row r="75" spans="1:22" x14ac:dyDescent="0.25">
      <c r="A75" s="185">
        <v>9257011</v>
      </c>
      <c r="B75" s="38" t="s">
        <v>70</v>
      </c>
      <c r="C75" s="335">
        <v>4</v>
      </c>
      <c r="D75" s="49">
        <v>0.31076711386308908</v>
      </c>
      <c r="E75" s="49">
        <v>0.42222222222222222</v>
      </c>
      <c r="F75" s="49">
        <v>0</v>
      </c>
      <c r="G75" s="49">
        <v>0</v>
      </c>
      <c r="H75" s="49">
        <v>0.11145510835913314</v>
      </c>
      <c r="I75" s="49">
        <v>0.15555555555555556</v>
      </c>
      <c r="J75" s="524">
        <v>14</v>
      </c>
      <c r="K75" s="42">
        <f t="shared" si="17"/>
        <v>102886.91472008255</v>
      </c>
      <c r="L75" s="42">
        <f t="shared" si="16"/>
        <v>3825.6991576054897</v>
      </c>
      <c r="M75" s="42">
        <f t="shared" si="19"/>
        <v>106712.61387768804</v>
      </c>
      <c r="N75" s="724">
        <f t="shared" si="18"/>
        <v>93333.333333333328</v>
      </c>
      <c r="O75" s="724">
        <f>(VLOOKUP(A75,'Funding Detail - Rebase'!$A$4:$AK$23,37,FALSE)*8/12)*J75</f>
        <v>100389.56480182569</v>
      </c>
      <c r="P75" s="80"/>
      <c r="Q75" s="42"/>
      <c r="R75" s="168"/>
      <c r="S75" s="348"/>
    </row>
    <row r="76" spans="1:22" x14ac:dyDescent="0.25">
      <c r="A76" s="185">
        <v>9257024</v>
      </c>
      <c r="B76" s="38" t="s">
        <v>71</v>
      </c>
      <c r="C76" s="335">
        <v>3</v>
      </c>
      <c r="D76" s="49">
        <v>0.2</v>
      </c>
      <c r="E76" s="49">
        <v>0.5636363636363636</v>
      </c>
      <c r="F76" s="49">
        <v>1.8181818181818181E-2</v>
      </c>
      <c r="G76" s="49">
        <v>2.3558542624690485E-2</v>
      </c>
      <c r="H76" s="49">
        <v>0.14007782101167315</v>
      </c>
      <c r="I76" s="49">
        <v>5.4545454545454543E-2</v>
      </c>
      <c r="J76" s="524">
        <v>11</v>
      </c>
      <c r="K76" s="42">
        <f t="shared" si="17"/>
        <v>77804.249657087334</v>
      </c>
      <c r="L76" s="42">
        <f t="shared" si="16"/>
        <v>1054.0191556668185</v>
      </c>
      <c r="M76" s="42">
        <f t="shared" si="19"/>
        <v>78858.268812754148</v>
      </c>
      <c r="N76" s="724">
        <f t="shared" si="18"/>
        <v>73333.333333333328</v>
      </c>
      <c r="O76" s="724">
        <f>(VLOOKUP(A76,'Funding Detail - Rebase'!$A$4:$AK$23,37,FALSE)*8/12)*J76</f>
        <v>50482.922195941886</v>
      </c>
      <c r="P76" s="80"/>
      <c r="Q76" s="42"/>
      <c r="R76" s="168"/>
      <c r="S76" s="348"/>
    </row>
    <row r="77" spans="1:22" x14ac:dyDescent="0.25">
      <c r="A77" s="185">
        <v>9257031</v>
      </c>
      <c r="B77" s="38" t="s">
        <v>98</v>
      </c>
      <c r="C77" s="335">
        <v>4</v>
      </c>
      <c r="D77" s="49">
        <v>0</v>
      </c>
      <c r="E77" s="49">
        <v>0</v>
      </c>
      <c r="F77" s="49">
        <v>0</v>
      </c>
      <c r="G77" s="49">
        <v>0</v>
      </c>
      <c r="H77" s="49">
        <v>0</v>
      </c>
      <c r="I77" s="49">
        <v>1</v>
      </c>
      <c r="J77" s="524">
        <v>0</v>
      </c>
      <c r="K77" s="42">
        <f t="shared" si="17"/>
        <v>0</v>
      </c>
      <c r="L77" s="42">
        <f t="shared" si="16"/>
        <v>0</v>
      </c>
      <c r="M77" s="42">
        <f t="shared" si="19"/>
        <v>0</v>
      </c>
      <c r="N77" s="724">
        <f t="shared" si="18"/>
        <v>0</v>
      </c>
      <c r="O77" s="724">
        <f>(VLOOKUP(A77,'Funding Detail - Rebase'!$A$4:$AK$23,37,FALSE)*8/12)*J77</f>
        <v>0</v>
      </c>
      <c r="P77" s="80"/>
      <c r="Q77" s="42"/>
      <c r="R77" s="168"/>
      <c r="S77" s="348"/>
    </row>
    <row r="78" spans="1:22" x14ac:dyDescent="0.25">
      <c r="A78" s="185">
        <v>9257033</v>
      </c>
      <c r="B78" s="38" t="s">
        <v>72</v>
      </c>
      <c r="C78" s="335">
        <v>3</v>
      </c>
      <c r="D78" s="49">
        <v>3.6363636363636362E-2</v>
      </c>
      <c r="E78" s="49">
        <v>0.29090909090909089</v>
      </c>
      <c r="F78" s="49">
        <v>0.27272727272727271</v>
      </c>
      <c r="G78" s="49">
        <v>5.4545454545454543E-2</v>
      </c>
      <c r="H78" s="49">
        <v>0</v>
      </c>
      <c r="I78" s="49">
        <v>0.34545454545454546</v>
      </c>
      <c r="J78" s="524">
        <v>0</v>
      </c>
      <c r="K78" s="42">
        <f t="shared" si="17"/>
        <v>0</v>
      </c>
      <c r="L78" s="42">
        <f t="shared" si="16"/>
        <v>0</v>
      </c>
      <c r="M78" s="42">
        <f t="shared" si="19"/>
        <v>0</v>
      </c>
      <c r="N78" s="724">
        <f t="shared" si="18"/>
        <v>0</v>
      </c>
      <c r="O78" s="724">
        <f>(VLOOKUP(A78,'Funding Detail - Rebase'!$A$4:$AK$23,37,FALSE)*8/12)*J78</f>
        <v>0</v>
      </c>
      <c r="P78" s="80"/>
      <c r="Q78" s="42"/>
      <c r="R78" s="168"/>
      <c r="S78" s="348"/>
    </row>
    <row r="79" spans="1:22" x14ac:dyDescent="0.25">
      <c r="A79" s="185">
        <v>9257008</v>
      </c>
      <c r="B79" s="38" t="s">
        <v>73</v>
      </c>
      <c r="C79" s="667">
        <v>4</v>
      </c>
      <c r="D79" s="49">
        <v>0</v>
      </c>
      <c r="E79" s="49">
        <v>8.2352941176470587E-2</v>
      </c>
      <c r="F79" s="49">
        <v>0.61176470588235299</v>
      </c>
      <c r="G79" s="49">
        <v>2.3529411764705882E-2</v>
      </c>
      <c r="H79" s="49">
        <v>0</v>
      </c>
      <c r="I79" s="49">
        <v>0.28235294117647058</v>
      </c>
      <c r="J79" s="524">
        <v>0</v>
      </c>
      <c r="K79" s="42">
        <f t="shared" si="17"/>
        <v>0</v>
      </c>
      <c r="L79" s="42">
        <f t="shared" si="16"/>
        <v>0</v>
      </c>
      <c r="M79" s="42">
        <f t="shared" si="19"/>
        <v>0</v>
      </c>
      <c r="N79" s="724">
        <f t="shared" si="18"/>
        <v>0</v>
      </c>
      <c r="O79" s="724">
        <f>(VLOOKUP(A79,'Funding Detail - Rebase'!$A$4:$AK$23,37,FALSE)*8/12)*J79</f>
        <v>0</v>
      </c>
      <c r="P79" s="80"/>
      <c r="Q79" s="42"/>
      <c r="R79" s="168"/>
      <c r="S79" s="348"/>
    </row>
    <row r="80" spans="1:22" x14ac:dyDescent="0.25">
      <c r="A80" s="185">
        <v>9257034</v>
      </c>
      <c r="B80" s="38" t="s">
        <v>74</v>
      </c>
      <c r="C80" s="335">
        <v>5</v>
      </c>
      <c r="D80" s="49">
        <v>7.0866141732283464E-2</v>
      </c>
      <c r="E80" s="49">
        <v>0.16535433070866143</v>
      </c>
      <c r="F80" s="49">
        <v>0.51968503937007871</v>
      </c>
      <c r="G80" s="49">
        <v>1.4142328214579346E-2</v>
      </c>
      <c r="H80" s="49">
        <v>2.5227750525578133E-2</v>
      </c>
      <c r="I80" s="49">
        <v>0.20472440944881889</v>
      </c>
      <c r="J80" s="524">
        <v>35</v>
      </c>
      <c r="K80" s="42">
        <f t="shared" si="17"/>
        <v>196147.67425085325</v>
      </c>
      <c r="L80" s="42">
        <f t="shared" si="16"/>
        <v>12587.367869511874</v>
      </c>
      <c r="M80" s="42">
        <f t="shared" si="19"/>
        <v>208735.04212036513</v>
      </c>
      <c r="N80" s="724">
        <f t="shared" si="18"/>
        <v>233333.33333333331</v>
      </c>
      <c r="O80" s="724">
        <f>(VLOOKUP(A80,'Funding Detail - Rebase'!$A$4:$AK$23,37,FALSE)*8/12)*J80</f>
        <v>84100.464926095854</v>
      </c>
      <c r="P80" s="80"/>
      <c r="Q80" s="42"/>
      <c r="R80" s="168"/>
      <c r="S80" s="348"/>
    </row>
    <row r="81" spans="1:19" x14ac:dyDescent="0.25">
      <c r="A81" s="185">
        <v>9257002</v>
      </c>
      <c r="B81" s="38" t="s">
        <v>75</v>
      </c>
      <c r="C81" s="335">
        <v>5</v>
      </c>
      <c r="D81" s="49">
        <v>8.4033613445378148E-3</v>
      </c>
      <c r="E81" s="49">
        <v>0.27731092436974791</v>
      </c>
      <c r="F81" s="49">
        <v>0.59663865546218486</v>
      </c>
      <c r="G81" s="49">
        <v>1.7798101328239758E-2</v>
      </c>
      <c r="H81" s="49">
        <v>7.4119827053736867E-3</v>
      </c>
      <c r="I81" s="49">
        <v>9.2436974789915971E-2</v>
      </c>
      <c r="J81" s="524">
        <v>0</v>
      </c>
      <c r="K81" s="42">
        <f t="shared" si="17"/>
        <v>0</v>
      </c>
      <c r="L81" s="42">
        <f t="shared" si="16"/>
        <v>0</v>
      </c>
      <c r="M81" s="42">
        <f t="shared" si="19"/>
        <v>0</v>
      </c>
      <c r="N81" s="724">
        <f t="shared" si="18"/>
        <v>0</v>
      </c>
      <c r="O81" s="724">
        <f>(VLOOKUP(A81,'Funding Detail - Rebase'!$A$4:$AK$23,37,FALSE)*8/12)*J81</f>
        <v>0</v>
      </c>
      <c r="P81" s="80"/>
      <c r="Q81" s="42"/>
      <c r="R81" s="168"/>
      <c r="S81" s="348"/>
    </row>
    <row r="82" spans="1:19" x14ac:dyDescent="0.25">
      <c r="A82" s="185">
        <v>9257009</v>
      </c>
      <c r="B82" s="38" t="s">
        <v>76</v>
      </c>
      <c r="C82" s="335">
        <v>4</v>
      </c>
      <c r="D82" s="49">
        <v>0</v>
      </c>
      <c r="E82" s="49">
        <v>0.14615384615384616</v>
      </c>
      <c r="F82" s="49">
        <v>0.7</v>
      </c>
      <c r="G82" s="49">
        <v>1.5384615384615385E-2</v>
      </c>
      <c r="H82" s="49">
        <v>0</v>
      </c>
      <c r="I82" s="49">
        <v>0.13846153846153847</v>
      </c>
      <c r="J82" s="524">
        <v>0</v>
      </c>
      <c r="K82" s="42">
        <f t="shared" si="17"/>
        <v>0</v>
      </c>
      <c r="L82" s="42">
        <f t="shared" si="16"/>
        <v>0</v>
      </c>
      <c r="M82" s="42">
        <f t="shared" si="19"/>
        <v>0</v>
      </c>
      <c r="N82" s="724">
        <f t="shared" si="18"/>
        <v>0</v>
      </c>
      <c r="O82" s="724">
        <f>(VLOOKUP(A82,'Funding Detail - Rebase'!$A$4:$AK$23,37,FALSE)*8/12)*J82</f>
        <v>0</v>
      </c>
      <c r="P82" s="80"/>
      <c r="Q82" s="42"/>
      <c r="R82" s="168"/>
      <c r="S82" s="348"/>
    </row>
    <row r="83" spans="1:19" x14ac:dyDescent="0.25">
      <c r="A83" s="185">
        <v>9257029</v>
      </c>
      <c r="B83" s="38" t="s">
        <v>99</v>
      </c>
      <c r="C83" s="667">
        <v>3</v>
      </c>
      <c r="D83" s="49">
        <v>0</v>
      </c>
      <c r="E83" s="49">
        <v>0</v>
      </c>
      <c r="F83" s="49">
        <v>0</v>
      </c>
      <c r="G83" s="49">
        <v>0</v>
      </c>
      <c r="H83" s="49">
        <v>0</v>
      </c>
      <c r="I83" s="49">
        <v>1</v>
      </c>
      <c r="J83" s="524">
        <v>0</v>
      </c>
      <c r="K83" s="42">
        <f t="shared" si="17"/>
        <v>0</v>
      </c>
      <c r="L83" s="42">
        <f t="shared" si="16"/>
        <v>0</v>
      </c>
      <c r="M83" s="42">
        <f t="shared" si="19"/>
        <v>0</v>
      </c>
      <c r="N83" s="724">
        <f t="shared" si="18"/>
        <v>0</v>
      </c>
      <c r="O83" s="724">
        <f>(VLOOKUP(A83,'Funding Detail - Rebase'!$A$4:$AK$23,37,FALSE)*8/12)*J83</f>
        <v>0</v>
      </c>
      <c r="P83" s="80"/>
      <c r="Q83" s="42"/>
      <c r="R83" s="168"/>
      <c r="S83" s="348"/>
    </row>
    <row r="84" spans="1:19" x14ac:dyDescent="0.25">
      <c r="A84" s="185">
        <v>9257032</v>
      </c>
      <c r="B84" s="38" t="s">
        <v>100</v>
      </c>
      <c r="C84" s="335">
        <v>4</v>
      </c>
      <c r="D84" s="49">
        <v>0</v>
      </c>
      <c r="E84" s="49">
        <v>0</v>
      </c>
      <c r="F84" s="49">
        <v>0</v>
      </c>
      <c r="G84" s="49">
        <v>0</v>
      </c>
      <c r="H84" s="49">
        <v>0</v>
      </c>
      <c r="I84" s="49">
        <v>1</v>
      </c>
      <c r="J84" s="524">
        <v>0</v>
      </c>
      <c r="K84" s="42">
        <f t="shared" si="17"/>
        <v>0</v>
      </c>
      <c r="L84" s="42">
        <f t="shared" si="16"/>
        <v>0</v>
      </c>
      <c r="M84" s="42">
        <f t="shared" si="19"/>
        <v>0</v>
      </c>
      <c r="N84" s="724">
        <f t="shared" si="18"/>
        <v>0</v>
      </c>
      <c r="O84" s="724">
        <f>(VLOOKUP(A84,'Funding Detail - Rebase'!$A$4:$AK$23,37,FALSE)*8/12)*J84</f>
        <v>0</v>
      </c>
      <c r="P84" s="80"/>
      <c r="Q84" s="42"/>
      <c r="R84" s="168"/>
      <c r="S84" s="348"/>
    </row>
    <row r="85" spans="1:19" x14ac:dyDescent="0.25">
      <c r="A85" s="185">
        <v>9257030</v>
      </c>
      <c r="B85" s="38" t="s">
        <v>92</v>
      </c>
      <c r="C85" s="667">
        <v>4</v>
      </c>
      <c r="D85" s="49">
        <v>0</v>
      </c>
      <c r="E85" s="49">
        <v>0</v>
      </c>
      <c r="F85" s="49">
        <v>0</v>
      </c>
      <c r="G85" s="49">
        <v>0</v>
      </c>
      <c r="H85" s="49">
        <v>0</v>
      </c>
      <c r="I85" s="49">
        <v>1</v>
      </c>
      <c r="J85" s="524">
        <v>0</v>
      </c>
      <c r="K85" s="42">
        <f t="shared" si="17"/>
        <v>0</v>
      </c>
      <c r="L85" s="42">
        <f t="shared" si="16"/>
        <v>0</v>
      </c>
      <c r="M85" s="42">
        <f t="shared" si="19"/>
        <v>0</v>
      </c>
      <c r="N85" s="724">
        <f t="shared" si="18"/>
        <v>0</v>
      </c>
      <c r="O85" s="724">
        <f>(VLOOKUP(A85,'Funding Detail - Rebase'!$A$4:$AK$23,37,FALSE)*8/12)*J85</f>
        <v>0</v>
      </c>
      <c r="P85" s="80"/>
      <c r="Q85" s="42"/>
      <c r="R85" s="168"/>
      <c r="S85" s="348"/>
    </row>
    <row r="86" spans="1:19" x14ac:dyDescent="0.25">
      <c r="A86" s="185">
        <v>9257028</v>
      </c>
      <c r="B86" s="38" t="s">
        <v>77</v>
      </c>
      <c r="C86" s="335">
        <v>5</v>
      </c>
      <c r="D86" s="49">
        <v>0.22253521126760564</v>
      </c>
      <c r="E86" s="49">
        <v>0.3380281690140845</v>
      </c>
      <c r="F86" s="49">
        <v>0</v>
      </c>
      <c r="G86" s="49">
        <v>0</v>
      </c>
      <c r="H86" s="49">
        <v>0.2</v>
      </c>
      <c r="I86" s="49">
        <v>0.23943661971830987</v>
      </c>
      <c r="J86" s="524">
        <v>18</v>
      </c>
      <c r="K86" s="42">
        <f t="shared" si="17"/>
        <v>147774.47047695759</v>
      </c>
      <c r="L86" s="42">
        <f t="shared" si="16"/>
        <v>7571.1235125363028</v>
      </c>
      <c r="M86" s="42">
        <f t="shared" si="19"/>
        <v>155345.59398949391</v>
      </c>
      <c r="N86" s="724">
        <f t="shared" si="18"/>
        <v>120000</v>
      </c>
      <c r="O86" s="724">
        <f>(VLOOKUP(A86,'Funding Detail - Rebase'!$A$4:$AK$23,37,FALSE)*8/12)*J86</f>
        <v>122250.12303611639</v>
      </c>
      <c r="P86" s="80"/>
      <c r="Q86" s="42"/>
      <c r="R86" s="168"/>
      <c r="S86" s="348"/>
    </row>
    <row r="87" spans="1:19" x14ac:dyDescent="0.25">
      <c r="A87" s="185">
        <v>9257021</v>
      </c>
      <c r="B87" s="38" t="s">
        <v>78</v>
      </c>
      <c r="C87" s="667">
        <v>5</v>
      </c>
      <c r="D87" s="49">
        <v>0</v>
      </c>
      <c r="E87" s="49">
        <v>9.8591549295774641E-2</v>
      </c>
      <c r="F87" s="49">
        <v>0.71830985915492962</v>
      </c>
      <c r="G87" s="49">
        <v>2.9426156081330312E-2</v>
      </c>
      <c r="H87" s="49">
        <v>1.282736504543025E-2</v>
      </c>
      <c r="I87" s="49">
        <v>0.14084507042253522</v>
      </c>
      <c r="J87" s="524">
        <v>2</v>
      </c>
      <c r="K87" s="42">
        <f t="shared" si="17"/>
        <v>9979.2557089832408</v>
      </c>
      <c r="L87" s="42">
        <f t="shared" si="16"/>
        <v>494.8446740219805</v>
      </c>
      <c r="M87" s="42">
        <f t="shared" si="19"/>
        <v>10474.100383005221</v>
      </c>
      <c r="N87" s="724">
        <f t="shared" si="18"/>
        <v>13333.333333333332</v>
      </c>
      <c r="O87" s="724">
        <f>(VLOOKUP(A87,'Funding Detail - Rebase'!$A$4:$AK$23,37,FALSE)*8/12)*J87</f>
        <v>1985.8744052819236</v>
      </c>
      <c r="P87" s="80"/>
      <c r="Q87" s="42"/>
      <c r="R87" s="168"/>
      <c r="S87" s="348"/>
    </row>
    <row r="88" spans="1:19" x14ac:dyDescent="0.25">
      <c r="A88" s="185">
        <v>9257015</v>
      </c>
      <c r="B88" s="38" t="s">
        <v>55</v>
      </c>
      <c r="C88" s="335">
        <v>6</v>
      </c>
      <c r="D88" s="49">
        <v>4.1999582612843596E-2</v>
      </c>
      <c r="E88" s="49">
        <v>0.22177419354838709</v>
      </c>
      <c r="F88" s="49">
        <v>0.65322580645161288</v>
      </c>
      <c r="G88" s="49">
        <v>0</v>
      </c>
      <c r="H88" s="49">
        <v>1.8484288354898331E-2</v>
      </c>
      <c r="I88" s="49">
        <v>6.4516129032258063E-2</v>
      </c>
      <c r="J88" s="524">
        <v>28</v>
      </c>
      <c r="K88" s="42">
        <f t="shared" si="17"/>
        <v>137448.55162732583</v>
      </c>
      <c r="L88" s="42">
        <f t="shared" si="16"/>
        <v>3173.391006308701</v>
      </c>
      <c r="M88" s="42">
        <f t="shared" si="19"/>
        <v>140621.94263363452</v>
      </c>
      <c r="N88" s="724">
        <f t="shared" si="18"/>
        <v>186666.66666666666</v>
      </c>
      <c r="O88" s="724">
        <f>(VLOOKUP(A88,'Funding Detail - Rebase'!$A$4:$AK$23,37,FALSE)*8/12)*J88</f>
        <v>0</v>
      </c>
      <c r="P88" s="80"/>
      <c r="Q88" s="42"/>
      <c r="R88" s="168"/>
      <c r="S88" s="348"/>
    </row>
    <row r="89" spans="1:19" x14ac:dyDescent="0.25">
      <c r="A89" s="185">
        <v>9257016</v>
      </c>
      <c r="B89" s="38" t="s">
        <v>80</v>
      </c>
      <c r="C89" s="335">
        <v>6</v>
      </c>
      <c r="D89" s="49">
        <v>0.45493133583021222</v>
      </c>
      <c r="E89" s="49">
        <v>0</v>
      </c>
      <c r="F89" s="49">
        <v>0.28888888888888886</v>
      </c>
      <c r="G89" s="49">
        <v>0</v>
      </c>
      <c r="H89" s="49">
        <v>0.25617977528089886</v>
      </c>
      <c r="I89" s="49">
        <v>0</v>
      </c>
      <c r="J89" s="524">
        <v>57</v>
      </c>
      <c r="K89" s="42">
        <f t="shared" si="17"/>
        <v>486225.12258518377</v>
      </c>
      <c r="L89" s="42">
        <f t="shared" si="16"/>
        <v>0</v>
      </c>
      <c r="M89" s="42">
        <f t="shared" si="19"/>
        <v>486225.12258518377</v>
      </c>
      <c r="N89" s="724">
        <f t="shared" si="18"/>
        <v>380000</v>
      </c>
      <c r="O89" s="724">
        <f>(VLOOKUP(A89,'Funding Detail - Rebase'!$A$4:$AK$23,37,FALSE)*8/12)*J89</f>
        <v>269991.22254844417</v>
      </c>
      <c r="P89" s="628" t="s">
        <v>402</v>
      </c>
      <c r="Q89" s="42"/>
      <c r="R89" s="168"/>
      <c r="S89" s="348"/>
    </row>
    <row r="90" spans="1:19" x14ac:dyDescent="0.25">
      <c r="B90" s="50"/>
      <c r="C90" s="50"/>
      <c r="H90" s="628" t="s">
        <v>402</v>
      </c>
      <c r="I90" s="628" t="s">
        <v>402</v>
      </c>
      <c r="L90" s="628" t="s">
        <v>402</v>
      </c>
    </row>
    <row r="92" spans="1:19" x14ac:dyDescent="0.25">
      <c r="C92" s="51"/>
      <c r="D92" s="52"/>
      <c r="E92" s="34" t="s">
        <v>2</v>
      </c>
      <c r="G92" s="42">
        <f>'Funding Model'!D7</f>
        <v>11692.020638096787</v>
      </c>
      <c r="H92" s="53"/>
      <c r="I92" s="53"/>
      <c r="J92" s="53"/>
      <c r="K92" s="53"/>
      <c r="L92" s="53"/>
      <c r="M92" s="53"/>
      <c r="N92" s="53"/>
      <c r="O92" s="53"/>
      <c r="P92" s="53"/>
      <c r="Q92" s="53"/>
    </row>
    <row r="93" spans="1:19" x14ac:dyDescent="0.25">
      <c r="C93" s="54"/>
      <c r="D93" s="52"/>
      <c r="G93" s="42"/>
      <c r="H93" s="53"/>
      <c r="I93" s="53"/>
      <c r="J93" s="53"/>
      <c r="K93" s="53"/>
      <c r="L93" s="53"/>
      <c r="M93" s="53"/>
      <c r="N93" s="53"/>
      <c r="O93" s="53"/>
      <c r="P93" s="53"/>
      <c r="Q93" s="53"/>
    </row>
    <row r="94" spans="1:19" x14ac:dyDescent="0.25">
      <c r="C94" s="51"/>
      <c r="D94" s="52"/>
      <c r="E94" s="34" t="s">
        <v>3</v>
      </c>
      <c r="G94" s="42">
        <f>'Funding Model'!D9</f>
        <v>7350.1419469065795</v>
      </c>
      <c r="H94" s="53"/>
      <c r="I94" s="53"/>
      <c r="J94" s="53"/>
      <c r="K94" s="53"/>
      <c r="L94" s="53"/>
      <c r="M94" s="53"/>
      <c r="N94" s="53"/>
      <c r="O94" s="53"/>
      <c r="P94" s="53"/>
      <c r="Q94" s="53"/>
    </row>
    <row r="95" spans="1:19" x14ac:dyDescent="0.25">
      <c r="C95" s="54"/>
      <c r="D95" s="52"/>
      <c r="G95" s="42"/>
      <c r="H95" s="53"/>
      <c r="I95" s="53"/>
      <c r="J95" s="53"/>
      <c r="K95" s="53"/>
      <c r="L95" s="53"/>
      <c r="M95" s="53"/>
      <c r="N95" s="53"/>
      <c r="O95" s="53"/>
      <c r="P95" s="53"/>
      <c r="Q95" s="53"/>
    </row>
    <row r="96" spans="1:19" x14ac:dyDescent="0.25">
      <c r="C96" s="51"/>
      <c r="D96" s="52"/>
      <c r="E96" s="34" t="s">
        <v>5</v>
      </c>
      <c r="G96" s="42">
        <f>'Funding Model'!D11</f>
        <v>6243.7244928897762</v>
      </c>
      <c r="H96" s="53"/>
      <c r="I96" s="53"/>
      <c r="J96" s="53"/>
      <c r="K96" s="53"/>
      <c r="L96" s="53"/>
      <c r="M96" s="53"/>
      <c r="N96" s="53"/>
      <c r="O96" s="53"/>
      <c r="P96" s="53"/>
      <c r="Q96" s="53"/>
    </row>
    <row r="97" spans="1:43" x14ac:dyDescent="0.25">
      <c r="C97" s="54"/>
      <c r="D97" s="52"/>
      <c r="G97" s="42"/>
      <c r="H97" s="53"/>
      <c r="I97" s="53"/>
      <c r="J97" s="53"/>
      <c r="K97" s="53"/>
      <c r="L97" s="53"/>
      <c r="M97" s="53"/>
      <c r="N97" s="53"/>
      <c r="O97" s="53"/>
      <c r="P97" s="53"/>
      <c r="Q97" s="53"/>
    </row>
    <row r="98" spans="1:43" x14ac:dyDescent="0.25">
      <c r="C98" s="51"/>
      <c r="D98" s="52"/>
      <c r="E98" s="34" t="s">
        <v>7</v>
      </c>
      <c r="G98" s="42">
        <f>'Funding Model'!D13</f>
        <v>11692.020638096787</v>
      </c>
      <c r="H98" s="53"/>
      <c r="I98" s="53"/>
      <c r="J98" s="53"/>
      <c r="K98" s="53"/>
      <c r="L98" s="53"/>
      <c r="M98" s="53"/>
      <c r="N98" s="53"/>
      <c r="O98" s="53"/>
      <c r="P98" s="53"/>
      <c r="Q98" s="53"/>
    </row>
    <row r="99" spans="1:43" x14ac:dyDescent="0.25">
      <c r="C99" s="54"/>
      <c r="D99" s="52"/>
      <c r="G99" s="42"/>
      <c r="H99" s="53"/>
      <c r="I99" s="53"/>
      <c r="J99" s="53"/>
      <c r="K99" s="53"/>
      <c r="L99" s="53"/>
      <c r="M99" s="53"/>
      <c r="N99" s="53"/>
      <c r="O99" s="53"/>
      <c r="P99" s="53"/>
      <c r="Q99" s="53"/>
    </row>
    <row r="100" spans="1:43" x14ac:dyDescent="0.25">
      <c r="C100" s="54"/>
      <c r="D100" s="52"/>
      <c r="E100" s="526" t="s">
        <v>631</v>
      </c>
      <c r="G100" s="42">
        <v>22143</v>
      </c>
      <c r="H100" s="53"/>
      <c r="I100" s="53"/>
      <c r="J100" s="53"/>
      <c r="K100" s="53"/>
      <c r="L100" s="53"/>
      <c r="M100" s="53"/>
      <c r="N100" s="53"/>
      <c r="O100" s="53"/>
      <c r="P100" s="53"/>
      <c r="Q100" s="53"/>
    </row>
    <row r="101" spans="1:43" x14ac:dyDescent="0.25">
      <c r="C101" s="54"/>
      <c r="D101" s="52"/>
      <c r="G101" s="42"/>
      <c r="H101" s="53"/>
      <c r="I101" s="53"/>
      <c r="J101" s="53"/>
      <c r="K101" s="53"/>
      <c r="L101" s="53"/>
      <c r="M101" s="53"/>
      <c r="N101" s="53"/>
      <c r="O101" s="53"/>
      <c r="P101" s="53"/>
      <c r="Q101" s="53"/>
    </row>
    <row r="102" spans="1:43" x14ac:dyDescent="0.25">
      <c r="C102" s="51"/>
      <c r="D102" s="52"/>
      <c r="E102" s="34" t="s">
        <v>8</v>
      </c>
      <c r="G102" s="42">
        <f>'Funding Model'!D15</f>
        <v>11692.020638096787</v>
      </c>
      <c r="H102" s="53"/>
      <c r="I102" s="53"/>
      <c r="J102" s="53"/>
      <c r="K102" s="53"/>
      <c r="L102" s="53"/>
      <c r="M102" s="53"/>
      <c r="N102" s="53"/>
      <c r="O102" s="53"/>
      <c r="P102" s="53"/>
      <c r="Q102" s="53"/>
    </row>
    <row r="103" spans="1:43" ht="14" x14ac:dyDescent="0.3">
      <c r="B103" s="55"/>
      <c r="C103" s="56"/>
      <c r="D103" s="57"/>
      <c r="E103" s="58"/>
      <c r="H103" s="66"/>
      <c r="I103" s="53"/>
      <c r="J103" s="53"/>
      <c r="K103" s="66"/>
      <c r="L103" s="66"/>
      <c r="M103" s="66"/>
      <c r="N103" s="66"/>
      <c r="O103" s="66"/>
      <c r="P103" s="66"/>
      <c r="Q103" s="66"/>
    </row>
    <row r="104" spans="1:43" ht="14" x14ac:dyDescent="0.3">
      <c r="B104" s="59"/>
      <c r="C104" s="60"/>
      <c r="E104" s="34" t="s">
        <v>108</v>
      </c>
      <c r="G104" s="42">
        <f>'Funding Model'!D17</f>
        <v>2635.0478891670464</v>
      </c>
      <c r="H104" s="53"/>
      <c r="I104" s="53"/>
      <c r="J104" s="53"/>
      <c r="K104" s="53"/>
      <c r="L104" s="53"/>
      <c r="M104" s="53"/>
      <c r="N104" s="53"/>
      <c r="O104" s="53"/>
      <c r="P104" s="53"/>
      <c r="Q104" s="53"/>
    </row>
    <row r="107" spans="1:43" ht="12.75" customHeight="1" x14ac:dyDescent="0.25">
      <c r="AP107" s="2011" t="s">
        <v>685</v>
      </c>
      <c r="AQ107" s="2011"/>
    </row>
    <row r="108" spans="1:43" ht="13" x14ac:dyDescent="0.3">
      <c r="D108" s="1896" t="s">
        <v>397</v>
      </c>
      <c r="E108" s="1897"/>
      <c r="F108" s="1898"/>
      <c r="G108" s="1896" t="s">
        <v>397</v>
      </c>
      <c r="H108" s="1897"/>
      <c r="I108" s="1898"/>
      <c r="J108" s="1896" t="s">
        <v>185</v>
      </c>
      <c r="K108" s="1897"/>
      <c r="L108" s="1898"/>
      <c r="M108" s="390" t="s">
        <v>399</v>
      </c>
      <c r="N108" s="1896" t="s">
        <v>397</v>
      </c>
      <c r="O108" s="1897"/>
      <c r="P108" s="1898"/>
      <c r="Q108" s="1896" t="s">
        <v>185</v>
      </c>
      <c r="R108" s="1897"/>
      <c r="S108" s="1898"/>
      <c r="T108" s="390" t="s">
        <v>399</v>
      </c>
      <c r="U108" s="391" t="s">
        <v>399</v>
      </c>
      <c r="V108" s="392"/>
      <c r="W108" s="393"/>
      <c r="AL108" s="1891" t="s">
        <v>467</v>
      </c>
      <c r="AP108" s="1946" t="s">
        <v>684</v>
      </c>
    </row>
    <row r="109" spans="1:43" ht="41.25" customHeight="1" x14ac:dyDescent="0.3">
      <c r="A109" s="388" t="s">
        <v>201</v>
      </c>
      <c r="B109" s="389" t="s">
        <v>66</v>
      </c>
      <c r="C109" s="738" t="s">
        <v>51</v>
      </c>
      <c r="D109" s="742" t="str">
        <f t="shared" ref="D109:D127" si="20">M5</f>
        <v>Assessment Funding (Apr-Aug)</v>
      </c>
      <c r="E109" s="743" t="str">
        <f t="shared" ref="E109:E127" si="21">M49</f>
        <v>Assessment Funding (Sept-Mar)</v>
      </c>
      <c r="F109" s="739" t="s">
        <v>393</v>
      </c>
      <c r="G109" s="743" t="str">
        <f t="shared" ref="G109:G127" si="22">N5</f>
        <v>Pre-16 Funding (Apr-Aug)</v>
      </c>
      <c r="H109" s="742" t="str">
        <f t="shared" ref="H109:H127" si="23">N49</f>
        <v>Pre-16 Funding (Sept-Mar)</v>
      </c>
      <c r="I109" s="739" t="s">
        <v>394</v>
      </c>
      <c r="J109" s="742" t="str">
        <f t="shared" ref="J109:J127" si="24">K27</f>
        <v>Post-16 Funding (Apr-Jul)</v>
      </c>
      <c r="K109" s="743" t="str">
        <f t="shared" ref="K109:K127" si="25">K71</f>
        <v>Post-16 Funding (Aug-Mar)</v>
      </c>
      <c r="L109" s="739" t="s">
        <v>395</v>
      </c>
      <c r="M109" s="739" t="s">
        <v>295</v>
      </c>
      <c r="N109" s="743" t="str">
        <f t="shared" ref="N109:N127" si="26">O5</f>
        <v>Additionality Funding (Apr-Aug)</v>
      </c>
      <c r="O109" s="743" t="str">
        <f t="shared" ref="O109:O127" si="27">O49</f>
        <v>Additionality Funding (Sept-Mar)</v>
      </c>
      <c r="P109" s="739" t="s">
        <v>396</v>
      </c>
      <c r="Q109" s="743" t="str">
        <f t="shared" ref="Q109:Q127" si="28">L27</f>
        <v>Additionality Funding (Apr-Jul)</v>
      </c>
      <c r="R109" s="742" t="str">
        <f t="shared" ref="R109:R127" si="29">L71</f>
        <v>Additionality Funding (Aug-Mar)</v>
      </c>
      <c r="S109" s="739" t="s">
        <v>396</v>
      </c>
      <c r="T109" s="739" t="s">
        <v>401</v>
      </c>
      <c r="U109" s="739" t="s">
        <v>103</v>
      </c>
      <c r="V109" s="743" t="s">
        <v>398</v>
      </c>
      <c r="W109" s="394" t="s">
        <v>261</v>
      </c>
      <c r="X109" s="36"/>
      <c r="Y109" s="743" t="s">
        <v>328</v>
      </c>
      <c r="Z109" s="743" t="s">
        <v>330</v>
      </c>
      <c r="AA109" s="739" t="s">
        <v>331</v>
      </c>
      <c r="AB109" s="690" t="s">
        <v>103</v>
      </c>
      <c r="AC109" s="743" t="s">
        <v>310</v>
      </c>
      <c r="AD109" s="743" t="s">
        <v>335</v>
      </c>
      <c r="AE109" s="743" t="s">
        <v>343</v>
      </c>
      <c r="AF109" s="739" t="s">
        <v>465</v>
      </c>
      <c r="AG109" s="743" t="s">
        <v>342</v>
      </c>
      <c r="AH109" s="743" t="s">
        <v>344</v>
      </c>
      <c r="AI109" s="739" t="s">
        <v>466</v>
      </c>
      <c r="AJ109" s="739" t="s">
        <v>345</v>
      </c>
      <c r="AK109" s="389"/>
      <c r="AL109" s="1892"/>
      <c r="AP109" s="1946"/>
      <c r="AQ109" s="526" t="s">
        <v>104</v>
      </c>
    </row>
    <row r="110" spans="1:43" ht="13" x14ac:dyDescent="0.3">
      <c r="A110" s="185">
        <v>9257010</v>
      </c>
      <c r="B110" s="38" t="s">
        <v>67</v>
      </c>
      <c r="C110" s="337">
        <v>4</v>
      </c>
      <c r="D110" s="744">
        <f t="shared" si="20"/>
        <v>0</v>
      </c>
      <c r="E110" s="744">
        <f t="shared" si="21"/>
        <v>0</v>
      </c>
      <c r="F110" s="156">
        <f>SUM(D110:E110)</f>
        <v>0</v>
      </c>
      <c r="G110" s="744">
        <f>N6</f>
        <v>186289.34996295019</v>
      </c>
      <c r="H110" s="744">
        <f>N50</f>
        <v>314303.56993749033</v>
      </c>
      <c r="I110" s="156">
        <f t="shared" ref="I110:I127" si="30">SUM(G110:H110)</f>
        <v>500592.91990044049</v>
      </c>
      <c r="J110" s="744">
        <f>K28</f>
        <v>38213.199992400027</v>
      </c>
      <c r="K110" s="744">
        <f>K72</f>
        <v>38213.199992400027</v>
      </c>
      <c r="L110" s="156">
        <f>SUM(J110:K110)</f>
        <v>76426.399984800053</v>
      </c>
      <c r="M110" s="156">
        <f>I110+L110</f>
        <v>577019.31988524052</v>
      </c>
      <c r="N110" s="744">
        <f>O6</f>
        <v>3058.5377284974647</v>
      </c>
      <c r="O110" s="744">
        <f>O50</f>
        <v>5160.3021162854657</v>
      </c>
      <c r="P110" s="156">
        <f>SUM(N110:O110)</f>
        <v>8218.8398447829313</v>
      </c>
      <c r="Q110" s="744">
        <f>L28</f>
        <v>627.39235456358233</v>
      </c>
      <c r="R110" s="744">
        <f>L72</f>
        <v>627.39235456358233</v>
      </c>
      <c r="S110" s="156">
        <f>SUM(Q110:R110)</f>
        <v>1254.7847091271647</v>
      </c>
      <c r="T110" s="156">
        <f>P110+S110</f>
        <v>9473.6245539100964</v>
      </c>
      <c r="U110" s="156">
        <f>F110+I110+L110+P110+S110</f>
        <v>586492.94443915063</v>
      </c>
      <c r="V110" s="334">
        <f>(L6*(5/12))+(L50*(7/12))+(J28*(4/12))+(J72*(8/12))</f>
        <v>50.333333333333343</v>
      </c>
      <c r="W110" s="750">
        <f>U110/V110</f>
        <v>11652.177704089083</v>
      </c>
      <c r="X110" s="36"/>
      <c r="Y110" s="94">
        <f>Q6+Q50</f>
        <v>436666.66666666669</v>
      </c>
      <c r="Z110" s="744">
        <f t="shared" ref="Z110:Z127" si="31">N28+N72</f>
        <v>66666.666666666657</v>
      </c>
      <c r="AA110" s="744">
        <f>Y110+Z110</f>
        <v>503333.33333333337</v>
      </c>
      <c r="AB110" s="744">
        <f>VLOOKUP(A110,'Funding Detail - Rebase'!$A$4:$AK$23,32,FALSE)</f>
        <v>1088808.2306581058</v>
      </c>
      <c r="AC110" s="744">
        <f>AB110-AA110</f>
        <v>585474.89732477244</v>
      </c>
      <c r="AD110" s="744">
        <f t="shared" ref="AD110:AD127" si="32">R6</f>
        <v>189019.21354028239</v>
      </c>
      <c r="AE110" s="744">
        <f t="shared" ref="AE110:AE127" si="33">R50</f>
        <v>318909.33976796368</v>
      </c>
      <c r="AF110" s="744">
        <f>AD110+AE110</f>
        <v>507928.55330824608</v>
      </c>
      <c r="AG110" s="744">
        <f t="shared" ref="AG110:AG127" si="34">O28</f>
        <v>38773.172008263056</v>
      </c>
      <c r="AH110" s="744">
        <f t="shared" ref="AH110:AH127" si="35">O72</f>
        <v>38773.172008263056</v>
      </c>
      <c r="AI110" s="744">
        <f>AG110+AH110</f>
        <v>77546.344016526113</v>
      </c>
      <c r="AJ110" s="744">
        <f>AF110+AI110</f>
        <v>585474.8973247722</v>
      </c>
      <c r="AK110" s="134"/>
      <c r="AL110" s="726">
        <f>AA110+AF110+AI110</f>
        <v>1088808.2306581056</v>
      </c>
      <c r="AM110" s="125" t="s">
        <v>402</v>
      </c>
      <c r="AN110" s="627" t="s">
        <v>402</v>
      </c>
      <c r="AO110" s="125"/>
      <c r="AP110" s="42">
        <v>9991.0948916011566</v>
      </c>
      <c r="AQ110" s="42">
        <f>W110-AP110</f>
        <v>1661.0828124879263</v>
      </c>
    </row>
    <row r="111" spans="1:43" ht="13" x14ac:dyDescent="0.3">
      <c r="A111" s="185">
        <v>9257005</v>
      </c>
      <c r="B111" s="38" t="s">
        <v>68</v>
      </c>
      <c r="C111" s="335">
        <v>4</v>
      </c>
      <c r="D111" s="744">
        <f t="shared" si="20"/>
        <v>0</v>
      </c>
      <c r="E111" s="744">
        <f t="shared" si="21"/>
        <v>0</v>
      </c>
      <c r="F111" s="156">
        <f t="shared" ref="F111:F127" si="36">SUM(D111:E111)</f>
        <v>0</v>
      </c>
      <c r="G111" s="744">
        <f t="shared" si="22"/>
        <v>191200.21921852537</v>
      </c>
      <c r="H111" s="744">
        <f t="shared" si="23"/>
        <v>267680.30690593552</v>
      </c>
      <c r="I111" s="156">
        <f t="shared" si="30"/>
        <v>458880.52612446086</v>
      </c>
      <c r="J111" s="744">
        <f t="shared" si="24"/>
        <v>98574.335241550842</v>
      </c>
      <c r="K111" s="744">
        <f t="shared" si="25"/>
        <v>203946.90049976041</v>
      </c>
      <c r="L111" s="156">
        <f t="shared" ref="L111:L127" si="37">SUM(J111:K111)</f>
        <v>302521.23574131122</v>
      </c>
      <c r="M111" s="156">
        <f t="shared" ref="M111:M126" si="38">I111+L111</f>
        <v>761401.76186577207</v>
      </c>
      <c r="N111" s="744">
        <f t="shared" si="26"/>
        <v>9751.4107740556829</v>
      </c>
      <c r="O111" s="744">
        <f t="shared" si="27"/>
        <v>13651.975083677955</v>
      </c>
      <c r="P111" s="156">
        <f t="shared" ref="P111:P127" si="39">SUM(N111:O111)</f>
        <v>23403.385857733636</v>
      </c>
      <c r="Q111" s="744">
        <f t="shared" si="28"/>
        <v>5027.3939990687068</v>
      </c>
      <c r="R111" s="744">
        <f t="shared" si="29"/>
        <v>10401.504825659395</v>
      </c>
      <c r="S111" s="156">
        <f t="shared" ref="S111:S127" si="40">SUM(Q111:R111)</f>
        <v>15428.898824728101</v>
      </c>
      <c r="T111" s="156">
        <f t="shared" ref="T111:T127" si="41">P111+S111</f>
        <v>38832.284682461737</v>
      </c>
      <c r="U111" s="156">
        <f t="shared" ref="U111:U127" si="42">F111+I111+L111+P111+S111</f>
        <v>800234.04654823383</v>
      </c>
      <c r="V111" s="334">
        <f t="shared" ref="V111:V127" si="43">(L7*(5/12))+(L51*(7/12))+(J29*(4/12))+(J73*(8/12))</f>
        <v>74.666666666666657</v>
      </c>
      <c r="W111" s="744">
        <f t="shared" ref="W111:W127" si="44">U111/V111</f>
        <v>10717.42026627099</v>
      </c>
      <c r="X111" s="36"/>
      <c r="Y111" s="94">
        <f t="shared" ref="Y111:Y127" si="45">Q7+Q51</f>
        <v>450000</v>
      </c>
      <c r="Z111" s="744">
        <f t="shared" si="31"/>
        <v>296666.66666666663</v>
      </c>
      <c r="AA111" s="744">
        <f t="shared" ref="AA111:AA127" si="46">Y111+Z111</f>
        <v>746666.66666666663</v>
      </c>
      <c r="AB111" s="744">
        <f>VLOOKUP(A111,'Funding Detail - Rebase'!$A$4:$AK$23,32,FALSE)</f>
        <v>1303054.7993919018</v>
      </c>
      <c r="AC111" s="744">
        <f t="shared" ref="AC111:AC127" si="47">AB111-AA111</f>
        <v>556388.13272523519</v>
      </c>
      <c r="AD111" s="744">
        <f t="shared" si="32"/>
        <v>139718.00207943967</v>
      </c>
      <c r="AE111" s="744">
        <f t="shared" si="33"/>
        <v>195605.20291121554</v>
      </c>
      <c r="AF111" s="744">
        <f t="shared" ref="AF111:AF127" si="48">AD111+AE111</f>
        <v>335323.20499065518</v>
      </c>
      <c r="AG111" s="744">
        <f t="shared" si="34"/>
        <v>72032.392183177784</v>
      </c>
      <c r="AH111" s="744">
        <f t="shared" si="35"/>
        <v>149032.53555140231</v>
      </c>
      <c r="AI111" s="744">
        <f t="shared" ref="AI111:AI127" si="49">AG111+AH111</f>
        <v>221064.92773458009</v>
      </c>
      <c r="AJ111" s="744">
        <f t="shared" ref="AJ111:AJ127" si="50">AF111+AI111</f>
        <v>556388.13272523531</v>
      </c>
      <c r="AK111" s="134"/>
      <c r="AL111" s="726">
        <f t="shared" ref="AL111:AL127" si="51">AA111+AF111+AI111</f>
        <v>1303054.7993919018</v>
      </c>
      <c r="AM111" s="125" t="s">
        <v>402</v>
      </c>
      <c r="AN111" s="627" t="s">
        <v>402</v>
      </c>
      <c r="AO111" s="125"/>
      <c r="AP111" s="42">
        <v>9737.6409510925641</v>
      </c>
      <c r="AQ111" s="42">
        <f t="shared" ref="AQ111:AQ127" si="52">W111-AP111</f>
        <v>979.77931517842626</v>
      </c>
    </row>
    <row r="112" spans="1:43" ht="13" x14ac:dyDescent="0.3">
      <c r="A112" s="185">
        <v>9257025</v>
      </c>
      <c r="B112" s="38" t="s">
        <v>69</v>
      </c>
      <c r="C112" s="667">
        <v>4</v>
      </c>
      <c r="D112" s="744">
        <f t="shared" si="20"/>
        <v>0</v>
      </c>
      <c r="E112" s="744">
        <f t="shared" si="21"/>
        <v>0</v>
      </c>
      <c r="F112" s="156">
        <f>SUM(D112:E112)</f>
        <v>0</v>
      </c>
      <c r="G112" s="744">
        <f t="shared" si="22"/>
        <v>215994.22036728152</v>
      </c>
      <c r="H112" s="744">
        <f t="shared" si="23"/>
        <v>290049.38163606374</v>
      </c>
      <c r="I112" s="156">
        <f t="shared" si="30"/>
        <v>506043.60200334527</v>
      </c>
      <c r="J112" s="744">
        <f t="shared" si="24"/>
        <v>45843.671261627089</v>
      </c>
      <c r="K112" s="744">
        <f t="shared" si="25"/>
        <v>112845.96002862052</v>
      </c>
      <c r="L112" s="156">
        <f t="shared" si="37"/>
        <v>158689.63129024761</v>
      </c>
      <c r="M112" s="156">
        <f t="shared" si="38"/>
        <v>664733.23329359293</v>
      </c>
      <c r="N112" s="744">
        <f t="shared" si="26"/>
        <v>11165.808272492439</v>
      </c>
      <c r="O112" s="744">
        <f t="shared" si="27"/>
        <v>14994.085394489844</v>
      </c>
      <c r="P112" s="156">
        <f t="shared" si="39"/>
        <v>26159.893666982283</v>
      </c>
      <c r="Q112" s="744">
        <f t="shared" si="28"/>
        <v>2369.8858374269662</v>
      </c>
      <c r="R112" s="744">
        <f t="shared" si="29"/>
        <v>5833.5651382817632</v>
      </c>
      <c r="S112" s="156">
        <f t="shared" si="40"/>
        <v>8203.4509757087289</v>
      </c>
      <c r="T112" s="156">
        <f t="shared" si="41"/>
        <v>34363.344642691009</v>
      </c>
      <c r="U112" s="156">
        <f t="shared" si="42"/>
        <v>699096.57793628401</v>
      </c>
      <c r="V112" s="334">
        <f t="shared" si="43"/>
        <v>62.833333333333336</v>
      </c>
      <c r="W112" s="744">
        <f t="shared" si="44"/>
        <v>11126.205484397093</v>
      </c>
      <c r="X112" s="36"/>
      <c r="Y112" s="94">
        <f t="shared" si="45"/>
        <v>478333.33333333337</v>
      </c>
      <c r="Z112" s="744">
        <f t="shared" si="31"/>
        <v>150000</v>
      </c>
      <c r="AA112" s="744">
        <f t="shared" si="46"/>
        <v>628333.33333333337</v>
      </c>
      <c r="AB112" s="744">
        <f>VLOOKUP(A112,'Funding Detail - Rebase'!$A$4:$AK$23,32,FALSE)</f>
        <v>1203227.3474675957</v>
      </c>
      <c r="AC112" s="744">
        <f t="shared" si="47"/>
        <v>574894.01413426234</v>
      </c>
      <c r="AD112" s="744">
        <f t="shared" si="32"/>
        <v>186802.43164840087</v>
      </c>
      <c r="AE112" s="744">
        <f t="shared" si="33"/>
        <v>250848.97964213835</v>
      </c>
      <c r="AF112" s="744">
        <f t="shared" si="48"/>
        <v>437651.4112905392</v>
      </c>
      <c r="AG112" s="744">
        <f t="shared" si="34"/>
        <v>39647.863043742233</v>
      </c>
      <c r="AH112" s="744">
        <f t="shared" si="35"/>
        <v>97594.739799980875</v>
      </c>
      <c r="AI112" s="744">
        <f t="shared" si="49"/>
        <v>137242.60284372311</v>
      </c>
      <c r="AJ112" s="744">
        <f t="shared" si="50"/>
        <v>574894.01413426234</v>
      </c>
      <c r="AK112" s="134"/>
      <c r="AL112" s="726">
        <f t="shared" si="51"/>
        <v>1203227.3474675955</v>
      </c>
      <c r="AM112" s="125" t="s">
        <v>402</v>
      </c>
      <c r="AN112" s="627" t="s">
        <v>402</v>
      </c>
      <c r="AO112" s="125"/>
      <c r="AP112" s="42">
        <v>10128.233980342673</v>
      </c>
      <c r="AQ112" s="42">
        <f t="shared" si="52"/>
        <v>997.97150405441971</v>
      </c>
    </row>
    <row r="113" spans="1:43" ht="13" x14ac:dyDescent="0.3">
      <c r="A113" s="185">
        <v>9257011</v>
      </c>
      <c r="B113" s="38" t="s">
        <v>70</v>
      </c>
      <c r="C113" s="335">
        <v>4</v>
      </c>
      <c r="D113" s="744">
        <f t="shared" si="20"/>
        <v>0</v>
      </c>
      <c r="E113" s="744">
        <f t="shared" si="21"/>
        <v>0</v>
      </c>
      <c r="F113" s="156">
        <f t="shared" si="36"/>
        <v>0</v>
      </c>
      <c r="G113" s="744">
        <f t="shared" si="22"/>
        <v>215878.79427874461</v>
      </c>
      <c r="H113" s="744">
        <f t="shared" si="23"/>
        <v>263647.71897021157</v>
      </c>
      <c r="I113" s="156">
        <f t="shared" si="30"/>
        <v>479526.51324895618</v>
      </c>
      <c r="J113" s="744">
        <f t="shared" si="24"/>
        <v>11023.59800572313</v>
      </c>
      <c r="K113" s="744">
        <f t="shared" si="25"/>
        <v>102886.91472008255</v>
      </c>
      <c r="L113" s="156">
        <f t="shared" si="37"/>
        <v>113910.51272580569</v>
      </c>
      <c r="M113" s="156">
        <f t="shared" si="38"/>
        <v>593437.02597476193</v>
      </c>
      <c r="N113" s="744">
        <f t="shared" si="26"/>
        <v>8027.1366253329461</v>
      </c>
      <c r="O113" s="744">
        <f t="shared" si="27"/>
        <v>9803.3540913640682</v>
      </c>
      <c r="P113" s="156">
        <f t="shared" si="39"/>
        <v>17830.490716697015</v>
      </c>
      <c r="Q113" s="744">
        <f t="shared" si="28"/>
        <v>409.8963383148739</v>
      </c>
      <c r="R113" s="744">
        <f t="shared" si="29"/>
        <v>3825.6991576054897</v>
      </c>
      <c r="S113" s="156">
        <f t="shared" si="40"/>
        <v>4235.5954959203636</v>
      </c>
      <c r="T113" s="156">
        <f t="shared" si="41"/>
        <v>22066.086212617378</v>
      </c>
      <c r="U113" s="156">
        <f t="shared" si="42"/>
        <v>615503.11218737939</v>
      </c>
      <c r="V113" s="334">
        <f t="shared" si="43"/>
        <v>53.833333333333329</v>
      </c>
      <c r="W113" s="744">
        <f t="shared" si="44"/>
        <v>11433.494344038008</v>
      </c>
      <c r="X113" s="36"/>
      <c r="Y113" s="94">
        <f t="shared" si="45"/>
        <v>435000</v>
      </c>
      <c r="Z113" s="744">
        <f t="shared" si="31"/>
        <v>103333.33333333333</v>
      </c>
      <c r="AA113" s="744">
        <f t="shared" si="46"/>
        <v>538333.33333333337</v>
      </c>
      <c r="AB113" s="744">
        <f>VLOOKUP(A113,'Funding Detail - Rebase'!$A$4:$AK$23,32,FALSE)</f>
        <v>1117366.0017438636</v>
      </c>
      <c r="AC113" s="744">
        <f t="shared" si="47"/>
        <v>579032.6684105302</v>
      </c>
      <c r="AD113" s="744">
        <f t="shared" si="32"/>
        <v>210638.81900383069</v>
      </c>
      <c r="AE113" s="744">
        <f t="shared" si="33"/>
        <v>257248.25980467832</v>
      </c>
      <c r="AF113" s="744">
        <f t="shared" si="48"/>
        <v>467887.07880850905</v>
      </c>
      <c r="AG113" s="744">
        <f t="shared" si="34"/>
        <v>10756.02480019561</v>
      </c>
      <c r="AH113" s="744">
        <f t="shared" si="35"/>
        <v>100389.56480182569</v>
      </c>
      <c r="AI113" s="744">
        <f t="shared" si="49"/>
        <v>111145.5896020213</v>
      </c>
      <c r="AJ113" s="744">
        <f t="shared" si="50"/>
        <v>579032.66841053031</v>
      </c>
      <c r="AK113" s="134"/>
      <c r="AL113" s="726">
        <f t="shared" si="51"/>
        <v>1117366.0017438638</v>
      </c>
      <c r="AM113" s="125" t="s">
        <v>402</v>
      </c>
      <c r="AN113" s="627" t="s">
        <v>402</v>
      </c>
      <c r="AO113" s="125"/>
      <c r="AP113" s="42">
        <v>10268.67930679802</v>
      </c>
      <c r="AQ113" s="42">
        <f t="shared" si="52"/>
        <v>1164.8150372399887</v>
      </c>
    </row>
    <row r="114" spans="1:43" ht="13" x14ac:dyDescent="0.3">
      <c r="A114" s="185">
        <v>9257024</v>
      </c>
      <c r="B114" s="38" t="s">
        <v>71</v>
      </c>
      <c r="C114" s="335">
        <v>3</v>
      </c>
      <c r="D114" s="744">
        <f t="shared" si="20"/>
        <v>0</v>
      </c>
      <c r="E114" s="744">
        <f t="shared" si="21"/>
        <v>0</v>
      </c>
      <c r="F114" s="156">
        <f t="shared" si="36"/>
        <v>0</v>
      </c>
      <c r="G114" s="744">
        <f t="shared" si="22"/>
        <v>198931.32014596194</v>
      </c>
      <c r="H114" s="744">
        <f t="shared" si="23"/>
        <v>358960.51546338026</v>
      </c>
      <c r="I114" s="156">
        <f t="shared" si="30"/>
        <v>557891.8356093422</v>
      </c>
      <c r="J114" s="744">
        <f t="shared" si="24"/>
        <v>45975.238433733437</v>
      </c>
      <c r="K114" s="744">
        <f t="shared" si="25"/>
        <v>77804.249657087334</v>
      </c>
      <c r="L114" s="156">
        <f t="shared" si="37"/>
        <v>123779.48809082077</v>
      </c>
      <c r="M114" s="156">
        <f t="shared" si="38"/>
        <v>681671.32370016293</v>
      </c>
      <c r="N114" s="744">
        <f t="shared" si="26"/>
        <v>2694.9353411935704</v>
      </c>
      <c r="O114" s="744">
        <f t="shared" si="27"/>
        <v>4862.8611045537318</v>
      </c>
      <c r="P114" s="156">
        <f t="shared" si="39"/>
        <v>7557.7964457473026</v>
      </c>
      <c r="Q114" s="744">
        <f t="shared" si="28"/>
        <v>622.82950107584725</v>
      </c>
      <c r="R114" s="744">
        <f t="shared" si="29"/>
        <v>1054.0191556668185</v>
      </c>
      <c r="S114" s="156">
        <f t="shared" si="40"/>
        <v>1676.8486567426658</v>
      </c>
      <c r="T114" s="156">
        <f t="shared" si="41"/>
        <v>9234.6451024899688</v>
      </c>
      <c r="U114" s="156">
        <f t="shared" si="42"/>
        <v>690905.9688026529</v>
      </c>
      <c r="V114" s="334">
        <f t="shared" si="43"/>
        <v>64.25</v>
      </c>
      <c r="W114" s="744">
        <f t="shared" si="44"/>
        <v>10753.400292648294</v>
      </c>
      <c r="X114" s="36"/>
      <c r="Y114" s="94">
        <f t="shared" si="45"/>
        <v>525833.33333333337</v>
      </c>
      <c r="Z114" s="744">
        <f t="shared" si="31"/>
        <v>116666.66666666666</v>
      </c>
      <c r="AA114" s="744">
        <f t="shared" si="46"/>
        <v>642500</v>
      </c>
      <c r="AB114" s="744">
        <f>VLOOKUP(A114,'Funding Detail - Rebase'!$A$4:$AK$23,32,FALSE)</f>
        <v>1084799.2387848999</v>
      </c>
      <c r="AC114" s="744">
        <f t="shared" si="47"/>
        <v>442299.23878489994</v>
      </c>
      <c r="AD114" s="744">
        <f t="shared" si="32"/>
        <v>129075.65334189688</v>
      </c>
      <c r="AE114" s="744">
        <f t="shared" si="33"/>
        <v>232909.8455858228</v>
      </c>
      <c r="AF114" s="744">
        <f t="shared" si="48"/>
        <v>361985.49892771966</v>
      </c>
      <c r="AG114" s="744">
        <f t="shared" si="34"/>
        <v>29830.81766123839</v>
      </c>
      <c r="AH114" s="744">
        <f t="shared" si="35"/>
        <v>50482.922195941886</v>
      </c>
      <c r="AI114" s="744">
        <f t="shared" si="49"/>
        <v>80313.739857180277</v>
      </c>
      <c r="AJ114" s="744">
        <f t="shared" si="50"/>
        <v>442299.23878489994</v>
      </c>
      <c r="AK114" s="134"/>
      <c r="AL114" s="726">
        <f t="shared" si="51"/>
        <v>1084799.2387848999</v>
      </c>
      <c r="AM114" s="125" t="s">
        <v>402</v>
      </c>
      <c r="AN114" s="627" t="s">
        <v>402</v>
      </c>
      <c r="AO114" s="125"/>
      <c r="AP114" s="42">
        <v>9289.4498761949271</v>
      </c>
      <c r="AQ114" s="42">
        <f t="shared" si="52"/>
        <v>1463.9504164533664</v>
      </c>
    </row>
    <row r="115" spans="1:43" ht="13" x14ac:dyDescent="0.3">
      <c r="A115" s="185">
        <v>9257031</v>
      </c>
      <c r="B115" s="38" t="s">
        <v>98</v>
      </c>
      <c r="C115" s="335">
        <v>4</v>
      </c>
      <c r="D115" s="744">
        <f t="shared" si="20"/>
        <v>0</v>
      </c>
      <c r="E115" s="744">
        <f t="shared" si="21"/>
        <v>0</v>
      </c>
      <c r="F115" s="156">
        <f t="shared" si="36"/>
        <v>0</v>
      </c>
      <c r="G115" s="744">
        <f t="shared" si="22"/>
        <v>331273.91807940899</v>
      </c>
      <c r="H115" s="744">
        <f t="shared" si="23"/>
        <v>477424.17605561879</v>
      </c>
      <c r="I115" s="156">
        <f t="shared" si="30"/>
        <v>808698.09413502784</v>
      </c>
      <c r="J115" s="744">
        <f t="shared" si="24"/>
        <v>0</v>
      </c>
      <c r="K115" s="744">
        <f t="shared" si="25"/>
        <v>0</v>
      </c>
      <c r="L115" s="156">
        <f t="shared" si="37"/>
        <v>0</v>
      </c>
      <c r="M115" s="156">
        <f t="shared" si="38"/>
        <v>808698.09413502784</v>
      </c>
      <c r="N115" s="744">
        <f t="shared" si="26"/>
        <v>74659.69019306633</v>
      </c>
      <c r="O115" s="744">
        <f t="shared" si="27"/>
        <v>107597.78880765439</v>
      </c>
      <c r="P115" s="156">
        <f t="shared" si="39"/>
        <v>182257.47900072072</v>
      </c>
      <c r="Q115" s="744">
        <f t="shared" si="28"/>
        <v>0</v>
      </c>
      <c r="R115" s="744">
        <f t="shared" si="29"/>
        <v>0</v>
      </c>
      <c r="S115" s="156">
        <f t="shared" si="40"/>
        <v>0</v>
      </c>
      <c r="T115" s="156">
        <f t="shared" si="41"/>
        <v>182257.47900072072</v>
      </c>
      <c r="U115" s="156">
        <f t="shared" si="42"/>
        <v>990955.57313574851</v>
      </c>
      <c r="V115" s="334">
        <f t="shared" si="43"/>
        <v>69.166666666666671</v>
      </c>
      <c r="W115" s="744">
        <f t="shared" si="44"/>
        <v>14327.068527263833</v>
      </c>
      <c r="X115" s="36"/>
      <c r="Y115" s="94">
        <f t="shared" si="45"/>
        <v>691666.66666666674</v>
      </c>
      <c r="Z115" s="744">
        <f t="shared" si="31"/>
        <v>0</v>
      </c>
      <c r="AA115" s="744">
        <f t="shared" si="46"/>
        <v>691666.66666666674</v>
      </c>
      <c r="AB115" s="744">
        <f>VLOOKUP(A115,'Funding Detail - Rebase'!$A$4:$AK$23,32,FALSE)</f>
        <v>1417327.3026095496</v>
      </c>
      <c r="AC115" s="744">
        <f t="shared" si="47"/>
        <v>725660.63594288286</v>
      </c>
      <c r="AD115" s="744">
        <f t="shared" si="32"/>
        <v>297258.57375973515</v>
      </c>
      <c r="AE115" s="744">
        <f t="shared" si="33"/>
        <v>428402.06218314765</v>
      </c>
      <c r="AF115" s="744">
        <f t="shared" si="48"/>
        <v>725660.63594288286</v>
      </c>
      <c r="AG115" s="744">
        <f t="shared" si="34"/>
        <v>0</v>
      </c>
      <c r="AH115" s="744">
        <f t="shared" si="35"/>
        <v>0</v>
      </c>
      <c r="AI115" s="744">
        <f t="shared" si="49"/>
        <v>0</v>
      </c>
      <c r="AJ115" s="744">
        <f t="shared" si="50"/>
        <v>725660.63594288286</v>
      </c>
      <c r="AK115" s="134"/>
      <c r="AL115" s="726">
        <f t="shared" si="51"/>
        <v>1417327.3026095496</v>
      </c>
      <c r="AM115" s="125" t="s">
        <v>402</v>
      </c>
      <c r="AN115" s="627" t="s">
        <v>402</v>
      </c>
      <c r="AO115" s="125"/>
      <c r="AP115" s="42">
        <v>14327.068527263833</v>
      </c>
      <c r="AQ115" s="42">
        <f t="shared" si="52"/>
        <v>0</v>
      </c>
    </row>
    <row r="116" spans="1:43" ht="13" x14ac:dyDescent="0.3">
      <c r="A116" s="185">
        <v>9257033</v>
      </c>
      <c r="B116" s="38" t="s">
        <v>72</v>
      </c>
      <c r="C116" s="335">
        <v>3</v>
      </c>
      <c r="D116" s="744">
        <f t="shared" si="20"/>
        <v>0</v>
      </c>
      <c r="E116" s="744">
        <f t="shared" si="21"/>
        <v>0</v>
      </c>
      <c r="F116" s="156">
        <f t="shared" si="36"/>
        <v>0</v>
      </c>
      <c r="G116" s="744">
        <f t="shared" si="22"/>
        <v>212396.95552966642</v>
      </c>
      <c r="H116" s="744">
        <f t="shared" si="23"/>
        <v>443425.22294790001</v>
      </c>
      <c r="I116" s="156">
        <f t="shared" si="30"/>
        <v>655822.17847756646</v>
      </c>
      <c r="J116" s="744">
        <f t="shared" si="24"/>
        <v>0</v>
      </c>
      <c r="K116" s="744">
        <f t="shared" si="25"/>
        <v>0</v>
      </c>
      <c r="L116" s="156">
        <f t="shared" si="37"/>
        <v>0</v>
      </c>
      <c r="M116" s="156">
        <f t="shared" si="38"/>
        <v>655822.17847756646</v>
      </c>
      <c r="N116" s="744">
        <f t="shared" si="26"/>
        <v>21619.370181575086</v>
      </c>
      <c r="O116" s="744">
        <f t="shared" si="27"/>
        <v>45135.17634399009</v>
      </c>
      <c r="P116" s="156">
        <f t="shared" si="39"/>
        <v>66754.54652556518</v>
      </c>
      <c r="Q116" s="744">
        <f t="shared" si="28"/>
        <v>0</v>
      </c>
      <c r="R116" s="744">
        <f t="shared" si="29"/>
        <v>0</v>
      </c>
      <c r="S116" s="156">
        <f t="shared" si="40"/>
        <v>0</v>
      </c>
      <c r="T116" s="156">
        <f t="shared" si="41"/>
        <v>66754.54652556518</v>
      </c>
      <c r="U116" s="156">
        <f t="shared" si="42"/>
        <v>722576.72500313167</v>
      </c>
      <c r="V116" s="334">
        <f t="shared" si="43"/>
        <v>73.333333333333343</v>
      </c>
      <c r="W116" s="744">
        <f t="shared" si="44"/>
        <v>9853.3189773154299</v>
      </c>
      <c r="X116" s="36"/>
      <c r="Y116" s="94">
        <f t="shared" si="45"/>
        <v>733333.33333333337</v>
      </c>
      <c r="Z116" s="744">
        <f t="shared" si="31"/>
        <v>0</v>
      </c>
      <c r="AA116" s="744">
        <f t="shared" si="46"/>
        <v>733333.33333333337</v>
      </c>
      <c r="AB116" s="744">
        <f>VLOOKUP(A116,'Funding Detail - Rebase'!$A$4:$AK$23,32,FALSE)</f>
        <v>1121419.8232914417</v>
      </c>
      <c r="AC116" s="744">
        <f t="shared" si="47"/>
        <v>388086.48995810829</v>
      </c>
      <c r="AD116" s="744">
        <f t="shared" si="32"/>
        <v>125687.10186143278</v>
      </c>
      <c r="AE116" s="744">
        <f t="shared" si="33"/>
        <v>262399.38809667545</v>
      </c>
      <c r="AF116" s="744">
        <f t="shared" si="48"/>
        <v>388086.48995810823</v>
      </c>
      <c r="AG116" s="744">
        <f t="shared" si="34"/>
        <v>0</v>
      </c>
      <c r="AH116" s="744">
        <f t="shared" si="35"/>
        <v>0</v>
      </c>
      <c r="AI116" s="744">
        <f t="shared" si="49"/>
        <v>0</v>
      </c>
      <c r="AJ116" s="744">
        <f t="shared" si="50"/>
        <v>388086.48995810823</v>
      </c>
      <c r="AK116" s="134"/>
      <c r="AL116" s="726">
        <f t="shared" si="51"/>
        <v>1121419.8232914417</v>
      </c>
      <c r="AM116" s="125" t="s">
        <v>402</v>
      </c>
      <c r="AN116" s="627" t="s">
        <v>402</v>
      </c>
      <c r="AO116" s="125"/>
      <c r="AP116" s="42">
        <v>9853.3189773154299</v>
      </c>
      <c r="AQ116" s="42">
        <f t="shared" si="52"/>
        <v>0</v>
      </c>
    </row>
    <row r="117" spans="1:43" ht="13" x14ac:dyDescent="0.3">
      <c r="A117" s="185">
        <v>9257008</v>
      </c>
      <c r="B117" s="38" t="s">
        <v>73</v>
      </c>
      <c r="C117" s="667">
        <v>4</v>
      </c>
      <c r="D117" s="744">
        <f t="shared" si="20"/>
        <v>0</v>
      </c>
      <c r="E117" s="744">
        <f t="shared" si="21"/>
        <v>0</v>
      </c>
      <c r="F117" s="156">
        <f t="shared" si="36"/>
        <v>0</v>
      </c>
      <c r="G117" s="744">
        <f t="shared" si="22"/>
        <v>300051.70758049889</v>
      </c>
      <c r="H117" s="744">
        <f t="shared" si="23"/>
        <v>420072.39061269845</v>
      </c>
      <c r="I117" s="156">
        <f t="shared" si="30"/>
        <v>720124.09819319728</v>
      </c>
      <c r="J117" s="744">
        <f t="shared" si="24"/>
        <v>0</v>
      </c>
      <c r="K117" s="744">
        <f t="shared" si="25"/>
        <v>0</v>
      </c>
      <c r="L117" s="156">
        <f t="shared" si="37"/>
        <v>0</v>
      </c>
      <c r="M117" s="156">
        <f t="shared" si="38"/>
        <v>720124.09819319728</v>
      </c>
      <c r="N117" s="744">
        <f t="shared" si="26"/>
        <v>27900.507061768727</v>
      </c>
      <c r="O117" s="744">
        <f t="shared" si="27"/>
        <v>39060.709886476216</v>
      </c>
      <c r="P117" s="156">
        <f t="shared" si="39"/>
        <v>66961.216948244939</v>
      </c>
      <c r="Q117" s="744">
        <f t="shared" si="28"/>
        <v>0</v>
      </c>
      <c r="R117" s="744">
        <f t="shared" si="29"/>
        <v>0</v>
      </c>
      <c r="S117" s="156">
        <f t="shared" si="40"/>
        <v>0</v>
      </c>
      <c r="T117" s="156">
        <f t="shared" si="41"/>
        <v>66961.216948244939</v>
      </c>
      <c r="U117" s="156">
        <f t="shared" si="42"/>
        <v>787085.31514144223</v>
      </c>
      <c r="V117" s="334">
        <f t="shared" si="43"/>
        <v>90</v>
      </c>
      <c r="W117" s="744">
        <f t="shared" si="44"/>
        <v>8745.392390460469</v>
      </c>
      <c r="X117" s="36"/>
      <c r="Y117" s="94">
        <f t="shared" si="45"/>
        <v>900000</v>
      </c>
      <c r="Z117" s="744">
        <f t="shared" si="31"/>
        <v>0</v>
      </c>
      <c r="AA117" s="744">
        <f t="shared" si="46"/>
        <v>900000</v>
      </c>
      <c r="AB117" s="744">
        <f>VLOOKUP(A117,'Funding Detail - Rebase'!$A$4:$AK$23,32,FALSE)</f>
        <v>1293986.4829410582</v>
      </c>
      <c r="AC117" s="744">
        <f t="shared" si="47"/>
        <v>393986.48294105823</v>
      </c>
      <c r="AD117" s="744">
        <f t="shared" si="32"/>
        <v>164161.03455877426</v>
      </c>
      <c r="AE117" s="744">
        <f t="shared" si="33"/>
        <v>229825.448382284</v>
      </c>
      <c r="AF117" s="744">
        <f t="shared" si="48"/>
        <v>393986.48294105823</v>
      </c>
      <c r="AG117" s="744">
        <f t="shared" si="34"/>
        <v>0</v>
      </c>
      <c r="AH117" s="744">
        <f t="shared" si="35"/>
        <v>0</v>
      </c>
      <c r="AI117" s="744">
        <f t="shared" si="49"/>
        <v>0</v>
      </c>
      <c r="AJ117" s="744">
        <f t="shared" si="50"/>
        <v>393986.48294105823</v>
      </c>
      <c r="AK117" s="134"/>
      <c r="AL117" s="726">
        <f t="shared" si="51"/>
        <v>1293986.4829410582</v>
      </c>
      <c r="AM117" s="125" t="s">
        <v>402</v>
      </c>
      <c r="AN117" s="627" t="s">
        <v>402</v>
      </c>
      <c r="AO117" s="125"/>
      <c r="AP117" s="42">
        <v>8745.392390460469</v>
      </c>
      <c r="AQ117" s="42">
        <f t="shared" si="52"/>
        <v>0</v>
      </c>
    </row>
    <row r="118" spans="1:43" ht="13" x14ac:dyDescent="0.3">
      <c r="A118" s="185">
        <v>9257034</v>
      </c>
      <c r="B118" s="38" t="s">
        <v>74</v>
      </c>
      <c r="C118" s="335">
        <v>5</v>
      </c>
      <c r="D118" s="744">
        <f t="shared" si="20"/>
        <v>0</v>
      </c>
      <c r="E118" s="744">
        <f t="shared" si="21"/>
        <v>0</v>
      </c>
      <c r="F118" s="156">
        <f t="shared" si="36"/>
        <v>0</v>
      </c>
      <c r="G118" s="744">
        <f t="shared" si="22"/>
        <v>311734.69657724886</v>
      </c>
      <c r="H118" s="744">
        <f t="shared" si="23"/>
        <v>402102.73221424909</v>
      </c>
      <c r="I118" s="156">
        <f t="shared" si="30"/>
        <v>713837.42879149795</v>
      </c>
      <c r="J118" s="744">
        <f t="shared" si="24"/>
        <v>89667.508228961451</v>
      </c>
      <c r="K118" s="744">
        <f t="shared" si="25"/>
        <v>196147.67425085325</v>
      </c>
      <c r="L118" s="156">
        <f t="shared" si="37"/>
        <v>285815.18247981468</v>
      </c>
      <c r="M118" s="156">
        <f t="shared" si="38"/>
        <v>999652.61127131269</v>
      </c>
      <c r="N118" s="744">
        <f t="shared" si="26"/>
        <v>20004.923935474231</v>
      </c>
      <c r="O118" s="744">
        <f t="shared" si="27"/>
        <v>25804.104132499346</v>
      </c>
      <c r="P118" s="156">
        <f t="shared" si="39"/>
        <v>45809.028067973573</v>
      </c>
      <c r="Q118" s="744">
        <f t="shared" si="28"/>
        <v>5754.2253117768569</v>
      </c>
      <c r="R118" s="744">
        <f t="shared" si="29"/>
        <v>12587.367869511874</v>
      </c>
      <c r="S118" s="156">
        <f t="shared" si="40"/>
        <v>18341.593181288732</v>
      </c>
      <c r="T118" s="156">
        <f t="shared" si="41"/>
        <v>64150.621249262302</v>
      </c>
      <c r="U118" s="156">
        <f t="shared" si="42"/>
        <v>1063803.2325205749</v>
      </c>
      <c r="V118" s="334">
        <f t="shared" si="43"/>
        <v>118.91666666666667</v>
      </c>
      <c r="W118" s="744">
        <f t="shared" si="44"/>
        <v>8945.7875194442186</v>
      </c>
      <c r="X118" s="36"/>
      <c r="Y118" s="94">
        <f t="shared" si="45"/>
        <v>849166.66666666674</v>
      </c>
      <c r="Z118" s="744">
        <f t="shared" si="31"/>
        <v>340000</v>
      </c>
      <c r="AA118" s="744">
        <f t="shared" si="46"/>
        <v>1189166.6666666667</v>
      </c>
      <c r="AB118" s="744">
        <f>VLOOKUP(A118,'Funding Detail - Rebase'!$A$4:$AK$23,32,FALSE)</f>
        <v>1617778.6789864481</v>
      </c>
      <c r="AC118" s="744">
        <f t="shared" si="47"/>
        <v>428612.01231978135</v>
      </c>
      <c r="AD118" s="744">
        <f t="shared" si="32"/>
        <v>133659.66747183088</v>
      </c>
      <c r="AE118" s="744">
        <f t="shared" si="33"/>
        <v>172405.95309849648</v>
      </c>
      <c r="AF118" s="744">
        <f t="shared" si="48"/>
        <v>306065.62057032739</v>
      </c>
      <c r="AG118" s="744">
        <f t="shared" si="34"/>
        <v>38445.926823358102</v>
      </c>
      <c r="AH118" s="744">
        <f t="shared" si="35"/>
        <v>84100.464926095854</v>
      </c>
      <c r="AI118" s="744">
        <f t="shared" si="49"/>
        <v>122546.39174945396</v>
      </c>
      <c r="AJ118" s="744">
        <f t="shared" si="50"/>
        <v>428612.01231978135</v>
      </c>
      <c r="AK118" s="134"/>
      <c r="AL118" s="726">
        <f t="shared" si="51"/>
        <v>1617778.6789864481</v>
      </c>
      <c r="AM118" s="125" t="s">
        <v>402</v>
      </c>
      <c r="AN118" s="627" t="s">
        <v>402</v>
      </c>
      <c r="AO118" s="125"/>
      <c r="AP118" s="42">
        <v>8682.1328193541576</v>
      </c>
      <c r="AQ118" s="42">
        <f t="shared" si="52"/>
        <v>263.65470009006094</v>
      </c>
    </row>
    <row r="119" spans="1:43" ht="13" x14ac:dyDescent="0.3">
      <c r="A119" s="185">
        <v>9257002</v>
      </c>
      <c r="B119" s="38" t="s">
        <v>75</v>
      </c>
      <c r="C119" s="335">
        <v>5</v>
      </c>
      <c r="D119" s="744">
        <f t="shared" si="20"/>
        <v>0</v>
      </c>
      <c r="E119" s="744">
        <f t="shared" si="21"/>
        <v>0</v>
      </c>
      <c r="F119" s="156">
        <f t="shared" si="36"/>
        <v>0</v>
      </c>
      <c r="G119" s="744">
        <f t="shared" si="22"/>
        <v>380977.53314531496</v>
      </c>
      <c r="H119" s="744">
        <f t="shared" si="23"/>
        <v>605906.66871430899</v>
      </c>
      <c r="I119" s="156">
        <f t="shared" si="30"/>
        <v>986884.20185962389</v>
      </c>
      <c r="J119" s="744">
        <f t="shared" si="24"/>
        <v>0</v>
      </c>
      <c r="K119" s="744">
        <f t="shared" si="25"/>
        <v>0</v>
      </c>
      <c r="L119" s="156">
        <f t="shared" si="37"/>
        <v>0</v>
      </c>
      <c r="M119" s="156">
        <f t="shared" si="38"/>
        <v>986884.20185962389</v>
      </c>
      <c r="N119" s="744">
        <f t="shared" si="26"/>
        <v>12686.242463601851</v>
      </c>
      <c r="O119" s="744">
        <f t="shared" si="27"/>
        <v>20176.20001411239</v>
      </c>
      <c r="P119" s="156">
        <f t="shared" si="39"/>
        <v>32862.442477714241</v>
      </c>
      <c r="Q119" s="744">
        <f t="shared" si="28"/>
        <v>0</v>
      </c>
      <c r="R119" s="744">
        <f t="shared" si="29"/>
        <v>0</v>
      </c>
      <c r="S119" s="156">
        <f t="shared" si="40"/>
        <v>0</v>
      </c>
      <c r="T119" s="156">
        <f t="shared" si="41"/>
        <v>32862.442477714241</v>
      </c>
      <c r="U119" s="156">
        <f t="shared" si="42"/>
        <v>1019746.6443373382</v>
      </c>
      <c r="V119" s="334">
        <f t="shared" si="43"/>
        <v>134.91666666666669</v>
      </c>
      <c r="W119" s="744">
        <f t="shared" si="44"/>
        <v>7558.3444916912022</v>
      </c>
      <c r="X119" s="36"/>
      <c r="Y119" s="94">
        <f t="shared" si="45"/>
        <v>1349166.6666666667</v>
      </c>
      <c r="Z119" s="744">
        <f t="shared" si="31"/>
        <v>0</v>
      </c>
      <c r="AA119" s="744">
        <f t="shared" si="46"/>
        <v>1349166.6666666667</v>
      </c>
      <c r="AB119" s="744">
        <f>VLOOKUP(A119,'Funding Detail - Rebase'!$A$4:$AK$23,32,FALSE)</f>
        <v>1579142.0057591593</v>
      </c>
      <c r="AC119" s="744">
        <f t="shared" si="47"/>
        <v>229975.33909249259</v>
      </c>
      <c r="AD119" s="744">
        <f t="shared" si="32"/>
        <v>88779.856042500207</v>
      </c>
      <c r="AE119" s="744">
        <f t="shared" si="33"/>
        <v>141195.48304999233</v>
      </c>
      <c r="AF119" s="744">
        <f t="shared" si="48"/>
        <v>229975.33909249253</v>
      </c>
      <c r="AG119" s="744">
        <f t="shared" si="34"/>
        <v>0</v>
      </c>
      <c r="AH119" s="744">
        <f t="shared" si="35"/>
        <v>0</v>
      </c>
      <c r="AI119" s="744">
        <f t="shared" si="49"/>
        <v>0</v>
      </c>
      <c r="AJ119" s="744">
        <f t="shared" si="50"/>
        <v>229975.33909249253</v>
      </c>
      <c r="AK119" s="134"/>
      <c r="AL119" s="726">
        <f t="shared" si="51"/>
        <v>1579142.0057591593</v>
      </c>
      <c r="AM119" s="125" t="s">
        <v>402</v>
      </c>
      <c r="AN119" s="627" t="s">
        <v>402</v>
      </c>
      <c r="AO119" s="125"/>
      <c r="AP119" s="42">
        <v>7480.8820134065591</v>
      </c>
      <c r="AQ119" s="42">
        <f t="shared" si="52"/>
        <v>77.462478284643112</v>
      </c>
    </row>
    <row r="120" spans="1:43" ht="13" x14ac:dyDescent="0.3">
      <c r="A120" s="185">
        <v>9257009</v>
      </c>
      <c r="B120" s="38" t="s">
        <v>76</v>
      </c>
      <c r="C120" s="335">
        <v>4</v>
      </c>
      <c r="D120" s="744">
        <f t="shared" si="20"/>
        <v>0</v>
      </c>
      <c r="E120" s="744">
        <f t="shared" si="21"/>
        <v>0</v>
      </c>
      <c r="F120" s="156">
        <f t="shared" si="36"/>
        <v>0</v>
      </c>
      <c r="G120" s="744">
        <f t="shared" si="22"/>
        <v>386326.99019738677</v>
      </c>
      <c r="H120" s="744">
        <f t="shared" si="23"/>
        <v>545083.23773162556</v>
      </c>
      <c r="I120" s="156">
        <f t="shared" si="30"/>
        <v>931410.22792901238</v>
      </c>
      <c r="J120" s="744">
        <f t="shared" si="24"/>
        <v>0</v>
      </c>
      <c r="K120" s="744">
        <f t="shared" si="25"/>
        <v>0</v>
      </c>
      <c r="L120" s="156">
        <f t="shared" si="37"/>
        <v>0</v>
      </c>
      <c r="M120" s="156">
        <f t="shared" si="38"/>
        <v>931410.22792901238</v>
      </c>
      <c r="N120" s="744">
        <f t="shared" si="26"/>
        <v>19458.815181541268</v>
      </c>
      <c r="O120" s="744">
        <f t="shared" si="27"/>
        <v>27455.17204520588</v>
      </c>
      <c r="P120" s="156">
        <f t="shared" si="39"/>
        <v>46913.987226747151</v>
      </c>
      <c r="Q120" s="744">
        <f t="shared" si="28"/>
        <v>0</v>
      </c>
      <c r="R120" s="744">
        <f t="shared" si="29"/>
        <v>0</v>
      </c>
      <c r="S120" s="156">
        <f t="shared" si="40"/>
        <v>0</v>
      </c>
      <c r="T120" s="156">
        <f t="shared" si="41"/>
        <v>46913.987226747151</v>
      </c>
      <c r="U120" s="156">
        <f t="shared" si="42"/>
        <v>978324.21515575959</v>
      </c>
      <c r="V120" s="334">
        <f t="shared" si="43"/>
        <v>128.58333333333334</v>
      </c>
      <c r="W120" s="744">
        <f t="shared" si="44"/>
        <v>7608.4838508549019</v>
      </c>
      <c r="X120" s="36"/>
      <c r="Y120" s="94">
        <f t="shared" si="45"/>
        <v>1285833.3333333335</v>
      </c>
      <c r="Z120" s="744">
        <f t="shared" si="31"/>
        <v>0</v>
      </c>
      <c r="AA120" s="744">
        <f t="shared" si="46"/>
        <v>1285833.3333333335</v>
      </c>
      <c r="AB120" s="744">
        <f>VLOOKUP(A120,'Funding Detail - Rebase'!$A$4:$AK$23,32,FALSE)</f>
        <v>1485363.95452345</v>
      </c>
      <c r="AC120" s="744">
        <f t="shared" si="47"/>
        <v>199530.62119011651</v>
      </c>
      <c r="AD120" s="744">
        <f t="shared" si="32"/>
        <v>82760.594660838993</v>
      </c>
      <c r="AE120" s="744">
        <f t="shared" si="33"/>
        <v>116770.02652927751</v>
      </c>
      <c r="AF120" s="744">
        <f t="shared" si="48"/>
        <v>199530.62119011651</v>
      </c>
      <c r="AG120" s="744">
        <f t="shared" si="34"/>
        <v>0</v>
      </c>
      <c r="AH120" s="744">
        <f t="shared" si="35"/>
        <v>0</v>
      </c>
      <c r="AI120" s="744">
        <f t="shared" si="49"/>
        <v>0</v>
      </c>
      <c r="AJ120" s="744">
        <f t="shared" si="50"/>
        <v>199530.62119011651</v>
      </c>
      <c r="AK120" s="134"/>
      <c r="AL120" s="726">
        <f t="shared" si="51"/>
        <v>1485363.95452345</v>
      </c>
      <c r="AM120" s="125" t="s">
        <v>402</v>
      </c>
      <c r="AN120" s="627" t="s">
        <v>402</v>
      </c>
      <c r="AO120" s="125"/>
      <c r="AP120" s="42">
        <v>7608.4838508549019</v>
      </c>
      <c r="AQ120" s="42">
        <f t="shared" si="52"/>
        <v>0</v>
      </c>
    </row>
    <row r="121" spans="1:43" ht="13" x14ac:dyDescent="0.3">
      <c r="A121" s="185">
        <v>9257029</v>
      </c>
      <c r="B121" s="38" t="s">
        <v>99</v>
      </c>
      <c r="C121" s="667">
        <v>3</v>
      </c>
      <c r="D121" s="744">
        <f t="shared" si="20"/>
        <v>0</v>
      </c>
      <c r="E121" s="744">
        <f t="shared" si="21"/>
        <v>0</v>
      </c>
      <c r="F121" s="156">
        <f t="shared" si="36"/>
        <v>0</v>
      </c>
      <c r="G121" s="744">
        <f t="shared" si="22"/>
        <v>214353.7116984411</v>
      </c>
      <c r="H121" s="744">
        <f t="shared" si="23"/>
        <v>293274.85100559442</v>
      </c>
      <c r="I121" s="156">
        <f t="shared" si="30"/>
        <v>507628.56270403555</v>
      </c>
      <c r="J121" s="744">
        <f t="shared" si="24"/>
        <v>0</v>
      </c>
      <c r="K121" s="744">
        <f t="shared" si="25"/>
        <v>0</v>
      </c>
      <c r="L121" s="156">
        <f t="shared" si="37"/>
        <v>0</v>
      </c>
      <c r="M121" s="156">
        <f t="shared" si="38"/>
        <v>507628.56270403555</v>
      </c>
      <c r="N121" s="744">
        <f t="shared" si="26"/>
        <v>48309.211301395851</v>
      </c>
      <c r="O121" s="744">
        <f t="shared" si="27"/>
        <v>66095.784553273421</v>
      </c>
      <c r="P121" s="156">
        <f t="shared" si="39"/>
        <v>114404.99585466928</v>
      </c>
      <c r="Q121" s="744">
        <f t="shared" si="28"/>
        <v>0</v>
      </c>
      <c r="R121" s="744">
        <f t="shared" si="29"/>
        <v>0</v>
      </c>
      <c r="S121" s="156">
        <f t="shared" si="40"/>
        <v>0</v>
      </c>
      <c r="T121" s="156">
        <f t="shared" si="41"/>
        <v>114404.99585466928</v>
      </c>
      <c r="U121" s="156">
        <f t="shared" si="42"/>
        <v>622033.5585587048</v>
      </c>
      <c r="V121" s="334">
        <f t="shared" si="43"/>
        <v>43.416666666666671</v>
      </c>
      <c r="W121" s="744">
        <f t="shared" si="44"/>
        <v>14327.068527263833</v>
      </c>
      <c r="X121" s="36"/>
      <c r="Y121" s="94">
        <f t="shared" si="45"/>
        <v>434166.66666666669</v>
      </c>
      <c r="Z121" s="744">
        <f t="shared" si="31"/>
        <v>0</v>
      </c>
      <c r="AA121" s="744">
        <f t="shared" si="46"/>
        <v>434166.66666666669</v>
      </c>
      <c r="AB121" s="744">
        <f>VLOOKUP(A121,'Funding Detail - Rebase'!$A$4:$AK$23,32,FALSE)</f>
        <v>967550.07971252012</v>
      </c>
      <c r="AC121" s="744">
        <f t="shared" si="47"/>
        <v>533383.41304585338</v>
      </c>
      <c r="AD121" s="744">
        <f t="shared" si="32"/>
        <v>225229.08036485172</v>
      </c>
      <c r="AE121" s="744">
        <f t="shared" si="33"/>
        <v>308154.33268100163</v>
      </c>
      <c r="AF121" s="744">
        <f t="shared" si="48"/>
        <v>533383.41304585338</v>
      </c>
      <c r="AG121" s="744">
        <f t="shared" si="34"/>
        <v>0</v>
      </c>
      <c r="AH121" s="744">
        <f t="shared" si="35"/>
        <v>0</v>
      </c>
      <c r="AI121" s="744">
        <f t="shared" si="49"/>
        <v>0</v>
      </c>
      <c r="AJ121" s="744">
        <f t="shared" si="50"/>
        <v>533383.41304585338</v>
      </c>
      <c r="AK121" s="134"/>
      <c r="AL121" s="726">
        <f t="shared" si="51"/>
        <v>967550.07971252012</v>
      </c>
      <c r="AM121" s="125" t="s">
        <v>402</v>
      </c>
      <c r="AN121" s="627" t="s">
        <v>402</v>
      </c>
      <c r="AO121" s="125"/>
      <c r="AP121" s="42">
        <v>14327.068527263833</v>
      </c>
      <c r="AQ121" s="42">
        <f t="shared" si="52"/>
        <v>0</v>
      </c>
    </row>
    <row r="122" spans="1:43" ht="13" x14ac:dyDescent="0.3">
      <c r="A122" s="185">
        <v>9257032</v>
      </c>
      <c r="B122" s="38" t="s">
        <v>100</v>
      </c>
      <c r="C122" s="335">
        <v>4</v>
      </c>
      <c r="D122" s="744">
        <f t="shared" si="20"/>
        <v>0</v>
      </c>
      <c r="E122" s="744">
        <f t="shared" si="21"/>
        <v>0</v>
      </c>
      <c r="F122" s="156">
        <f t="shared" si="36"/>
        <v>0</v>
      </c>
      <c r="G122" s="744">
        <f t="shared" si="22"/>
        <v>292300.51595241966</v>
      </c>
      <c r="H122" s="744">
        <f t="shared" si="23"/>
        <v>409220.72233338753</v>
      </c>
      <c r="I122" s="156">
        <f t="shared" si="30"/>
        <v>701521.23828580719</v>
      </c>
      <c r="J122" s="744">
        <f t="shared" si="24"/>
        <v>0</v>
      </c>
      <c r="K122" s="744">
        <f t="shared" si="25"/>
        <v>0</v>
      </c>
      <c r="L122" s="156">
        <f t="shared" si="37"/>
        <v>0</v>
      </c>
      <c r="M122" s="156">
        <f t="shared" si="38"/>
        <v>701521.23828580719</v>
      </c>
      <c r="N122" s="744">
        <f t="shared" si="26"/>
        <v>65876.197229176163</v>
      </c>
      <c r="O122" s="744">
        <f t="shared" si="27"/>
        <v>92226.67612084662</v>
      </c>
      <c r="P122" s="156">
        <f t="shared" si="39"/>
        <v>158102.87335002277</v>
      </c>
      <c r="Q122" s="744">
        <f t="shared" si="28"/>
        <v>0</v>
      </c>
      <c r="R122" s="744">
        <f t="shared" si="29"/>
        <v>0</v>
      </c>
      <c r="S122" s="156">
        <f t="shared" si="40"/>
        <v>0</v>
      </c>
      <c r="T122" s="156">
        <f t="shared" si="41"/>
        <v>158102.87335002277</v>
      </c>
      <c r="U122" s="156">
        <f t="shared" si="42"/>
        <v>859624.11163583002</v>
      </c>
      <c r="V122" s="334">
        <f t="shared" si="43"/>
        <v>60</v>
      </c>
      <c r="W122" s="744">
        <f t="shared" si="44"/>
        <v>14327.068527263833</v>
      </c>
      <c r="X122" s="36"/>
      <c r="Y122" s="94">
        <f t="shared" si="45"/>
        <v>600000</v>
      </c>
      <c r="Z122" s="744">
        <f t="shared" si="31"/>
        <v>0</v>
      </c>
      <c r="AA122" s="744">
        <f t="shared" si="46"/>
        <v>600000</v>
      </c>
      <c r="AB122" s="744">
        <f>VLOOKUP(A122,'Funding Detail - Rebase'!$A$4:$AK$23,32,FALSE)</f>
        <v>1283310.94444716</v>
      </c>
      <c r="AC122" s="744">
        <f t="shared" si="47"/>
        <v>683310.94444716</v>
      </c>
      <c r="AD122" s="744">
        <f t="shared" si="32"/>
        <v>284712.89351965004</v>
      </c>
      <c r="AE122" s="744">
        <f t="shared" si="33"/>
        <v>398598.05092751002</v>
      </c>
      <c r="AF122" s="744">
        <f t="shared" si="48"/>
        <v>683310.94444716</v>
      </c>
      <c r="AG122" s="744">
        <f t="shared" si="34"/>
        <v>0</v>
      </c>
      <c r="AH122" s="744">
        <f t="shared" si="35"/>
        <v>0</v>
      </c>
      <c r="AI122" s="744">
        <f t="shared" si="49"/>
        <v>0</v>
      </c>
      <c r="AJ122" s="744">
        <f t="shared" si="50"/>
        <v>683310.94444716</v>
      </c>
      <c r="AK122" s="134"/>
      <c r="AL122" s="726">
        <f t="shared" si="51"/>
        <v>1283310.94444716</v>
      </c>
      <c r="AM122" s="125" t="s">
        <v>402</v>
      </c>
      <c r="AN122" s="627" t="s">
        <v>402</v>
      </c>
      <c r="AO122" s="125"/>
      <c r="AP122" s="42">
        <v>14327.068527263833</v>
      </c>
      <c r="AQ122" s="42">
        <f t="shared" si="52"/>
        <v>0</v>
      </c>
    </row>
    <row r="123" spans="1:43" ht="13" x14ac:dyDescent="0.3">
      <c r="A123" s="185">
        <v>9257030</v>
      </c>
      <c r="B123" s="38" t="s">
        <v>92</v>
      </c>
      <c r="C123" s="667">
        <v>4</v>
      </c>
      <c r="D123" s="744">
        <f t="shared" si="20"/>
        <v>0</v>
      </c>
      <c r="E123" s="744">
        <f t="shared" si="21"/>
        <v>0</v>
      </c>
      <c r="F123" s="156">
        <f t="shared" si="36"/>
        <v>0</v>
      </c>
      <c r="G123" s="744">
        <f t="shared" si="22"/>
        <v>316658.89228178799</v>
      </c>
      <c r="H123" s="744">
        <f t="shared" si="23"/>
        <v>477424.17605561879</v>
      </c>
      <c r="I123" s="156">
        <f t="shared" si="30"/>
        <v>794083.06833740673</v>
      </c>
      <c r="J123" s="744">
        <f t="shared" si="24"/>
        <v>0</v>
      </c>
      <c r="K123" s="744">
        <f t="shared" si="25"/>
        <v>0</v>
      </c>
      <c r="L123" s="156">
        <f t="shared" si="37"/>
        <v>0</v>
      </c>
      <c r="M123" s="156">
        <f t="shared" si="38"/>
        <v>794083.06833740673</v>
      </c>
      <c r="N123" s="744">
        <f t="shared" si="26"/>
        <v>71365.880331607506</v>
      </c>
      <c r="O123" s="744">
        <f t="shared" si="27"/>
        <v>107597.78880765439</v>
      </c>
      <c r="P123" s="156">
        <f t="shared" si="39"/>
        <v>178963.66913926188</v>
      </c>
      <c r="Q123" s="744">
        <f t="shared" si="28"/>
        <v>0</v>
      </c>
      <c r="R123" s="744">
        <f t="shared" si="29"/>
        <v>0</v>
      </c>
      <c r="S123" s="156">
        <f t="shared" si="40"/>
        <v>0</v>
      </c>
      <c r="T123" s="156">
        <f t="shared" si="41"/>
        <v>178963.66913926188</v>
      </c>
      <c r="U123" s="156">
        <f t="shared" si="42"/>
        <v>973046.73747666855</v>
      </c>
      <c r="V123" s="334">
        <f t="shared" si="43"/>
        <v>67.916666666666671</v>
      </c>
      <c r="W123" s="744">
        <f t="shared" si="44"/>
        <v>14327.068527263831</v>
      </c>
      <c r="X123" s="36"/>
      <c r="Y123" s="94">
        <f t="shared" si="45"/>
        <v>679166.66666666674</v>
      </c>
      <c r="Z123" s="744">
        <f t="shared" si="31"/>
        <v>0</v>
      </c>
      <c r="AA123" s="744">
        <f t="shared" si="46"/>
        <v>679166.66666666674</v>
      </c>
      <c r="AB123" s="744">
        <f>VLOOKUP(A123,'Funding Detail - Rebase'!$A$4:$AK$23,32,FALSE)</f>
        <v>1408754.2776712559</v>
      </c>
      <c r="AC123" s="744">
        <f t="shared" si="47"/>
        <v>729587.61100458913</v>
      </c>
      <c r="AD123" s="744">
        <f t="shared" si="32"/>
        <v>290939.8448791306</v>
      </c>
      <c r="AE123" s="744">
        <f t="shared" si="33"/>
        <v>438647.76612545847</v>
      </c>
      <c r="AF123" s="744">
        <f t="shared" si="48"/>
        <v>729587.61100458913</v>
      </c>
      <c r="AG123" s="744">
        <f t="shared" si="34"/>
        <v>0</v>
      </c>
      <c r="AH123" s="744">
        <f t="shared" si="35"/>
        <v>0</v>
      </c>
      <c r="AI123" s="744">
        <f t="shared" si="49"/>
        <v>0</v>
      </c>
      <c r="AJ123" s="744">
        <f t="shared" si="50"/>
        <v>729587.61100458913</v>
      </c>
      <c r="AK123" s="134"/>
      <c r="AL123" s="726">
        <f t="shared" si="51"/>
        <v>1408754.2776712559</v>
      </c>
      <c r="AM123" s="125" t="s">
        <v>402</v>
      </c>
      <c r="AN123" s="627" t="s">
        <v>402</v>
      </c>
      <c r="AO123" s="125"/>
      <c r="AP123" s="42">
        <v>14327.068527263831</v>
      </c>
      <c r="AQ123" s="42">
        <f t="shared" si="52"/>
        <v>0</v>
      </c>
    </row>
    <row r="124" spans="1:43" ht="13" x14ac:dyDescent="0.3">
      <c r="A124" s="185">
        <v>9257028</v>
      </c>
      <c r="B124" s="38" t="s">
        <v>77</v>
      </c>
      <c r="C124" s="335">
        <v>5</v>
      </c>
      <c r="D124" s="744">
        <f t="shared" si="20"/>
        <v>0</v>
      </c>
      <c r="E124" s="744">
        <f t="shared" si="21"/>
        <v>0</v>
      </c>
      <c r="F124" s="156">
        <f t="shared" si="36"/>
        <v>0</v>
      </c>
      <c r="G124" s="744">
        <f t="shared" si="22"/>
        <v>271946.07414162339</v>
      </c>
      <c r="H124" s="744">
        <f t="shared" si="23"/>
        <v>438192.3534282007</v>
      </c>
      <c r="I124" s="156">
        <f t="shared" si="30"/>
        <v>710138.42756982404</v>
      </c>
      <c r="J124" s="744">
        <f t="shared" si="24"/>
        <v>65677.54243420338</v>
      </c>
      <c r="K124" s="744">
        <f t="shared" si="25"/>
        <v>147774.47047695759</v>
      </c>
      <c r="L124" s="156">
        <f t="shared" si="37"/>
        <v>213452.01291116097</v>
      </c>
      <c r="M124" s="156">
        <f t="shared" si="38"/>
        <v>923590.44048098498</v>
      </c>
      <c r="N124" s="744">
        <f t="shared" si="26"/>
        <v>13932.970352931392</v>
      </c>
      <c r="O124" s="744">
        <f t="shared" si="27"/>
        <v>22450.48430453473</v>
      </c>
      <c r="P124" s="156">
        <f t="shared" si="39"/>
        <v>36383.454657466122</v>
      </c>
      <c r="Q124" s="744">
        <f t="shared" si="28"/>
        <v>3364.9437833494676</v>
      </c>
      <c r="R124" s="744">
        <f t="shared" si="29"/>
        <v>7571.1235125363028</v>
      </c>
      <c r="S124" s="156">
        <f t="shared" si="40"/>
        <v>10936.06729588577</v>
      </c>
      <c r="T124" s="156">
        <f t="shared" si="41"/>
        <v>47319.52195335189</v>
      </c>
      <c r="U124" s="156">
        <f t="shared" si="42"/>
        <v>970909.96243433689</v>
      </c>
      <c r="V124" s="334">
        <f t="shared" si="43"/>
        <v>75</v>
      </c>
      <c r="W124" s="744">
        <f t="shared" si="44"/>
        <v>12945.466165791158</v>
      </c>
      <c r="X124" s="36"/>
      <c r="Y124" s="94">
        <f t="shared" si="45"/>
        <v>576666.66666666674</v>
      </c>
      <c r="Z124" s="744">
        <f t="shared" si="31"/>
        <v>173333.33333333331</v>
      </c>
      <c r="AA124" s="744">
        <f t="shared" si="46"/>
        <v>750000</v>
      </c>
      <c r="AB124" s="744">
        <f>VLOOKUP(A124,'Funding Detail - Rebase'!$A$4:$AK$23,32,FALSE)</f>
        <v>1514063.2689757275</v>
      </c>
      <c r="AC124" s="744">
        <f t="shared" si="47"/>
        <v>764063.26897572749</v>
      </c>
      <c r="AD124" s="744">
        <f t="shared" si="32"/>
        <v>224974.18475396419</v>
      </c>
      <c r="AE124" s="744">
        <f t="shared" si="33"/>
        <v>362505.5731695951</v>
      </c>
      <c r="AF124" s="744">
        <f t="shared" si="48"/>
        <v>587479.75792355929</v>
      </c>
      <c r="AG124" s="744">
        <f t="shared" si="34"/>
        <v>54333.388016051729</v>
      </c>
      <c r="AH124" s="744">
        <f t="shared" si="35"/>
        <v>122250.12303611639</v>
      </c>
      <c r="AI124" s="744">
        <f t="shared" si="49"/>
        <v>176583.51105216812</v>
      </c>
      <c r="AJ124" s="744">
        <f t="shared" si="50"/>
        <v>764063.26897572738</v>
      </c>
      <c r="AK124" s="134"/>
      <c r="AL124" s="726">
        <f t="shared" si="51"/>
        <v>1514063.2689757275</v>
      </c>
      <c r="AM124" s="125" t="s">
        <v>402</v>
      </c>
      <c r="AN124" s="627" t="s">
        <v>402</v>
      </c>
      <c r="AO124" s="125"/>
      <c r="AP124" s="42">
        <v>10855.270293410516</v>
      </c>
      <c r="AQ124" s="42">
        <f t="shared" si="52"/>
        <v>2090.195872380642</v>
      </c>
    </row>
    <row r="125" spans="1:43" ht="13" x14ac:dyDescent="0.3">
      <c r="A125" s="185">
        <v>9257021</v>
      </c>
      <c r="B125" s="38" t="s">
        <v>78</v>
      </c>
      <c r="C125" s="667">
        <v>5</v>
      </c>
      <c r="D125" s="744">
        <f t="shared" si="20"/>
        <v>0</v>
      </c>
      <c r="E125" s="744">
        <f t="shared" si="21"/>
        <v>0</v>
      </c>
      <c r="F125" s="156">
        <f t="shared" si="36"/>
        <v>0</v>
      </c>
      <c r="G125" s="744">
        <f t="shared" si="22"/>
        <v>480251.68099481857</v>
      </c>
      <c r="H125" s="744">
        <f t="shared" si="23"/>
        <v>676718.2777654262</v>
      </c>
      <c r="I125" s="156">
        <f t="shared" si="30"/>
        <v>1156969.9587602448</v>
      </c>
      <c r="J125" s="744">
        <f t="shared" si="24"/>
        <v>0</v>
      </c>
      <c r="K125" s="744">
        <f t="shared" si="25"/>
        <v>9979.2557089832408</v>
      </c>
      <c r="L125" s="156">
        <f t="shared" si="37"/>
        <v>9979.2557089832408</v>
      </c>
      <c r="M125" s="156">
        <f t="shared" si="38"/>
        <v>1166949.2144692279</v>
      </c>
      <c r="N125" s="744">
        <f t="shared" si="26"/>
        <v>23814.399937307815</v>
      </c>
      <c r="O125" s="744">
        <f t="shared" si="27"/>
        <v>33556.654457115561</v>
      </c>
      <c r="P125" s="156">
        <f t="shared" si="39"/>
        <v>57371.05439442338</v>
      </c>
      <c r="Q125" s="744">
        <f t="shared" si="28"/>
        <v>0</v>
      </c>
      <c r="R125" s="744">
        <f t="shared" si="29"/>
        <v>494.8446740219805</v>
      </c>
      <c r="S125" s="156">
        <f t="shared" si="40"/>
        <v>494.8446740219805</v>
      </c>
      <c r="T125" s="156">
        <f t="shared" si="41"/>
        <v>57865.89906844536</v>
      </c>
      <c r="U125" s="156">
        <f t="shared" si="42"/>
        <v>1224815.1135376734</v>
      </c>
      <c r="V125" s="334">
        <f t="shared" si="43"/>
        <v>155.91666666666669</v>
      </c>
      <c r="W125" s="744">
        <f t="shared" si="44"/>
        <v>7855.5752872539169</v>
      </c>
      <c r="X125" s="36"/>
      <c r="Y125" s="94">
        <f t="shared" si="45"/>
        <v>1545833.3333333335</v>
      </c>
      <c r="Z125" s="744">
        <f t="shared" si="31"/>
        <v>13333.333333333332</v>
      </c>
      <c r="AA125" s="744">
        <f t="shared" si="46"/>
        <v>1559166.6666666667</v>
      </c>
      <c r="AB125" s="744">
        <f>VLOOKUP(A125,'Funding Detail - Rebase'!$A$4:$AK$23,32,FALSE)</f>
        <v>1791389.8549343217</v>
      </c>
      <c r="AC125" s="744">
        <f t="shared" si="47"/>
        <v>232223.18826765497</v>
      </c>
      <c r="AD125" s="744">
        <f t="shared" si="32"/>
        <v>95570.205754192561</v>
      </c>
      <c r="AE125" s="744">
        <f t="shared" si="33"/>
        <v>134667.10810818043</v>
      </c>
      <c r="AF125" s="744">
        <f t="shared" si="48"/>
        <v>230237.313862373</v>
      </c>
      <c r="AG125" s="744">
        <f t="shared" si="34"/>
        <v>0</v>
      </c>
      <c r="AH125" s="744">
        <f t="shared" si="35"/>
        <v>1985.8744052819236</v>
      </c>
      <c r="AI125" s="744">
        <f t="shared" si="49"/>
        <v>1985.8744052819236</v>
      </c>
      <c r="AJ125" s="744">
        <f t="shared" si="50"/>
        <v>232223.18826765491</v>
      </c>
      <c r="AK125" s="134"/>
      <c r="AL125" s="726">
        <f t="shared" si="51"/>
        <v>1791389.8549343215</v>
      </c>
      <c r="AM125" s="125" t="s">
        <v>402</v>
      </c>
      <c r="AN125" s="627" t="s">
        <v>402</v>
      </c>
      <c r="AO125" s="125"/>
      <c r="AP125" s="42">
        <v>7721.5167598965245</v>
      </c>
      <c r="AQ125" s="42">
        <f t="shared" si="52"/>
        <v>134.05852735739245</v>
      </c>
    </row>
    <row r="126" spans="1:43" ht="13" x14ac:dyDescent="0.3">
      <c r="A126" s="131">
        <v>9257015</v>
      </c>
      <c r="B126" s="38" t="s">
        <v>55</v>
      </c>
      <c r="C126" s="335">
        <v>6</v>
      </c>
      <c r="D126" s="744">
        <f t="shared" si="20"/>
        <v>0</v>
      </c>
      <c r="E126" s="744">
        <f t="shared" si="21"/>
        <v>0</v>
      </c>
      <c r="F126" s="156">
        <f t="shared" si="36"/>
        <v>0</v>
      </c>
      <c r="G126" s="744">
        <f t="shared" si="22"/>
        <v>806896.63120506029</v>
      </c>
      <c r="H126" s="744">
        <f t="shared" si="23"/>
        <v>1000797.2665364664</v>
      </c>
      <c r="I126" s="156">
        <f t="shared" si="30"/>
        <v>1807693.8977415268</v>
      </c>
      <c r="J126" s="744">
        <f t="shared" si="24"/>
        <v>46634.330016414126</v>
      </c>
      <c r="K126" s="744">
        <f t="shared" si="25"/>
        <v>137448.55162732583</v>
      </c>
      <c r="L126" s="156">
        <f t="shared" si="37"/>
        <v>184082.88164373994</v>
      </c>
      <c r="M126" s="156">
        <f t="shared" si="38"/>
        <v>1991776.7793852668</v>
      </c>
      <c r="N126" s="744">
        <f t="shared" si="26"/>
        <v>18629.505237928312</v>
      </c>
      <c r="O126" s="744">
        <f t="shared" si="27"/>
        <v>23106.253264685231</v>
      </c>
      <c r="P126" s="156">
        <f t="shared" si="39"/>
        <v>41735.758502613542</v>
      </c>
      <c r="Q126" s="744">
        <f t="shared" si="28"/>
        <v>1076.6862342833092</v>
      </c>
      <c r="R126" s="744">
        <f t="shared" si="29"/>
        <v>3173.391006308701</v>
      </c>
      <c r="S126" s="156">
        <f t="shared" si="40"/>
        <v>4250.0772405920106</v>
      </c>
      <c r="T126" s="156">
        <f t="shared" si="41"/>
        <v>45985.835743205549</v>
      </c>
      <c r="U126" s="156">
        <f t="shared" si="42"/>
        <v>2037762.6151284724</v>
      </c>
      <c r="V126" s="334">
        <f t="shared" si="43"/>
        <v>270.50000000000006</v>
      </c>
      <c r="W126" s="744">
        <f t="shared" si="44"/>
        <v>7533.3183553732788</v>
      </c>
      <c r="X126" s="36"/>
      <c r="Y126" s="94">
        <f t="shared" si="45"/>
        <v>2455000</v>
      </c>
      <c r="Z126" s="744">
        <f t="shared" si="31"/>
        <v>250000</v>
      </c>
      <c r="AA126" s="744">
        <f t="shared" si="46"/>
        <v>2705000</v>
      </c>
      <c r="AB126" s="744">
        <f>VLOOKUP(A126,'Funding Detail - Rebase'!$A$4:$AK$23,32,FALSE)</f>
        <v>2705000.0000000005</v>
      </c>
      <c r="AC126" s="744">
        <f t="shared" si="47"/>
        <v>0</v>
      </c>
      <c r="AD126" s="744">
        <f t="shared" si="32"/>
        <v>0</v>
      </c>
      <c r="AE126" s="744">
        <f t="shared" si="33"/>
        <v>0</v>
      </c>
      <c r="AF126" s="744">
        <f t="shared" si="48"/>
        <v>0</v>
      </c>
      <c r="AG126" s="744">
        <f t="shared" si="34"/>
        <v>0</v>
      </c>
      <c r="AH126" s="744">
        <f t="shared" si="35"/>
        <v>0</v>
      </c>
      <c r="AI126" s="744">
        <f t="shared" si="49"/>
        <v>0</v>
      </c>
      <c r="AJ126" s="744">
        <f t="shared" si="50"/>
        <v>0</v>
      </c>
      <c r="AK126" s="134"/>
      <c r="AL126" s="726">
        <f t="shared" si="51"/>
        <v>2705000</v>
      </c>
      <c r="AM126" s="125" t="s">
        <v>402</v>
      </c>
      <c r="AN126" s="627" t="s">
        <v>402</v>
      </c>
      <c r="AO126" s="125"/>
      <c r="AP126" s="42">
        <v>7340.1394392567681</v>
      </c>
      <c r="AQ126" s="42">
        <f t="shared" si="52"/>
        <v>193.17891611651066</v>
      </c>
    </row>
    <row r="127" spans="1:43" ht="13" x14ac:dyDescent="0.3">
      <c r="A127" s="185">
        <v>9257016</v>
      </c>
      <c r="B127" s="38" t="s">
        <v>80</v>
      </c>
      <c r="C127" s="335">
        <v>6</v>
      </c>
      <c r="D127" s="744">
        <f t="shared" si="20"/>
        <v>0</v>
      </c>
      <c r="E127" s="744">
        <f t="shared" si="21"/>
        <v>0</v>
      </c>
      <c r="F127" s="156">
        <f t="shared" si="36"/>
        <v>0</v>
      </c>
      <c r="G127" s="744">
        <f t="shared" si="22"/>
        <v>517147.33432853973</v>
      </c>
      <c r="H127" s="744">
        <f t="shared" si="23"/>
        <v>664294.41090037173</v>
      </c>
      <c r="I127" s="156">
        <f t="shared" si="30"/>
        <v>1181441.7452289115</v>
      </c>
      <c r="J127" s="744">
        <f t="shared" si="24"/>
        <v>230317.16332982387</v>
      </c>
      <c r="K127" s="744">
        <f t="shared" si="25"/>
        <v>486225.12258518377</v>
      </c>
      <c r="L127" s="156">
        <f t="shared" si="37"/>
        <v>716542.28591500758</v>
      </c>
      <c r="M127" s="156">
        <f>I127+L127</f>
        <v>1897984.0311439191</v>
      </c>
      <c r="N127" s="744">
        <f t="shared" si="26"/>
        <v>0</v>
      </c>
      <c r="O127" s="744">
        <f t="shared" si="27"/>
        <v>0</v>
      </c>
      <c r="P127" s="156">
        <f t="shared" si="39"/>
        <v>0</v>
      </c>
      <c r="Q127" s="744">
        <f t="shared" si="28"/>
        <v>0</v>
      </c>
      <c r="R127" s="744">
        <f t="shared" si="29"/>
        <v>0</v>
      </c>
      <c r="S127" s="156">
        <f t="shared" si="40"/>
        <v>0</v>
      </c>
      <c r="T127" s="156">
        <f t="shared" si="41"/>
        <v>0</v>
      </c>
      <c r="U127" s="156">
        <f t="shared" si="42"/>
        <v>1897984.0311439191</v>
      </c>
      <c r="V127" s="334">
        <f t="shared" si="43"/>
        <v>148.33333333333334</v>
      </c>
      <c r="W127" s="744">
        <f t="shared" si="44"/>
        <v>12795.397962767993</v>
      </c>
      <c r="X127" s="36"/>
      <c r="Y127" s="94">
        <f t="shared" si="45"/>
        <v>923333.33333333337</v>
      </c>
      <c r="Z127" s="744">
        <f t="shared" si="31"/>
        <v>560000</v>
      </c>
      <c r="AA127" s="744">
        <f t="shared" si="46"/>
        <v>1483333.3333333335</v>
      </c>
      <c r="AB127" s="744">
        <f>VLOOKUP(A127,'Funding Detail - Rebase'!$A$4:$AK$23,32,FALSE)</f>
        <v>2537246.4388952428</v>
      </c>
      <c r="AC127" s="744">
        <f t="shared" si="47"/>
        <v>1053913.1055619093</v>
      </c>
      <c r="AD127" s="744">
        <f t="shared" si="32"/>
        <v>287161.71696490218</v>
      </c>
      <c r="AE127" s="744">
        <f t="shared" si="33"/>
        <v>368869.58694666822</v>
      </c>
      <c r="AF127" s="744">
        <f t="shared" si="48"/>
        <v>656031.30391157046</v>
      </c>
      <c r="AG127" s="744">
        <f t="shared" si="34"/>
        <v>127890.5791018946</v>
      </c>
      <c r="AH127" s="744">
        <f t="shared" si="35"/>
        <v>269991.22254844417</v>
      </c>
      <c r="AI127" s="744">
        <f t="shared" si="49"/>
        <v>397881.80165033881</v>
      </c>
      <c r="AJ127" s="744">
        <f t="shared" si="50"/>
        <v>1053913.1055619093</v>
      </c>
      <c r="AK127" s="134"/>
      <c r="AL127" s="726">
        <f t="shared" si="51"/>
        <v>2537246.4388952428</v>
      </c>
      <c r="AM127" s="125" t="s">
        <v>402</v>
      </c>
      <c r="AN127" s="627" t="s">
        <v>402</v>
      </c>
      <c r="AO127" s="125"/>
      <c r="AP127" s="42">
        <v>10118.068418370316</v>
      </c>
      <c r="AQ127" s="42">
        <f t="shared" si="52"/>
        <v>2677.3295443976767</v>
      </c>
    </row>
    <row r="128" spans="1:43" x14ac:dyDescent="0.25">
      <c r="V128" s="347"/>
    </row>
    <row r="129" spans="4:38" ht="13" thickBot="1" x14ac:dyDescent="0.3">
      <c r="D129" s="70">
        <f>SUM(D110:D127)</f>
        <v>0</v>
      </c>
      <c r="E129" s="70">
        <f t="shared" ref="E129:S129" si="53">SUM(E110:E127)</f>
        <v>0</v>
      </c>
      <c r="F129" s="70">
        <f t="shared" si="53"/>
        <v>0</v>
      </c>
      <c r="G129" s="70">
        <f t="shared" si="53"/>
        <v>5830610.5456856797</v>
      </c>
      <c r="H129" s="70">
        <f t="shared" si="53"/>
        <v>8348577.9792145481</v>
      </c>
      <c r="I129" s="70">
        <f t="shared" si="53"/>
        <v>14179188.524900228</v>
      </c>
      <c r="J129" s="70">
        <f t="shared" si="53"/>
        <v>671926.58694443735</v>
      </c>
      <c r="K129" s="70">
        <f t="shared" si="53"/>
        <v>1513272.2995472546</v>
      </c>
      <c r="L129" s="70">
        <f t="shared" si="53"/>
        <v>2185198.8864916917</v>
      </c>
      <c r="M129" s="70">
        <f>SUM(M110:M127)</f>
        <v>16364387.411391921</v>
      </c>
      <c r="N129" s="70">
        <f t="shared" si="53"/>
        <v>452955.54214894661</v>
      </c>
      <c r="O129" s="70">
        <f t="shared" si="53"/>
        <v>658735.37052841939</v>
      </c>
      <c r="P129" s="70">
        <f t="shared" si="53"/>
        <v>1111690.9126773661</v>
      </c>
      <c r="Q129" s="70">
        <f t="shared" si="53"/>
        <v>19253.253359859609</v>
      </c>
      <c r="R129" s="70">
        <f t="shared" si="53"/>
        <v>45568.907694155903</v>
      </c>
      <c r="S129" s="70">
        <f t="shared" si="53"/>
        <v>64822.161054015509</v>
      </c>
      <c r="T129" s="70">
        <f>SUM(T110:T127)</f>
        <v>1176513.0737313814</v>
      </c>
      <c r="U129" s="70">
        <f>SUM(U110:U127)</f>
        <v>17540900.485123299</v>
      </c>
      <c r="V129" s="250">
        <f>SUM(V110:V127)</f>
        <v>1741.9166666666667</v>
      </c>
      <c r="W129" s="70">
        <f>AVERAGE(W110:W127)</f>
        <v>10935.114288969518</v>
      </c>
      <c r="Y129" s="730">
        <f>SUM(Y110:Y127)</f>
        <v>15349166.666666668</v>
      </c>
      <c r="Z129" s="730">
        <f t="shared" ref="Z129:AL129" si="54">SUM(Z110:Z127)</f>
        <v>2069999.9999999998</v>
      </c>
      <c r="AA129" s="729">
        <f t="shared" si="54"/>
        <v>17419166.666666664</v>
      </c>
      <c r="AB129" s="729">
        <f t="shared" si="54"/>
        <v>26519588.730793703</v>
      </c>
      <c r="AC129" s="729">
        <f t="shared" si="54"/>
        <v>9100422.0641270354</v>
      </c>
      <c r="AD129" s="729">
        <f t="shared" si="54"/>
        <v>3156148.874205654</v>
      </c>
      <c r="AE129" s="729">
        <f t="shared" si="54"/>
        <v>4617962.4070101054</v>
      </c>
      <c r="AF129" s="729">
        <f t="shared" si="54"/>
        <v>7774111.2812157599</v>
      </c>
      <c r="AG129" s="729">
        <f t="shared" si="54"/>
        <v>411710.16363792156</v>
      </c>
      <c r="AH129" s="729">
        <f t="shared" si="54"/>
        <v>914600.6192733522</v>
      </c>
      <c r="AI129" s="729">
        <f t="shared" si="54"/>
        <v>1326310.7829112737</v>
      </c>
      <c r="AJ129" s="729">
        <f t="shared" si="54"/>
        <v>9100422.0641270336</v>
      </c>
      <c r="AK129" s="642"/>
      <c r="AL129" s="729">
        <f t="shared" si="54"/>
        <v>26519588.7307937</v>
      </c>
    </row>
    <row r="131" spans="4:38" x14ac:dyDescent="0.25">
      <c r="D131" s="627" t="s">
        <v>402</v>
      </c>
      <c r="E131" s="627" t="s">
        <v>402</v>
      </c>
      <c r="F131" s="627" t="s">
        <v>402</v>
      </c>
      <c r="G131" s="627" t="s">
        <v>402</v>
      </c>
      <c r="H131" s="627" t="s">
        <v>402</v>
      </c>
      <c r="I131" s="627" t="s">
        <v>402</v>
      </c>
      <c r="J131" s="627" t="s">
        <v>402</v>
      </c>
      <c r="K131" s="627" t="s">
        <v>402</v>
      </c>
      <c r="L131" s="627" t="s">
        <v>402</v>
      </c>
      <c r="M131" s="627" t="s">
        <v>402</v>
      </c>
      <c r="N131" s="627" t="s">
        <v>402</v>
      </c>
      <c r="O131" s="627" t="s">
        <v>402</v>
      </c>
      <c r="P131" s="627" t="s">
        <v>402</v>
      </c>
      <c r="Q131" s="627" t="s">
        <v>402</v>
      </c>
      <c r="R131" s="627" t="s">
        <v>402</v>
      </c>
      <c r="S131" s="627" t="s">
        <v>402</v>
      </c>
      <c r="T131" s="627" t="s">
        <v>402</v>
      </c>
      <c r="U131" s="627" t="s">
        <v>402</v>
      </c>
      <c r="V131" s="627" t="s">
        <v>402</v>
      </c>
      <c r="W131" s="627" t="s">
        <v>402</v>
      </c>
      <c r="Y131" s="627" t="s">
        <v>402</v>
      </c>
      <c r="Z131" s="627" t="s">
        <v>402</v>
      </c>
      <c r="AA131" s="627" t="s">
        <v>402</v>
      </c>
      <c r="AB131" s="627" t="s">
        <v>402</v>
      </c>
      <c r="AC131" s="627" t="s">
        <v>402</v>
      </c>
      <c r="AD131" s="627" t="s">
        <v>402</v>
      </c>
      <c r="AE131" s="627" t="s">
        <v>402</v>
      </c>
      <c r="AF131" s="627" t="s">
        <v>402</v>
      </c>
      <c r="AG131" s="627" t="s">
        <v>402</v>
      </c>
      <c r="AH131" s="627" t="s">
        <v>402</v>
      </c>
      <c r="AI131" s="627" t="s">
        <v>402</v>
      </c>
      <c r="AJ131" s="627" t="s">
        <v>402</v>
      </c>
      <c r="AK131" s="627"/>
      <c r="AL131" s="627" t="s">
        <v>402</v>
      </c>
    </row>
  </sheetData>
  <mergeCells count="19">
    <mergeCell ref="P4:Q4"/>
    <mergeCell ref="U4:W4"/>
    <mergeCell ref="D108:F108"/>
    <mergeCell ref="G108:I108"/>
    <mergeCell ref="J108:L108"/>
    <mergeCell ref="N108:P108"/>
    <mergeCell ref="Q108:S108"/>
    <mergeCell ref="V8:AB10"/>
    <mergeCell ref="V11:AB16"/>
    <mergeCell ref="M26:N26"/>
    <mergeCell ref="P48:Q48"/>
    <mergeCell ref="M70:N70"/>
    <mergeCell ref="AP108:AP109"/>
    <mergeCell ref="AP107:AQ107"/>
    <mergeCell ref="S1:S4"/>
    <mergeCell ref="U1:W1"/>
    <mergeCell ref="U2:W2"/>
    <mergeCell ref="U3:W3"/>
    <mergeCell ref="AL108:AL109"/>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34"/>
  <sheetViews>
    <sheetView topLeftCell="A91" workbookViewId="0">
      <selection activeCell="Q125" sqref="Q125"/>
    </sheetView>
  </sheetViews>
  <sheetFormatPr defaultColWidth="9.1796875" defaultRowHeight="12.5" x14ac:dyDescent="0.25"/>
  <cols>
    <col min="1" max="1" width="9.1796875" style="6"/>
    <col min="2" max="2" width="33.81640625" style="6" customWidth="1"/>
    <col min="3" max="3" width="9.1796875" style="6" customWidth="1"/>
    <col min="4" max="4" width="9.1796875" style="6"/>
    <col min="5" max="5" width="9.1796875" style="46"/>
    <col min="6" max="11" width="9.54296875" style="46" bestFit="1" customWidth="1"/>
    <col min="12" max="15" width="9.1796875" style="46"/>
    <col min="16" max="18" width="9.1796875" style="6"/>
    <col min="19" max="19" width="10" style="6" customWidth="1"/>
    <col min="20" max="22" width="9.1796875" style="6"/>
    <col min="23" max="23" width="10.453125" style="6" customWidth="1"/>
    <col min="24" max="16384" width="9.1796875" style="6"/>
  </cols>
  <sheetData>
    <row r="2" spans="2:17" x14ac:dyDescent="0.25">
      <c r="B2" s="90" t="s">
        <v>117</v>
      </c>
    </row>
    <row r="4" spans="2:17" ht="39" x14ac:dyDescent="0.25">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745" t="s">
        <v>261</v>
      </c>
    </row>
    <row r="5" spans="2:17" ht="12.75" customHeight="1" x14ac:dyDescent="0.25">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5">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5">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5">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5">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5">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5">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5">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5">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5">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5">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5">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5">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5">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5">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5">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5">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5">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5">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3">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5">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5">
      <c r="Q26" s="46"/>
    </row>
    <row r="27" spans="1:23" ht="12.75" customHeight="1" x14ac:dyDescent="0.25">
      <c r="B27" s="1" t="s">
        <v>254</v>
      </c>
      <c r="Q27" s="46"/>
    </row>
    <row r="28" spans="1:23" x14ac:dyDescent="0.25">
      <c r="Q28" s="46"/>
    </row>
    <row r="29" spans="1:23" ht="39" x14ac:dyDescent="0.25">
      <c r="B29" s="95" t="s">
        <v>66</v>
      </c>
      <c r="C29" s="95" t="s">
        <v>118</v>
      </c>
      <c r="D29" s="96" t="s">
        <v>51</v>
      </c>
      <c r="E29" s="97" t="s">
        <v>255</v>
      </c>
      <c r="F29" s="98" t="s">
        <v>265</v>
      </c>
      <c r="G29" s="99" t="s">
        <v>266</v>
      </c>
      <c r="H29" s="98" t="s">
        <v>267</v>
      </c>
      <c r="I29" s="99" t="s">
        <v>257</v>
      </c>
      <c r="J29" s="98" t="s">
        <v>268</v>
      </c>
      <c r="K29" s="99" t="s">
        <v>269</v>
      </c>
      <c r="L29" s="98" t="s">
        <v>270</v>
      </c>
      <c r="M29" s="99" t="s">
        <v>271</v>
      </c>
      <c r="N29" s="747" t="s">
        <v>631</v>
      </c>
      <c r="O29" s="99" t="s">
        <v>682</v>
      </c>
      <c r="P29" s="100" t="s">
        <v>272</v>
      </c>
      <c r="Q29" s="101" t="s">
        <v>273</v>
      </c>
      <c r="S29" s="745" t="s">
        <v>261</v>
      </c>
      <c r="U29" s="224" t="s">
        <v>104</v>
      </c>
      <c r="V29" s="226" t="s">
        <v>262</v>
      </c>
      <c r="W29" s="225" t="s">
        <v>263</v>
      </c>
    </row>
    <row r="30" spans="1:23" x14ac:dyDescent="0.25">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48">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5">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48">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5">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48">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5">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48">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5">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48">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5">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48">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5">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48">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5">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48">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5">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48">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5">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48">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5">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48">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5">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48">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5">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48">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5">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48">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5">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48">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5">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48">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5">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48">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5">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48">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ht="13" x14ac:dyDescent="0.3">
      <c r="B48" s="114" t="s">
        <v>62</v>
      </c>
      <c r="C48" s="114"/>
      <c r="D48" s="114"/>
      <c r="E48" s="115">
        <f>SUM(E30:E47)</f>
        <v>1607</v>
      </c>
      <c r="F48" s="116">
        <f>SUM(F30:F47)</f>
        <v>154</v>
      </c>
      <c r="G48" s="117"/>
      <c r="H48" s="116">
        <f>SUM(H30:H47)</f>
        <v>300</v>
      </c>
      <c r="I48" s="118"/>
      <c r="J48" s="116">
        <f>SUM(J30:J47)</f>
        <v>620</v>
      </c>
      <c r="K48" s="118"/>
      <c r="L48" s="116">
        <f>SUM(L30:L47)</f>
        <v>19</v>
      </c>
      <c r="M48" s="118"/>
      <c r="N48" s="749">
        <f>SUM(N30:N47)</f>
        <v>100</v>
      </c>
      <c r="O48" s="118"/>
      <c r="P48" s="119">
        <f>SUM(P30:P47)</f>
        <v>414</v>
      </c>
      <c r="Q48" s="120"/>
      <c r="V48" s="227"/>
    </row>
    <row r="49" spans="2:23" ht="13" thickBot="1" x14ac:dyDescent="0.3">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2" spans="2:23" x14ac:dyDescent="0.25">
      <c r="B52" s="1969" t="s">
        <v>264</v>
      </c>
      <c r="C52" s="1969"/>
      <c r="D52" s="1969"/>
      <c r="E52" s="1969"/>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x14ac:dyDescent="0.25">
      <c r="P53" s="46"/>
    </row>
    <row r="54" spans="2:23" x14ac:dyDescent="0.25">
      <c r="F54" s="219">
        <v>11692.020638096787</v>
      </c>
      <c r="H54" s="219">
        <v>7350.1419469065795</v>
      </c>
      <c r="J54" s="219">
        <v>6243.7244928897762</v>
      </c>
      <c r="L54" s="219">
        <v>11692.020638096787</v>
      </c>
      <c r="N54" s="42">
        <v>22143</v>
      </c>
      <c r="P54" s="219">
        <v>11692.020638096787</v>
      </c>
    </row>
    <row r="55" spans="2:23" x14ac:dyDescent="0.25">
      <c r="P55" s="46"/>
    </row>
    <row r="56" spans="2:23" x14ac:dyDescent="0.25">
      <c r="P56" s="42">
        <v>2635.0478891670464</v>
      </c>
    </row>
    <row r="58" spans="2:23" x14ac:dyDescent="0.25">
      <c r="B58" s="1"/>
      <c r="F58" s="672" t="s">
        <v>2</v>
      </c>
      <c r="G58" s="672" t="s">
        <v>3</v>
      </c>
      <c r="H58" s="672" t="s">
        <v>5</v>
      </c>
      <c r="I58" s="672" t="s">
        <v>7</v>
      </c>
      <c r="J58" s="672" t="s">
        <v>8</v>
      </c>
      <c r="K58" s="672" t="s">
        <v>631</v>
      </c>
    </row>
    <row r="59" spans="2:23" x14ac:dyDescent="0.25">
      <c r="B59" s="245"/>
      <c r="F59" s="753">
        <f>'Band Calculations 1718'!D6</f>
        <v>0.40476190476190477</v>
      </c>
      <c r="G59" s="753">
        <f>'Band Calculations 1718'!E6</f>
        <v>0.2857142857142857</v>
      </c>
      <c r="H59" s="753">
        <f>'Band Calculations 1718'!F6</f>
        <v>0.11904761904761904</v>
      </c>
      <c r="I59" s="753">
        <f>'Band Calculations 1718'!G6</f>
        <v>0.11904761904761904</v>
      </c>
      <c r="J59" s="753">
        <f>'Band Calculations 1718'!H6</f>
        <v>7.1428571428571425E-2</v>
      </c>
      <c r="K59" s="753">
        <f>'Band Calculations 1718'!I6</f>
        <v>0</v>
      </c>
      <c r="L59" s="753"/>
    </row>
    <row r="60" spans="2:23" x14ac:dyDescent="0.25">
      <c r="B60" s="754" t="s">
        <v>67</v>
      </c>
      <c r="D60" s="612" t="s">
        <v>686</v>
      </c>
      <c r="E60" s="755">
        <f>'Band Calculations - Rebase'!V110</f>
        <v>50.333333333333343</v>
      </c>
      <c r="F60" s="756">
        <f t="shared" ref="F60:K60" si="17">$E$60*F59</f>
        <v>20.373015873015877</v>
      </c>
      <c r="G60" s="756">
        <f t="shared" si="17"/>
        <v>14.380952380952383</v>
      </c>
      <c r="H60" s="756">
        <f t="shared" si="17"/>
        <v>5.992063492063493</v>
      </c>
      <c r="I60" s="756">
        <f t="shared" si="17"/>
        <v>5.992063492063493</v>
      </c>
      <c r="J60" s="756">
        <f t="shared" si="17"/>
        <v>3.5952380952380958</v>
      </c>
      <c r="K60" s="756">
        <f t="shared" si="17"/>
        <v>0</v>
      </c>
      <c r="L60" s="755"/>
      <c r="M60" s="757"/>
    </row>
    <row r="61" spans="2:23" x14ac:dyDescent="0.25">
      <c r="D61" s="612" t="s">
        <v>687</v>
      </c>
      <c r="E61" s="755">
        <f>E60</f>
        <v>50.333333333333343</v>
      </c>
      <c r="F61" s="756">
        <f>F60-(K61-I60)</f>
        <v>18.365079365079371</v>
      </c>
      <c r="G61" s="756">
        <f>G60</f>
        <v>14.380952380952383</v>
      </c>
      <c r="H61" s="756">
        <f>H60</f>
        <v>5.992063492063493</v>
      </c>
      <c r="I61" s="46">
        <v>0</v>
      </c>
      <c r="J61" s="756">
        <f>J60</f>
        <v>3.5952380952380958</v>
      </c>
      <c r="K61" s="46">
        <v>8</v>
      </c>
      <c r="L61" s="755"/>
      <c r="M61" s="757"/>
    </row>
    <row r="62" spans="2:23" x14ac:dyDescent="0.25">
      <c r="F62" s="222">
        <f t="shared" ref="F62:K62" si="18">F61/$E$61</f>
        <v>0.36486912645853048</v>
      </c>
      <c r="G62" s="222">
        <f t="shared" si="18"/>
        <v>0.2857142857142857</v>
      </c>
      <c r="H62" s="222">
        <f t="shared" si="18"/>
        <v>0.11904761904761904</v>
      </c>
      <c r="I62" s="222">
        <f t="shared" si="18"/>
        <v>0</v>
      </c>
      <c r="J62" s="222">
        <f t="shared" si="18"/>
        <v>7.1428571428571425E-2</v>
      </c>
      <c r="K62" s="222">
        <f t="shared" si="18"/>
        <v>0.15894039735099336</v>
      </c>
      <c r="M62" s="222">
        <f>SUM(F62:K62)</f>
        <v>1</v>
      </c>
    </row>
    <row r="64" spans="2:23" x14ac:dyDescent="0.25">
      <c r="F64" s="753">
        <f>'Band Calculations 1718'!D7</f>
        <v>0.13157894736842105</v>
      </c>
      <c r="G64" s="753">
        <f>'Band Calculations 1718'!E7</f>
        <v>0.35526315789473684</v>
      </c>
      <c r="H64" s="753">
        <f>'Band Calculations 1718'!F7</f>
        <v>0.17105263157894737</v>
      </c>
      <c r="I64" s="753">
        <f>'Band Calculations 1718'!G7</f>
        <v>0.14473684210526316</v>
      </c>
      <c r="J64" s="753">
        <f>'Band Calculations 1718'!H7</f>
        <v>0.19736842105263158</v>
      </c>
      <c r="K64" s="753">
        <f>'Band Calculations 1718'!I7</f>
        <v>0</v>
      </c>
    </row>
    <row r="65" spans="2:13" s="6" customFormat="1" x14ac:dyDescent="0.25">
      <c r="B65" s="102" t="s">
        <v>68</v>
      </c>
      <c r="D65" s="612" t="s">
        <v>686</v>
      </c>
      <c r="E65" s="755">
        <f>SUM('Band Calculations - Rebase'!V111)</f>
        <v>74.666666666666657</v>
      </c>
      <c r="F65" s="756">
        <f t="shared" ref="F65:K65" si="19">$E$65*F64</f>
        <v>9.8245614035087705</v>
      </c>
      <c r="G65" s="756">
        <f t="shared" si="19"/>
        <v>26.526315789473681</v>
      </c>
      <c r="H65" s="756">
        <f t="shared" si="19"/>
        <v>12.771929824561402</v>
      </c>
      <c r="I65" s="756">
        <f t="shared" si="19"/>
        <v>10.807017543859649</v>
      </c>
      <c r="J65" s="756">
        <f t="shared" si="19"/>
        <v>14.736842105263156</v>
      </c>
      <c r="K65" s="756">
        <f t="shared" si="19"/>
        <v>0</v>
      </c>
      <c r="L65" s="46"/>
      <c r="M65" s="46"/>
    </row>
    <row r="66" spans="2:13" s="6" customFormat="1" x14ac:dyDescent="0.25">
      <c r="D66" s="612" t="s">
        <v>687</v>
      </c>
      <c r="E66" s="755">
        <f>E65</f>
        <v>74.666666666666657</v>
      </c>
      <c r="F66" s="756">
        <f>F65</f>
        <v>9.8245614035087705</v>
      </c>
      <c r="G66" s="756">
        <f>G65</f>
        <v>26.526315789473681</v>
      </c>
      <c r="H66" s="756">
        <f>H65</f>
        <v>12.771929824561402</v>
      </c>
      <c r="I66" s="756">
        <f>I65-K66</f>
        <v>3.807017543859649</v>
      </c>
      <c r="J66" s="756">
        <f>J65</f>
        <v>14.736842105263156</v>
      </c>
      <c r="K66" s="755">
        <f>N31</f>
        <v>7</v>
      </c>
      <c r="L66" s="46"/>
      <c r="M66" s="46"/>
    </row>
    <row r="67" spans="2:13" s="6" customFormat="1" x14ac:dyDescent="0.25">
      <c r="D67" s="612"/>
      <c r="E67" s="755"/>
      <c r="F67" s="222">
        <f t="shared" ref="F67:K67" si="20">F66/$E$66</f>
        <v>0.13157894736842105</v>
      </c>
      <c r="G67" s="222">
        <f t="shared" si="20"/>
        <v>0.35526315789473684</v>
      </c>
      <c r="H67" s="222">
        <f t="shared" si="20"/>
        <v>0.17105263157894737</v>
      </c>
      <c r="I67" s="222">
        <f t="shared" si="20"/>
        <v>5.0986842105263164E-2</v>
      </c>
      <c r="J67" s="222">
        <f t="shared" si="20"/>
        <v>0.19736842105263158</v>
      </c>
      <c r="K67" s="222">
        <f t="shared" si="20"/>
        <v>9.3750000000000014E-2</v>
      </c>
      <c r="L67" s="46"/>
      <c r="M67" s="222">
        <f>SUM(F67:K67)</f>
        <v>1</v>
      </c>
    </row>
    <row r="69" spans="2:13" s="6" customFormat="1" x14ac:dyDescent="0.25">
      <c r="E69" s="46"/>
      <c r="F69" s="753">
        <f>'Band Calculations 1718'!D8</f>
        <v>0.26415094339622641</v>
      </c>
      <c r="G69" s="753">
        <f>'Band Calculations 1718'!E8</f>
        <v>0.41509433962264153</v>
      </c>
      <c r="H69" s="753">
        <f>'Band Calculations 1718'!F8</f>
        <v>5.6603773584905662E-2</v>
      </c>
      <c r="I69" s="753">
        <f>'Band Calculations 1718'!G8</f>
        <v>5.6603773584905662E-2</v>
      </c>
      <c r="J69" s="753">
        <f>'Band Calculations 1718'!H8</f>
        <v>0.20754716981132076</v>
      </c>
      <c r="K69" s="753">
        <f>'Band Calculations 1718'!I8</f>
        <v>0</v>
      </c>
      <c r="L69" s="46"/>
      <c r="M69" s="46"/>
    </row>
    <row r="70" spans="2:13" s="6" customFormat="1" x14ac:dyDescent="0.25">
      <c r="B70" s="102" t="s">
        <v>69</v>
      </c>
      <c r="D70" s="612" t="s">
        <v>686</v>
      </c>
      <c r="E70" s="755">
        <f>SUM('Band Calculations - Rebase'!V112)</f>
        <v>62.833333333333336</v>
      </c>
      <c r="F70" s="756">
        <f t="shared" ref="F70:K70" si="21">$E$70*F69</f>
        <v>16.59748427672956</v>
      </c>
      <c r="G70" s="756">
        <f t="shared" si="21"/>
        <v>26.081761006289309</v>
      </c>
      <c r="H70" s="756">
        <f t="shared" si="21"/>
        <v>3.5566037735849059</v>
      </c>
      <c r="I70" s="756">
        <f t="shared" si="21"/>
        <v>3.5566037735849059</v>
      </c>
      <c r="J70" s="756">
        <f t="shared" si="21"/>
        <v>13.040880503144654</v>
      </c>
      <c r="K70" s="756">
        <f t="shared" si="21"/>
        <v>0</v>
      </c>
      <c r="L70" s="46"/>
      <c r="M70" s="46"/>
    </row>
    <row r="71" spans="2:13" s="6" customFormat="1" x14ac:dyDescent="0.25">
      <c r="D71" s="612" t="s">
        <v>687</v>
      </c>
      <c r="E71" s="755">
        <f>E70</f>
        <v>62.833333333333336</v>
      </c>
      <c r="F71" s="756">
        <f>F70-(K71-I70)</f>
        <v>14.154088050314465</v>
      </c>
      <c r="G71" s="756">
        <f>G70</f>
        <v>26.081761006289309</v>
      </c>
      <c r="H71" s="756">
        <f>H70</f>
        <v>3.5566037735849059</v>
      </c>
      <c r="I71" s="756">
        <v>0</v>
      </c>
      <c r="J71" s="756">
        <f>J70</f>
        <v>13.040880503144654</v>
      </c>
      <c r="K71" s="756">
        <f>N32</f>
        <v>6</v>
      </c>
      <c r="L71" s="46"/>
      <c r="M71" s="46"/>
    </row>
    <row r="72" spans="2:13" s="6" customFormat="1" x14ac:dyDescent="0.25">
      <c r="E72" s="46"/>
      <c r="F72" s="222">
        <f t="shared" ref="F72:K72" si="22">F71/$E$71</f>
        <v>0.2252640008007607</v>
      </c>
      <c r="G72" s="222">
        <f t="shared" si="22"/>
        <v>0.41509433962264153</v>
      </c>
      <c r="H72" s="222">
        <f t="shared" si="22"/>
        <v>5.6603773584905662E-2</v>
      </c>
      <c r="I72" s="222">
        <f t="shared" si="22"/>
        <v>0</v>
      </c>
      <c r="J72" s="222">
        <f t="shared" si="22"/>
        <v>0.20754716981132076</v>
      </c>
      <c r="K72" s="222">
        <f t="shared" si="22"/>
        <v>9.5490716180371346E-2</v>
      </c>
      <c r="L72" s="46"/>
      <c r="M72" s="222">
        <f>SUM(F72:K72)</f>
        <v>1</v>
      </c>
    </row>
    <row r="74" spans="2:13" s="6" customFormat="1" x14ac:dyDescent="0.25">
      <c r="E74" s="46"/>
      <c r="F74" s="753">
        <f>'Band Calculations 1718'!D9</f>
        <v>0.4</v>
      </c>
      <c r="G74" s="753">
        <f>'Band Calculations 1718'!E9</f>
        <v>0.42222222222222222</v>
      </c>
      <c r="H74" s="753">
        <f>'Band Calculations 1718'!F9</f>
        <v>0</v>
      </c>
      <c r="I74" s="753">
        <f>'Band Calculations 1718'!G9</f>
        <v>2.2222222222222223E-2</v>
      </c>
      <c r="J74" s="753">
        <f>'Band Calculations 1718'!H9</f>
        <v>0.15555555555555556</v>
      </c>
      <c r="K74" s="753">
        <f>'Band Calculations 1718'!I9</f>
        <v>0</v>
      </c>
      <c r="L74" s="46"/>
      <c r="M74" s="46"/>
    </row>
    <row r="75" spans="2:13" s="6" customFormat="1" x14ac:dyDescent="0.25">
      <c r="B75" s="102" t="s">
        <v>70</v>
      </c>
      <c r="D75" s="612" t="s">
        <v>686</v>
      </c>
      <c r="E75" s="755">
        <f>SUM('Band Calculations - Rebase'!V113)</f>
        <v>53.833333333333329</v>
      </c>
      <c r="F75" s="756">
        <f t="shared" ref="F75:K75" si="23">$E$75*F74</f>
        <v>21.533333333333331</v>
      </c>
      <c r="G75" s="756">
        <f t="shared" si="23"/>
        <v>22.729629629629628</v>
      </c>
      <c r="H75" s="756">
        <f t="shared" si="23"/>
        <v>0</v>
      </c>
      <c r="I75" s="756">
        <f t="shared" si="23"/>
        <v>1.1962962962962962</v>
      </c>
      <c r="J75" s="756">
        <f t="shared" si="23"/>
        <v>8.3740740740740733</v>
      </c>
      <c r="K75" s="756">
        <f t="shared" si="23"/>
        <v>0</v>
      </c>
      <c r="L75" s="46"/>
      <c r="M75" s="46"/>
    </row>
    <row r="76" spans="2:13" s="6" customFormat="1" x14ac:dyDescent="0.25">
      <c r="D76" s="612" t="s">
        <v>687</v>
      </c>
      <c r="E76" s="755">
        <f>E75</f>
        <v>53.833333333333329</v>
      </c>
      <c r="F76" s="756">
        <f>F75-(K76-I75)</f>
        <v>16.729629629629628</v>
      </c>
      <c r="G76" s="756">
        <f>G75</f>
        <v>22.729629629629628</v>
      </c>
      <c r="H76" s="756">
        <f>H75</f>
        <v>0</v>
      </c>
      <c r="I76" s="756">
        <v>0</v>
      </c>
      <c r="J76" s="756">
        <f>J75</f>
        <v>8.3740740740740733</v>
      </c>
      <c r="K76" s="755">
        <f>N33</f>
        <v>6</v>
      </c>
      <c r="L76" s="46"/>
      <c r="M76" s="46"/>
    </row>
    <row r="77" spans="2:13" s="6" customFormat="1" x14ac:dyDescent="0.25">
      <c r="E77" s="46"/>
      <c r="F77" s="222">
        <f t="shared" ref="F77:K77" si="24">F76/$E$76</f>
        <v>0.31076711386308908</v>
      </c>
      <c r="G77" s="222">
        <f t="shared" si="24"/>
        <v>0.42222222222222222</v>
      </c>
      <c r="H77" s="222">
        <f t="shared" si="24"/>
        <v>0</v>
      </c>
      <c r="I77" s="222">
        <f t="shared" si="24"/>
        <v>0</v>
      </c>
      <c r="J77" s="222">
        <f t="shared" si="24"/>
        <v>0.15555555555555556</v>
      </c>
      <c r="K77" s="222">
        <f t="shared" si="24"/>
        <v>0.11145510835913314</v>
      </c>
      <c r="L77" s="46"/>
      <c r="M77" s="222">
        <f>SUM(F77:K77)</f>
        <v>1</v>
      </c>
    </row>
    <row r="79" spans="2:13" s="6" customFormat="1" x14ac:dyDescent="0.25">
      <c r="E79" s="46"/>
      <c r="F79" s="753">
        <f>SUM('Band Calculations 1718'!D10)</f>
        <v>0.2</v>
      </c>
      <c r="G79" s="753">
        <f>SUM('Band Calculations 1718'!E10)</f>
        <v>0.5636363636363636</v>
      </c>
      <c r="H79" s="753">
        <f>SUM('Band Calculations 1718'!F10)</f>
        <v>1.8181818181818181E-2</v>
      </c>
      <c r="I79" s="753">
        <f>SUM('Band Calculations 1718'!G10)</f>
        <v>0.16363636363636364</v>
      </c>
      <c r="J79" s="753">
        <f>SUM('Band Calculations 1718'!H10)</f>
        <v>5.4545454545454543E-2</v>
      </c>
      <c r="K79" s="753">
        <f>SUM('Band Calculations 1718'!I10)</f>
        <v>0</v>
      </c>
      <c r="L79" s="46"/>
      <c r="M79" s="46"/>
    </row>
    <row r="80" spans="2:13" s="6" customFormat="1" x14ac:dyDescent="0.25">
      <c r="B80" s="102" t="s">
        <v>71</v>
      </c>
      <c r="D80" s="612" t="s">
        <v>686</v>
      </c>
      <c r="E80" s="755">
        <f>SUM('Band Calculations - Rebase'!V114)</f>
        <v>64.25</v>
      </c>
      <c r="F80" s="756">
        <f t="shared" ref="F80:K80" si="25">$E$80*F79</f>
        <v>12.850000000000001</v>
      </c>
      <c r="G80" s="756">
        <f t="shared" si="25"/>
        <v>36.213636363636361</v>
      </c>
      <c r="H80" s="756">
        <f t="shared" si="25"/>
        <v>1.1681818181818182</v>
      </c>
      <c r="I80" s="756">
        <f t="shared" si="25"/>
        <v>10.513636363636364</v>
      </c>
      <c r="J80" s="756">
        <f t="shared" si="25"/>
        <v>3.5045454545454544</v>
      </c>
      <c r="K80" s="756">
        <f t="shared" si="25"/>
        <v>0</v>
      </c>
      <c r="L80" s="46"/>
      <c r="M80" s="46"/>
    </row>
    <row r="81" spans="2:13" s="6" customFormat="1" x14ac:dyDescent="0.25">
      <c r="D81" s="612" t="s">
        <v>687</v>
      </c>
      <c r="E81" s="755">
        <f>E80</f>
        <v>64.25</v>
      </c>
      <c r="F81" s="756">
        <f>F80</f>
        <v>12.850000000000001</v>
      </c>
      <c r="G81" s="756">
        <f>G80</f>
        <v>36.213636363636361</v>
      </c>
      <c r="H81" s="756">
        <f>H80</f>
        <v>1.1681818181818182</v>
      </c>
      <c r="I81" s="756">
        <f>I80-K81</f>
        <v>1.5136363636363637</v>
      </c>
      <c r="J81" s="756">
        <f>J80</f>
        <v>3.5045454545454544</v>
      </c>
      <c r="K81" s="755">
        <f>N34</f>
        <v>9</v>
      </c>
      <c r="L81" s="46"/>
      <c r="M81" s="46"/>
    </row>
    <row r="82" spans="2:13" s="6" customFormat="1" x14ac:dyDescent="0.25">
      <c r="E82" s="46"/>
      <c r="F82" s="222">
        <f t="shared" ref="F82:K82" si="26">F81/$E$81</f>
        <v>0.2</v>
      </c>
      <c r="G82" s="222">
        <f t="shared" si="26"/>
        <v>0.5636363636363636</v>
      </c>
      <c r="H82" s="222">
        <f t="shared" si="26"/>
        <v>1.8181818181818181E-2</v>
      </c>
      <c r="I82" s="222">
        <f t="shared" si="26"/>
        <v>2.3558542624690485E-2</v>
      </c>
      <c r="J82" s="222">
        <f t="shared" si="26"/>
        <v>5.4545454545454543E-2</v>
      </c>
      <c r="K82" s="222">
        <f t="shared" si="26"/>
        <v>0.14007782101167315</v>
      </c>
      <c r="L82" s="46"/>
      <c r="M82" s="222">
        <f>SUM(F82:K82)</f>
        <v>1</v>
      </c>
    </row>
    <row r="84" spans="2:13" s="6" customFormat="1" x14ac:dyDescent="0.25">
      <c r="E84" s="46"/>
      <c r="F84" s="753">
        <f>'Band Calculations 1718'!D15</f>
        <v>8.4033613445378148E-3</v>
      </c>
      <c r="G84" s="753">
        <f>'Band Calculations 1718'!E15</f>
        <v>0.27731092436974791</v>
      </c>
      <c r="H84" s="753">
        <f>'Band Calculations 1718'!F15</f>
        <v>0.59663865546218486</v>
      </c>
      <c r="I84" s="753">
        <f>'Band Calculations 1718'!G15</f>
        <v>2.5210084033613446E-2</v>
      </c>
      <c r="J84" s="753">
        <f>'Band Calculations 1718'!H15</f>
        <v>9.2436974789915971E-2</v>
      </c>
      <c r="K84" s="753">
        <f>'Band Calculations 1718'!I15</f>
        <v>0</v>
      </c>
      <c r="L84" s="46"/>
      <c r="M84" s="46"/>
    </row>
    <row r="85" spans="2:13" s="6" customFormat="1" x14ac:dyDescent="0.25">
      <c r="B85" s="102" t="s">
        <v>75</v>
      </c>
      <c r="D85" s="612" t="s">
        <v>686</v>
      </c>
      <c r="E85" s="755">
        <f>'Band Calculations - Rebase'!V119</f>
        <v>134.91666666666669</v>
      </c>
      <c r="F85" s="756">
        <f t="shared" ref="F85:K85" si="27">$E$85*F84</f>
        <v>1.1337535014005604</v>
      </c>
      <c r="G85" s="756">
        <f t="shared" si="27"/>
        <v>37.413865546218496</v>
      </c>
      <c r="H85" s="756">
        <f t="shared" si="27"/>
        <v>80.496498599439789</v>
      </c>
      <c r="I85" s="756">
        <f t="shared" si="27"/>
        <v>3.401260504201681</v>
      </c>
      <c r="J85" s="756">
        <f t="shared" si="27"/>
        <v>12.471288515406165</v>
      </c>
      <c r="K85" s="756">
        <f t="shared" si="27"/>
        <v>0</v>
      </c>
      <c r="L85" s="46"/>
      <c r="M85" s="46"/>
    </row>
    <row r="86" spans="2:13" s="6" customFormat="1" x14ac:dyDescent="0.25">
      <c r="D86" s="612" t="s">
        <v>687</v>
      </c>
      <c r="E86" s="755">
        <f>E85</f>
        <v>134.91666666666669</v>
      </c>
      <c r="F86" s="756">
        <f>F85</f>
        <v>1.1337535014005604</v>
      </c>
      <c r="G86" s="756">
        <f>G85</f>
        <v>37.413865546218496</v>
      </c>
      <c r="H86" s="756">
        <f>H85</f>
        <v>80.496498599439789</v>
      </c>
      <c r="I86" s="756">
        <f>I85-K86</f>
        <v>2.401260504201681</v>
      </c>
      <c r="J86" s="756">
        <f>J85</f>
        <v>12.471288515406165</v>
      </c>
      <c r="K86" s="755">
        <f>N39</f>
        <v>1</v>
      </c>
      <c r="L86" s="46"/>
      <c r="M86" s="46"/>
    </row>
    <row r="87" spans="2:13" s="6" customFormat="1" x14ac:dyDescent="0.25">
      <c r="E87" s="46"/>
      <c r="F87" s="222">
        <f t="shared" ref="F87:K87" si="28">F86/$E$86</f>
        <v>8.4033613445378148E-3</v>
      </c>
      <c r="G87" s="222">
        <f t="shared" si="28"/>
        <v>0.27731092436974791</v>
      </c>
      <c r="H87" s="222">
        <f t="shared" si="28"/>
        <v>0.59663865546218486</v>
      </c>
      <c r="I87" s="222">
        <f t="shared" si="28"/>
        <v>1.7798101328239758E-2</v>
      </c>
      <c r="J87" s="222">
        <f t="shared" si="28"/>
        <v>9.2436974789915971E-2</v>
      </c>
      <c r="K87" s="222">
        <f t="shared" si="28"/>
        <v>7.4119827053736867E-3</v>
      </c>
      <c r="L87" s="46"/>
      <c r="M87" s="222">
        <f>SUM(F87:K87)</f>
        <v>1</v>
      </c>
    </row>
    <row r="89" spans="2:13" s="6" customFormat="1" x14ac:dyDescent="0.25">
      <c r="E89" s="46"/>
      <c r="F89" s="753">
        <f>'Band Calculations 1718'!D20</f>
        <v>0.23943661971830985</v>
      </c>
      <c r="G89" s="753">
        <f>'Band Calculations 1718'!E20</f>
        <v>0.3380281690140845</v>
      </c>
      <c r="H89" s="753">
        <f>'Band Calculations 1718'!F20</f>
        <v>0</v>
      </c>
      <c r="I89" s="753">
        <f>'Band Calculations 1718'!G20</f>
        <v>0.18309859154929578</v>
      </c>
      <c r="J89" s="753">
        <f>'Band Calculations 1718'!H20</f>
        <v>0.23943661971830985</v>
      </c>
      <c r="K89" s="753">
        <f>'Band Calculations 1718'!I20</f>
        <v>0</v>
      </c>
      <c r="L89" s="46"/>
      <c r="M89" s="46"/>
    </row>
    <row r="90" spans="2:13" s="6" customFormat="1" x14ac:dyDescent="0.25">
      <c r="B90" s="102" t="s">
        <v>77</v>
      </c>
      <c r="D90" s="612" t="s">
        <v>686</v>
      </c>
      <c r="E90" s="755">
        <f>'Band Calculations - Rebase'!V124</f>
        <v>75</v>
      </c>
      <c r="F90" s="756">
        <f t="shared" ref="F90:K90" si="29">$E$90*F89</f>
        <v>17.95774647887324</v>
      </c>
      <c r="G90" s="756">
        <f t="shared" si="29"/>
        <v>25.352112676056336</v>
      </c>
      <c r="H90" s="756">
        <f t="shared" si="29"/>
        <v>0</v>
      </c>
      <c r="I90" s="756">
        <f t="shared" si="29"/>
        <v>13.732394366197184</v>
      </c>
      <c r="J90" s="756">
        <f t="shared" si="29"/>
        <v>17.95774647887324</v>
      </c>
      <c r="K90" s="756">
        <f t="shared" si="29"/>
        <v>0</v>
      </c>
      <c r="L90" s="46"/>
      <c r="M90" s="46"/>
    </row>
    <row r="91" spans="2:13" s="6" customFormat="1" x14ac:dyDescent="0.25">
      <c r="D91" s="612" t="s">
        <v>687</v>
      </c>
      <c r="E91" s="755">
        <f>E90</f>
        <v>75</v>
      </c>
      <c r="F91" s="756">
        <f>F90-(K91-I90)</f>
        <v>16.690140845070424</v>
      </c>
      <c r="G91" s="756">
        <f>G90</f>
        <v>25.352112676056336</v>
      </c>
      <c r="H91" s="756">
        <f>H90</f>
        <v>0</v>
      </c>
      <c r="I91" s="756">
        <v>0</v>
      </c>
      <c r="J91" s="756">
        <f>J90</f>
        <v>17.95774647887324</v>
      </c>
      <c r="K91" s="755">
        <f>N44</f>
        <v>15</v>
      </c>
      <c r="L91" s="46"/>
      <c r="M91" s="46"/>
    </row>
    <row r="92" spans="2:13" s="6" customFormat="1" x14ac:dyDescent="0.25">
      <c r="E92" s="46"/>
      <c r="F92" s="222">
        <f t="shared" ref="F92:K92" si="30">F91/$E$91</f>
        <v>0.22253521126760564</v>
      </c>
      <c r="G92" s="222">
        <f t="shared" si="30"/>
        <v>0.3380281690140845</v>
      </c>
      <c r="H92" s="222">
        <f t="shared" si="30"/>
        <v>0</v>
      </c>
      <c r="I92" s="222">
        <f t="shared" si="30"/>
        <v>0</v>
      </c>
      <c r="J92" s="222">
        <f t="shared" si="30"/>
        <v>0.23943661971830987</v>
      </c>
      <c r="K92" s="222">
        <f t="shared" si="30"/>
        <v>0.2</v>
      </c>
      <c r="L92" s="46"/>
      <c r="M92" s="222">
        <f>SUM(F92:K92)</f>
        <v>1</v>
      </c>
    </row>
    <row r="94" spans="2:13" s="6" customFormat="1" x14ac:dyDescent="0.25">
      <c r="E94" s="46"/>
      <c r="F94" s="753">
        <f>'Band Calculations 1718'!D21</f>
        <v>0</v>
      </c>
      <c r="G94" s="753">
        <f>'Band Calculations 1718'!E21</f>
        <v>9.8591549295774641E-2</v>
      </c>
      <c r="H94" s="753">
        <f>'Band Calculations 1718'!F21</f>
        <v>0.71830985915492962</v>
      </c>
      <c r="I94" s="753">
        <f>'Band Calculations 1718'!G21</f>
        <v>4.2253521126760563E-2</v>
      </c>
      <c r="J94" s="753">
        <f>'Band Calculations 1718'!H21</f>
        <v>0.14084507042253522</v>
      </c>
      <c r="K94" s="753">
        <f>'Band Calculations 1718'!I21</f>
        <v>0</v>
      </c>
      <c r="L94" s="46"/>
      <c r="M94" s="46"/>
    </row>
    <row r="95" spans="2:13" s="6" customFormat="1" x14ac:dyDescent="0.25">
      <c r="B95" s="102" t="s">
        <v>78</v>
      </c>
      <c r="D95" s="612" t="s">
        <v>686</v>
      </c>
      <c r="E95" s="755">
        <f>'Band Calculations - Rebase'!V125</f>
        <v>155.91666666666669</v>
      </c>
      <c r="F95" s="756">
        <f t="shared" ref="F95:K95" si="31">$E$95*F94</f>
        <v>0</v>
      </c>
      <c r="G95" s="756">
        <f t="shared" si="31"/>
        <v>15.372065727699532</v>
      </c>
      <c r="H95" s="756">
        <f t="shared" si="31"/>
        <v>111.99647887323945</v>
      </c>
      <c r="I95" s="756">
        <f t="shared" si="31"/>
        <v>6.5880281690140849</v>
      </c>
      <c r="J95" s="756">
        <f t="shared" si="31"/>
        <v>21.960093896713619</v>
      </c>
      <c r="K95" s="756">
        <f t="shared" si="31"/>
        <v>0</v>
      </c>
      <c r="L95" s="46"/>
      <c r="M95" s="46"/>
    </row>
    <row r="96" spans="2:13" s="6" customFormat="1" x14ac:dyDescent="0.25">
      <c r="B96" s="758"/>
      <c r="D96" s="612" t="s">
        <v>687</v>
      </c>
      <c r="E96" s="755">
        <f>E95</f>
        <v>155.91666666666669</v>
      </c>
      <c r="F96" s="756">
        <f>F95</f>
        <v>0</v>
      </c>
      <c r="G96" s="756">
        <f>G95</f>
        <v>15.372065727699532</v>
      </c>
      <c r="H96" s="756">
        <f>H95</f>
        <v>111.99647887323945</v>
      </c>
      <c r="I96" s="756">
        <f>I95-K96</f>
        <v>4.5880281690140849</v>
      </c>
      <c r="J96" s="756">
        <f>J95</f>
        <v>21.960093896713619</v>
      </c>
      <c r="K96" s="755">
        <f>N45</f>
        <v>2</v>
      </c>
      <c r="L96" s="46"/>
      <c r="M96" s="46"/>
    </row>
    <row r="97" spans="2:13" x14ac:dyDescent="0.25">
      <c r="F97" s="222">
        <f t="shared" ref="F97:K97" si="32">F96/$E$96</f>
        <v>0</v>
      </c>
      <c r="G97" s="222">
        <f t="shared" si="32"/>
        <v>9.8591549295774641E-2</v>
      </c>
      <c r="H97" s="222">
        <f t="shared" si="32"/>
        <v>0.71830985915492962</v>
      </c>
      <c r="I97" s="222">
        <f t="shared" si="32"/>
        <v>2.9426156081330312E-2</v>
      </c>
      <c r="J97" s="222">
        <f t="shared" si="32"/>
        <v>0.14084507042253522</v>
      </c>
      <c r="K97" s="222">
        <f t="shared" si="32"/>
        <v>1.282736504543025E-2</v>
      </c>
      <c r="M97" s="222">
        <f>SUM(F97:K97)</f>
        <v>1</v>
      </c>
    </row>
    <row r="99" spans="2:13" x14ac:dyDescent="0.25">
      <c r="F99" s="753">
        <f>'Band Calculations 1718'!D22</f>
        <v>6.0483870967741937E-2</v>
      </c>
      <c r="G99" s="753">
        <f>'Band Calculations 1718'!E22</f>
        <v>0.22177419354838709</v>
      </c>
      <c r="H99" s="753">
        <f>'Band Calculations 1718'!F22</f>
        <v>0.65322580645161288</v>
      </c>
      <c r="I99" s="753">
        <f>'Band Calculations 1718'!G22</f>
        <v>0</v>
      </c>
      <c r="J99" s="753">
        <f>'Band Calculations 1718'!H22</f>
        <v>6.4516129032258063E-2</v>
      </c>
      <c r="K99" s="753">
        <f>'Band Calculations 1718'!I22</f>
        <v>0</v>
      </c>
    </row>
    <row r="100" spans="2:13" x14ac:dyDescent="0.25">
      <c r="B100" s="102" t="s">
        <v>55</v>
      </c>
      <c r="D100" s="612" t="s">
        <v>686</v>
      </c>
      <c r="E100" s="755">
        <f>'Band Calculations - Rebase'!V126</f>
        <v>270.50000000000006</v>
      </c>
      <c r="F100" s="756">
        <f t="shared" ref="F100:K100" si="33">$E$100*F99</f>
        <v>16.360887096774196</v>
      </c>
      <c r="G100" s="756">
        <f t="shared" si="33"/>
        <v>59.989919354838719</v>
      </c>
      <c r="H100" s="756">
        <f t="shared" si="33"/>
        <v>176.69758064516131</v>
      </c>
      <c r="I100" s="756">
        <f t="shared" si="33"/>
        <v>0</v>
      </c>
      <c r="J100" s="756">
        <f t="shared" si="33"/>
        <v>17.451612903225811</v>
      </c>
      <c r="K100" s="756">
        <f t="shared" si="33"/>
        <v>0</v>
      </c>
    </row>
    <row r="101" spans="2:13" x14ac:dyDescent="0.25">
      <c r="D101" s="612" t="s">
        <v>687</v>
      </c>
      <c r="E101" s="755">
        <f>E100</f>
        <v>270.50000000000006</v>
      </c>
      <c r="F101" s="756">
        <f>F100-(K101-I100)</f>
        <v>11.360887096774196</v>
      </c>
      <c r="G101" s="756">
        <f>G100</f>
        <v>59.989919354838719</v>
      </c>
      <c r="H101" s="756">
        <f>H100</f>
        <v>176.69758064516131</v>
      </c>
      <c r="I101" s="756">
        <f>I100-(N101-L100)</f>
        <v>0</v>
      </c>
      <c r="J101" s="756">
        <f>J100</f>
        <v>17.451612903225811</v>
      </c>
      <c r="K101" s="755">
        <f>N46</f>
        <v>5</v>
      </c>
    </row>
    <row r="102" spans="2:13" x14ac:dyDescent="0.25">
      <c r="F102" s="222">
        <f t="shared" ref="F102:K102" si="34">F101/$E$101</f>
        <v>4.1999582612843596E-2</v>
      </c>
      <c r="G102" s="222">
        <f t="shared" si="34"/>
        <v>0.22177419354838709</v>
      </c>
      <c r="H102" s="222">
        <f t="shared" si="34"/>
        <v>0.65322580645161288</v>
      </c>
      <c r="I102" s="222">
        <f t="shared" si="34"/>
        <v>0</v>
      </c>
      <c r="J102" s="222">
        <f t="shared" si="34"/>
        <v>6.4516129032258063E-2</v>
      </c>
      <c r="K102" s="222">
        <f t="shared" si="34"/>
        <v>1.8484288354898331E-2</v>
      </c>
      <c r="M102" s="222">
        <f>SUM(F102:K102)</f>
        <v>1</v>
      </c>
    </row>
    <row r="104" spans="2:13" x14ac:dyDescent="0.25">
      <c r="F104" s="753">
        <f>'Band Calculations 1718'!D23</f>
        <v>0.50370370370370365</v>
      </c>
      <c r="G104" s="753">
        <f>'Band Calculations 1718'!E23</f>
        <v>0</v>
      </c>
      <c r="H104" s="753">
        <f>'Band Calculations 1718'!F23</f>
        <v>0.28888888888888886</v>
      </c>
      <c r="I104" s="753">
        <f>'Band Calculations 1718'!G23</f>
        <v>0.2074074074074074</v>
      </c>
      <c r="J104" s="753">
        <f>'Band Calculations 1718'!H23</f>
        <v>0</v>
      </c>
      <c r="K104" s="753">
        <f>'Band Calculations 1718'!I23</f>
        <v>0</v>
      </c>
    </row>
    <row r="105" spans="2:13" x14ac:dyDescent="0.25">
      <c r="B105" s="102" t="s">
        <v>80</v>
      </c>
      <c r="D105" s="612" t="s">
        <v>686</v>
      </c>
      <c r="E105" s="755">
        <f>'Band Calculations - Rebase'!V127</f>
        <v>148.33333333333334</v>
      </c>
      <c r="F105" s="756">
        <f t="shared" ref="F105:K105" si="35">$E$105*F104</f>
        <v>74.716049382716051</v>
      </c>
      <c r="G105" s="756">
        <f t="shared" si="35"/>
        <v>0</v>
      </c>
      <c r="H105" s="756">
        <f t="shared" si="35"/>
        <v>42.851851851851848</v>
      </c>
      <c r="I105" s="756">
        <f t="shared" si="35"/>
        <v>30.765432098765434</v>
      </c>
      <c r="J105" s="756">
        <f t="shared" si="35"/>
        <v>0</v>
      </c>
      <c r="K105" s="756">
        <f t="shared" si="35"/>
        <v>0</v>
      </c>
    </row>
    <row r="106" spans="2:13" x14ac:dyDescent="0.25">
      <c r="D106" s="612" t="s">
        <v>687</v>
      </c>
      <c r="E106" s="755">
        <f>E105</f>
        <v>148.33333333333334</v>
      </c>
      <c r="F106" s="756">
        <f>F105-(K106-I105)</f>
        <v>67.481481481481481</v>
      </c>
      <c r="G106" s="756">
        <f>G105</f>
        <v>0</v>
      </c>
      <c r="H106" s="756">
        <f>H105</f>
        <v>42.851851851851848</v>
      </c>
      <c r="I106" s="756">
        <v>0</v>
      </c>
      <c r="J106" s="756">
        <f>J105</f>
        <v>0</v>
      </c>
      <c r="K106" s="755">
        <f>N47</f>
        <v>38</v>
      </c>
    </row>
    <row r="107" spans="2:13" x14ac:dyDescent="0.25">
      <c r="F107" s="222">
        <f t="shared" ref="F107:K107" si="36">F106/$E$106</f>
        <v>0.45493133583021222</v>
      </c>
      <c r="G107" s="222">
        <f t="shared" si="36"/>
        <v>0</v>
      </c>
      <c r="H107" s="222">
        <f t="shared" si="36"/>
        <v>0.28888888888888886</v>
      </c>
      <c r="I107" s="222">
        <f t="shared" si="36"/>
        <v>0</v>
      </c>
      <c r="J107" s="222">
        <f t="shared" si="36"/>
        <v>0</v>
      </c>
      <c r="K107" s="222">
        <f t="shared" si="36"/>
        <v>0.25617977528089886</v>
      </c>
      <c r="M107" s="222">
        <f>SUM(F107:K107)</f>
        <v>0.99999999999999989</v>
      </c>
    </row>
    <row r="108" spans="2:13" x14ac:dyDescent="0.25">
      <c r="F108" s="222"/>
      <c r="G108" s="222"/>
      <c r="H108" s="222"/>
      <c r="I108" s="222"/>
      <c r="J108" s="222"/>
      <c r="K108" s="222"/>
      <c r="M108" s="222"/>
    </row>
    <row r="109" spans="2:13" x14ac:dyDescent="0.25">
      <c r="B109" s="612"/>
      <c r="C109" s="612"/>
      <c r="D109" s="612"/>
      <c r="E109" s="672"/>
      <c r="F109" s="790">
        <f>'Band Calculations 1718'!D14</f>
        <v>7.0866141732283464E-2</v>
      </c>
      <c r="G109" s="790">
        <f>'Band Calculations 1718'!E14</f>
        <v>0.16535433070866143</v>
      </c>
      <c r="H109" s="790">
        <f>'Band Calculations 1718'!F14</f>
        <v>0.51968503937007871</v>
      </c>
      <c r="I109" s="790">
        <f>'Band Calculations 1718'!G14</f>
        <v>3.937007874015748E-2</v>
      </c>
      <c r="J109" s="790">
        <f>'Band Calculations 1718'!H14</f>
        <v>0.20472440944881889</v>
      </c>
      <c r="K109" s="790">
        <f>'Band Calculations 1718'!I14</f>
        <v>0</v>
      </c>
      <c r="L109" s="672"/>
      <c r="M109" s="672"/>
    </row>
    <row r="110" spans="2:13" x14ac:dyDescent="0.25">
      <c r="B110" s="791" t="s">
        <v>74</v>
      </c>
      <c r="C110" s="612"/>
      <c r="D110" s="612" t="s">
        <v>686</v>
      </c>
      <c r="E110" s="792">
        <f>'[15]Band Calculations - Rebase'!V118</f>
        <v>118.91666666666667</v>
      </c>
      <c r="F110" s="793">
        <f t="shared" ref="F110:K110" si="37">$E$110*F109</f>
        <v>8.4271653543307092</v>
      </c>
      <c r="G110" s="793">
        <f t="shared" si="37"/>
        <v>19.663385826771655</v>
      </c>
      <c r="H110" s="793">
        <f t="shared" si="37"/>
        <v>61.799212598425193</v>
      </c>
      <c r="I110" s="793">
        <f t="shared" si="37"/>
        <v>4.6817585301837275</v>
      </c>
      <c r="J110" s="793">
        <f t="shared" si="37"/>
        <v>24.34514435695538</v>
      </c>
      <c r="K110" s="793">
        <f t="shared" si="37"/>
        <v>0</v>
      </c>
      <c r="L110" s="672"/>
      <c r="M110" s="672"/>
    </row>
    <row r="111" spans="2:13" x14ac:dyDescent="0.25">
      <c r="B111" s="794"/>
      <c r="C111" s="612"/>
      <c r="D111" s="612" t="s">
        <v>687</v>
      </c>
      <c r="E111" s="792">
        <f>E110</f>
        <v>118.91666666666667</v>
      </c>
      <c r="F111" s="793">
        <f>F110</f>
        <v>8.4271653543307092</v>
      </c>
      <c r="G111" s="793">
        <f>G110</f>
        <v>19.663385826771655</v>
      </c>
      <c r="H111" s="793">
        <f>H110</f>
        <v>61.799212598425193</v>
      </c>
      <c r="I111" s="793">
        <f>I110-K111</f>
        <v>1.6817585301837275</v>
      </c>
      <c r="J111" s="793">
        <f>J110</f>
        <v>24.34514435695538</v>
      </c>
      <c r="K111" s="792">
        <f>N38</f>
        <v>3</v>
      </c>
      <c r="L111" s="672"/>
      <c r="M111" s="672"/>
    </row>
    <row r="112" spans="2:13" x14ac:dyDescent="0.25">
      <c r="B112" s="612"/>
      <c r="C112" s="612"/>
      <c r="D112" s="612"/>
      <c r="E112" s="672"/>
      <c r="F112" s="795">
        <f t="shared" ref="F112:K112" si="38">F111/$E$111</f>
        <v>7.0866141732283464E-2</v>
      </c>
      <c r="G112" s="795">
        <f t="shared" si="38"/>
        <v>0.16535433070866143</v>
      </c>
      <c r="H112" s="795">
        <f t="shared" si="38"/>
        <v>0.51968503937007871</v>
      </c>
      <c r="I112" s="795">
        <f t="shared" si="38"/>
        <v>1.4142328214579346E-2</v>
      </c>
      <c r="J112" s="795">
        <f t="shared" si="38"/>
        <v>0.20472440944881889</v>
      </c>
      <c r="K112" s="795">
        <f t="shared" si="38"/>
        <v>2.5227750525578133E-2</v>
      </c>
      <c r="L112" s="672"/>
      <c r="M112" s="795">
        <f>SUM(F112:K112)</f>
        <v>1</v>
      </c>
    </row>
    <row r="114" spans="2:18" x14ac:dyDescent="0.25">
      <c r="B114" s="770">
        <v>43191</v>
      </c>
      <c r="C114" s="771"/>
      <c r="D114" s="771"/>
      <c r="E114" s="771"/>
      <c r="F114" s="772"/>
      <c r="G114" s="772"/>
      <c r="H114" s="772"/>
      <c r="I114" s="772"/>
      <c r="J114" s="772"/>
      <c r="K114" s="772"/>
      <c r="L114" s="772"/>
      <c r="M114" s="772"/>
      <c r="N114" s="772"/>
      <c r="O114" s="772"/>
      <c r="P114" s="772"/>
      <c r="Q114" s="772"/>
      <c r="R114" s="772"/>
    </row>
    <row r="115" spans="2:18" x14ac:dyDescent="0.25">
      <c r="B115" s="772"/>
      <c r="C115" s="772"/>
      <c r="D115" s="772"/>
      <c r="E115" s="772"/>
      <c r="F115" s="772"/>
      <c r="G115" s="772"/>
      <c r="H115" s="772"/>
      <c r="I115" s="772"/>
      <c r="J115" s="772"/>
      <c r="K115" s="772"/>
      <c r="L115" s="772"/>
      <c r="M115" s="772"/>
      <c r="N115" s="772"/>
      <c r="O115" s="772"/>
      <c r="P115" s="772"/>
      <c r="Q115" s="772"/>
      <c r="R115" s="772"/>
    </row>
    <row r="116" spans="2:18" ht="31.5" x14ac:dyDescent="0.25">
      <c r="B116" s="773" t="s">
        <v>66</v>
      </c>
      <c r="C116" s="774" t="s">
        <v>51</v>
      </c>
      <c r="D116" s="775" t="s">
        <v>688</v>
      </c>
      <c r="E116" s="776" t="s">
        <v>265</v>
      </c>
      <c r="F116" s="777" t="s">
        <v>266</v>
      </c>
      <c r="G116" s="776" t="s">
        <v>267</v>
      </c>
      <c r="H116" s="777" t="s">
        <v>257</v>
      </c>
      <c r="I116" s="776" t="s">
        <v>268</v>
      </c>
      <c r="J116" s="777" t="s">
        <v>269</v>
      </c>
      <c r="K116" s="776" t="s">
        <v>270</v>
      </c>
      <c r="L116" s="777" t="s">
        <v>271</v>
      </c>
      <c r="M116" s="778" t="s">
        <v>272</v>
      </c>
      <c r="N116" s="779" t="s">
        <v>273</v>
      </c>
      <c r="O116" s="776" t="s">
        <v>689</v>
      </c>
      <c r="P116" s="777" t="s">
        <v>690</v>
      </c>
      <c r="Q116" s="778" t="s">
        <v>631</v>
      </c>
      <c r="R116" s="779" t="s">
        <v>691</v>
      </c>
    </row>
    <row r="117" spans="2:18" x14ac:dyDescent="0.25">
      <c r="B117" s="780" t="s">
        <v>67</v>
      </c>
      <c r="C117" s="781">
        <v>3</v>
      </c>
      <c r="D117" s="782">
        <f t="shared" ref="D117:D125" si="39">E117+G117+I117+K117+M117+O117+Q117</f>
        <v>52</v>
      </c>
      <c r="E117" s="783">
        <v>6</v>
      </c>
      <c r="F117" s="784">
        <f>E117/D117</f>
        <v>0.11538461538461539</v>
      </c>
      <c r="G117" s="785">
        <v>15</v>
      </c>
      <c r="H117" s="784">
        <f>G117/D117</f>
        <v>0.28846153846153844</v>
      </c>
      <c r="I117" s="785">
        <v>3</v>
      </c>
      <c r="J117" s="784">
        <f>I117/D117</f>
        <v>5.7692307692307696E-2</v>
      </c>
      <c r="K117" s="785">
        <v>2</v>
      </c>
      <c r="L117" s="784">
        <f>K117/D117</f>
        <v>3.8461538461538464E-2</v>
      </c>
      <c r="M117" s="786">
        <v>5</v>
      </c>
      <c r="N117" s="787">
        <f>M117/D117</f>
        <v>9.6153846153846159E-2</v>
      </c>
      <c r="O117" s="785">
        <v>13</v>
      </c>
      <c r="P117" s="784">
        <f>O117/D117</f>
        <v>0.25</v>
      </c>
      <c r="Q117" s="786">
        <v>8</v>
      </c>
      <c r="R117" s="787">
        <f>Q117/D117</f>
        <v>0.15384615384615385</v>
      </c>
    </row>
    <row r="118" spans="2:18" x14ac:dyDescent="0.25">
      <c r="B118" s="780" t="s">
        <v>68</v>
      </c>
      <c r="C118" s="781">
        <v>3</v>
      </c>
      <c r="D118" s="782">
        <f t="shared" si="39"/>
        <v>75</v>
      </c>
      <c r="E118" s="783">
        <v>10</v>
      </c>
      <c r="F118" s="784">
        <f t="shared" ref="F118:F134" si="40">E118/D118</f>
        <v>0.13333333333333333</v>
      </c>
      <c r="G118" s="785">
        <v>17</v>
      </c>
      <c r="H118" s="784">
        <f t="shared" ref="H118:H134" si="41">G118/D118</f>
        <v>0.22666666666666666</v>
      </c>
      <c r="I118" s="785">
        <v>7</v>
      </c>
      <c r="J118" s="784">
        <f t="shared" ref="J118:J134" si="42">I118/D118</f>
        <v>9.3333333333333338E-2</v>
      </c>
      <c r="K118" s="785">
        <v>7</v>
      </c>
      <c r="L118" s="784">
        <f t="shared" ref="L118:L134" si="43">K118/D118</f>
        <v>9.3333333333333338E-2</v>
      </c>
      <c r="M118" s="786">
        <v>12</v>
      </c>
      <c r="N118" s="787">
        <f t="shared" ref="N118:N134" si="44">M118/D118</f>
        <v>0.16</v>
      </c>
      <c r="O118" s="785">
        <v>15</v>
      </c>
      <c r="P118" s="784">
        <f t="shared" ref="P118:P134" si="45">O118/D118</f>
        <v>0.2</v>
      </c>
      <c r="Q118" s="786">
        <v>7</v>
      </c>
      <c r="R118" s="787">
        <f t="shared" ref="R118:R134" si="46">Q118/D118</f>
        <v>9.3333333333333338E-2</v>
      </c>
    </row>
    <row r="119" spans="2:18" x14ac:dyDescent="0.25">
      <c r="B119" s="780" t="s">
        <v>69</v>
      </c>
      <c r="C119" s="781">
        <v>3</v>
      </c>
      <c r="D119" s="782">
        <f t="shared" si="39"/>
        <v>67</v>
      </c>
      <c r="E119" s="783">
        <v>3</v>
      </c>
      <c r="F119" s="784">
        <f t="shared" si="40"/>
        <v>4.4776119402985072E-2</v>
      </c>
      <c r="G119" s="785">
        <v>18</v>
      </c>
      <c r="H119" s="784">
        <f t="shared" si="41"/>
        <v>0.26865671641791045</v>
      </c>
      <c r="I119" s="785">
        <v>12</v>
      </c>
      <c r="J119" s="784">
        <f t="shared" si="42"/>
        <v>0.17910447761194029</v>
      </c>
      <c r="K119" s="785">
        <v>10</v>
      </c>
      <c r="L119" s="784">
        <f t="shared" si="43"/>
        <v>0.14925373134328357</v>
      </c>
      <c r="M119" s="786">
        <v>10</v>
      </c>
      <c r="N119" s="787">
        <f t="shared" si="44"/>
        <v>0.14925373134328357</v>
      </c>
      <c r="O119" s="785">
        <v>8</v>
      </c>
      <c r="P119" s="784">
        <f t="shared" si="45"/>
        <v>0.11940298507462686</v>
      </c>
      <c r="Q119" s="786">
        <v>6</v>
      </c>
      <c r="R119" s="787">
        <f t="shared" si="46"/>
        <v>8.9552238805970144E-2</v>
      </c>
    </row>
    <row r="120" spans="2:18" x14ac:dyDescent="0.25">
      <c r="B120" s="780" t="s">
        <v>70</v>
      </c>
      <c r="C120" s="781">
        <v>3</v>
      </c>
      <c r="D120" s="782">
        <f t="shared" si="39"/>
        <v>54</v>
      </c>
      <c r="E120" s="783">
        <v>7</v>
      </c>
      <c r="F120" s="784">
        <f t="shared" si="40"/>
        <v>0.12962962962962962</v>
      </c>
      <c r="G120" s="785">
        <v>17</v>
      </c>
      <c r="H120" s="784">
        <f t="shared" si="41"/>
        <v>0.31481481481481483</v>
      </c>
      <c r="I120" s="785">
        <v>6</v>
      </c>
      <c r="J120" s="784">
        <f t="shared" si="42"/>
        <v>0.1111111111111111</v>
      </c>
      <c r="K120" s="785">
        <v>8</v>
      </c>
      <c r="L120" s="784">
        <f t="shared" si="43"/>
        <v>0.14814814814814814</v>
      </c>
      <c r="M120" s="786">
        <v>3</v>
      </c>
      <c r="N120" s="787">
        <f t="shared" si="44"/>
        <v>5.5555555555555552E-2</v>
      </c>
      <c r="O120" s="785">
        <v>7</v>
      </c>
      <c r="P120" s="784">
        <f t="shared" si="45"/>
        <v>0.12962962962962962</v>
      </c>
      <c r="Q120" s="786">
        <v>6</v>
      </c>
      <c r="R120" s="787">
        <f t="shared" si="46"/>
        <v>0.1111111111111111</v>
      </c>
    </row>
    <row r="121" spans="2:18" x14ac:dyDescent="0.25">
      <c r="B121" s="780" t="s">
        <v>71</v>
      </c>
      <c r="C121" s="781">
        <v>3</v>
      </c>
      <c r="D121" s="782">
        <f t="shared" si="39"/>
        <v>69</v>
      </c>
      <c r="E121" s="785">
        <v>6</v>
      </c>
      <c r="F121" s="784">
        <f t="shared" si="40"/>
        <v>8.6956521739130432E-2</v>
      </c>
      <c r="G121" s="785">
        <v>24</v>
      </c>
      <c r="H121" s="784">
        <f t="shared" si="41"/>
        <v>0.34782608695652173</v>
      </c>
      <c r="I121" s="785">
        <v>8</v>
      </c>
      <c r="J121" s="784">
        <f t="shared" si="42"/>
        <v>0.11594202898550725</v>
      </c>
      <c r="K121" s="785">
        <v>11</v>
      </c>
      <c r="L121" s="784">
        <f t="shared" si="43"/>
        <v>0.15942028985507245</v>
      </c>
      <c r="M121" s="786">
        <v>4</v>
      </c>
      <c r="N121" s="787">
        <f t="shared" si="44"/>
        <v>5.7971014492753624E-2</v>
      </c>
      <c r="O121" s="785">
        <v>7</v>
      </c>
      <c r="P121" s="784">
        <f t="shared" si="45"/>
        <v>0.10144927536231885</v>
      </c>
      <c r="Q121" s="786">
        <v>9</v>
      </c>
      <c r="R121" s="787">
        <f t="shared" si="46"/>
        <v>0.13043478260869565</v>
      </c>
    </row>
    <row r="122" spans="2:18" x14ac:dyDescent="0.25">
      <c r="B122" s="780" t="s">
        <v>98</v>
      </c>
      <c r="C122" s="781">
        <v>3</v>
      </c>
      <c r="D122" s="782">
        <f t="shared" si="39"/>
        <v>0</v>
      </c>
      <c r="E122" s="785">
        <v>0</v>
      </c>
      <c r="F122" s="784">
        <v>0</v>
      </c>
      <c r="G122" s="785">
        <v>0</v>
      </c>
      <c r="H122" s="784">
        <v>0</v>
      </c>
      <c r="I122" s="785">
        <v>0</v>
      </c>
      <c r="J122" s="784">
        <v>0</v>
      </c>
      <c r="K122" s="785">
        <v>0</v>
      </c>
      <c r="L122" s="784">
        <v>0</v>
      </c>
      <c r="M122" s="786">
        <v>0</v>
      </c>
      <c r="N122" s="787">
        <v>1</v>
      </c>
      <c r="O122" s="785">
        <v>0</v>
      </c>
      <c r="P122" s="784">
        <v>0</v>
      </c>
      <c r="Q122" s="786">
        <v>0</v>
      </c>
      <c r="R122" s="787">
        <v>0</v>
      </c>
    </row>
    <row r="123" spans="2:18" x14ac:dyDescent="0.25">
      <c r="B123" s="780" t="s">
        <v>72</v>
      </c>
      <c r="C123" s="781">
        <v>3</v>
      </c>
      <c r="D123" s="782">
        <f t="shared" si="39"/>
        <v>86</v>
      </c>
      <c r="E123" s="785">
        <v>6</v>
      </c>
      <c r="F123" s="784">
        <f t="shared" si="40"/>
        <v>6.9767441860465115E-2</v>
      </c>
      <c r="G123" s="785">
        <v>17</v>
      </c>
      <c r="H123" s="784">
        <f t="shared" si="41"/>
        <v>0.19767441860465115</v>
      </c>
      <c r="I123" s="785">
        <v>27</v>
      </c>
      <c r="J123" s="784">
        <f t="shared" si="42"/>
        <v>0.31395348837209303</v>
      </c>
      <c r="K123" s="788">
        <v>9</v>
      </c>
      <c r="L123" s="784">
        <f t="shared" si="43"/>
        <v>0.10465116279069768</v>
      </c>
      <c r="M123" s="786">
        <v>19</v>
      </c>
      <c r="N123" s="787">
        <f t="shared" si="44"/>
        <v>0.22093023255813954</v>
      </c>
      <c r="O123" s="788">
        <v>8</v>
      </c>
      <c r="P123" s="784">
        <f t="shared" si="45"/>
        <v>9.3023255813953487E-2</v>
      </c>
      <c r="Q123" s="786">
        <v>0</v>
      </c>
      <c r="R123" s="787">
        <f t="shared" si="46"/>
        <v>0</v>
      </c>
    </row>
    <row r="124" spans="2:18" x14ac:dyDescent="0.25">
      <c r="B124" s="780" t="s">
        <v>73</v>
      </c>
      <c r="C124" s="781">
        <v>3</v>
      </c>
      <c r="D124" s="782">
        <f t="shared" si="39"/>
        <v>91</v>
      </c>
      <c r="E124" s="785">
        <v>2</v>
      </c>
      <c r="F124" s="784">
        <f t="shared" si="40"/>
        <v>2.197802197802198E-2</v>
      </c>
      <c r="G124" s="785">
        <v>56</v>
      </c>
      <c r="H124" s="784">
        <f t="shared" si="41"/>
        <v>0.61538461538461542</v>
      </c>
      <c r="I124" s="785">
        <v>4</v>
      </c>
      <c r="J124" s="784">
        <f t="shared" si="42"/>
        <v>4.3956043956043959E-2</v>
      </c>
      <c r="K124" s="785">
        <v>2</v>
      </c>
      <c r="L124" s="784">
        <f t="shared" si="43"/>
        <v>2.197802197802198E-2</v>
      </c>
      <c r="M124" s="789">
        <v>14</v>
      </c>
      <c r="N124" s="787">
        <f t="shared" si="44"/>
        <v>0.15384615384615385</v>
      </c>
      <c r="O124" s="785">
        <v>13</v>
      </c>
      <c r="P124" s="784">
        <f t="shared" si="45"/>
        <v>0.14285714285714285</v>
      </c>
      <c r="Q124" s="789">
        <v>0</v>
      </c>
      <c r="R124" s="787">
        <f t="shared" si="46"/>
        <v>0</v>
      </c>
    </row>
    <row r="125" spans="2:18" x14ac:dyDescent="0.25">
      <c r="B125" s="780" t="s">
        <v>74</v>
      </c>
      <c r="C125" s="781">
        <v>4</v>
      </c>
      <c r="D125" s="782">
        <f t="shared" si="39"/>
        <v>114</v>
      </c>
      <c r="E125" s="785">
        <v>5</v>
      </c>
      <c r="F125" s="784">
        <f t="shared" si="40"/>
        <v>4.3859649122807015E-2</v>
      </c>
      <c r="G125" s="785">
        <v>19</v>
      </c>
      <c r="H125" s="784">
        <f t="shared" si="41"/>
        <v>0.16666666666666666</v>
      </c>
      <c r="I125" s="785">
        <v>48</v>
      </c>
      <c r="J125" s="784">
        <f t="shared" si="42"/>
        <v>0.42105263157894735</v>
      </c>
      <c r="K125" s="785">
        <v>4</v>
      </c>
      <c r="L125" s="784">
        <f t="shared" si="43"/>
        <v>3.5087719298245612E-2</v>
      </c>
      <c r="M125" s="786">
        <v>30</v>
      </c>
      <c r="N125" s="787">
        <f t="shared" si="44"/>
        <v>0.26315789473684209</v>
      </c>
      <c r="O125" s="785">
        <v>5</v>
      </c>
      <c r="P125" s="784">
        <f t="shared" si="45"/>
        <v>4.3859649122807015E-2</v>
      </c>
      <c r="Q125" s="786">
        <v>3</v>
      </c>
      <c r="R125" s="787">
        <f t="shared" si="46"/>
        <v>2.6315789473684209E-2</v>
      </c>
    </row>
    <row r="126" spans="2:18" x14ac:dyDescent="0.25">
      <c r="B126" s="780" t="s">
        <v>75</v>
      </c>
      <c r="C126" s="781">
        <v>4</v>
      </c>
      <c r="D126" s="782">
        <f>E126+G126+I126+K126+M126+O126+Q126</f>
        <v>139</v>
      </c>
      <c r="E126" s="785">
        <v>1</v>
      </c>
      <c r="F126" s="784">
        <f t="shared" si="40"/>
        <v>7.1942446043165471E-3</v>
      </c>
      <c r="G126" s="785">
        <v>18</v>
      </c>
      <c r="H126" s="784">
        <f t="shared" si="41"/>
        <v>0.12949640287769784</v>
      </c>
      <c r="I126" s="785">
        <v>74</v>
      </c>
      <c r="J126" s="784">
        <f t="shared" si="42"/>
        <v>0.53237410071942448</v>
      </c>
      <c r="K126" s="785">
        <v>9</v>
      </c>
      <c r="L126" s="784">
        <f t="shared" si="43"/>
        <v>6.4748201438848921E-2</v>
      </c>
      <c r="M126" s="786">
        <v>26</v>
      </c>
      <c r="N126" s="787">
        <f t="shared" si="44"/>
        <v>0.18705035971223022</v>
      </c>
      <c r="O126" s="785">
        <v>10</v>
      </c>
      <c r="P126" s="784">
        <f t="shared" si="45"/>
        <v>7.1942446043165464E-2</v>
      </c>
      <c r="Q126" s="786">
        <v>1</v>
      </c>
      <c r="R126" s="787">
        <f t="shared" si="46"/>
        <v>7.1942446043165471E-3</v>
      </c>
    </row>
    <row r="127" spans="2:18" x14ac:dyDescent="0.25">
      <c r="B127" s="780" t="s">
        <v>76</v>
      </c>
      <c r="C127" s="781">
        <v>4</v>
      </c>
      <c r="D127" s="782">
        <f t="shared" ref="D127:D134" si="47">E127+G127+I127+K127+M127+O127+Q127</f>
        <v>113</v>
      </c>
      <c r="E127" s="785">
        <v>0</v>
      </c>
      <c r="F127" s="784">
        <f t="shared" si="40"/>
        <v>0</v>
      </c>
      <c r="G127" s="785">
        <v>12</v>
      </c>
      <c r="H127" s="784">
        <f t="shared" si="41"/>
        <v>0.10619469026548672</v>
      </c>
      <c r="I127" s="785">
        <v>83</v>
      </c>
      <c r="J127" s="784">
        <f t="shared" si="42"/>
        <v>0.73451327433628322</v>
      </c>
      <c r="K127" s="785">
        <v>1</v>
      </c>
      <c r="L127" s="784">
        <f t="shared" si="43"/>
        <v>8.8495575221238937E-3</v>
      </c>
      <c r="M127" s="786">
        <v>13</v>
      </c>
      <c r="N127" s="787">
        <f t="shared" si="44"/>
        <v>0.11504424778761062</v>
      </c>
      <c r="O127" s="785">
        <v>4</v>
      </c>
      <c r="P127" s="784">
        <f t="shared" si="45"/>
        <v>3.5398230088495575E-2</v>
      </c>
      <c r="Q127" s="786">
        <v>0</v>
      </c>
      <c r="R127" s="787">
        <f t="shared" si="46"/>
        <v>0</v>
      </c>
    </row>
    <row r="128" spans="2:18" x14ac:dyDescent="0.25">
      <c r="B128" s="780" t="s">
        <v>99</v>
      </c>
      <c r="C128" s="781">
        <v>4</v>
      </c>
      <c r="D128" s="782">
        <f t="shared" si="47"/>
        <v>0</v>
      </c>
      <c r="E128" s="785">
        <v>0</v>
      </c>
      <c r="F128" s="784">
        <v>0</v>
      </c>
      <c r="G128" s="785">
        <v>0</v>
      </c>
      <c r="H128" s="784">
        <v>0</v>
      </c>
      <c r="I128" s="785">
        <v>0</v>
      </c>
      <c r="J128" s="784">
        <v>0</v>
      </c>
      <c r="K128" s="785">
        <v>0</v>
      </c>
      <c r="L128" s="784">
        <v>0</v>
      </c>
      <c r="M128" s="786">
        <v>0</v>
      </c>
      <c r="N128" s="787">
        <v>1</v>
      </c>
      <c r="O128" s="785">
        <v>0</v>
      </c>
      <c r="P128" s="784">
        <v>0</v>
      </c>
      <c r="Q128" s="786">
        <v>0</v>
      </c>
      <c r="R128" s="787">
        <v>0</v>
      </c>
    </row>
    <row r="129" spans="2:18" x14ac:dyDescent="0.25">
      <c r="B129" s="780" t="s">
        <v>100</v>
      </c>
      <c r="C129" s="781">
        <v>4</v>
      </c>
      <c r="D129" s="782">
        <f t="shared" si="47"/>
        <v>0</v>
      </c>
      <c r="E129" s="785">
        <v>0</v>
      </c>
      <c r="F129" s="784">
        <v>0</v>
      </c>
      <c r="G129" s="785">
        <v>0</v>
      </c>
      <c r="H129" s="784">
        <v>0</v>
      </c>
      <c r="I129" s="785">
        <v>0</v>
      </c>
      <c r="J129" s="784">
        <v>0</v>
      </c>
      <c r="K129" s="785">
        <v>0</v>
      </c>
      <c r="L129" s="784">
        <v>0</v>
      </c>
      <c r="M129" s="786">
        <v>0</v>
      </c>
      <c r="N129" s="787">
        <v>1</v>
      </c>
      <c r="O129" s="785">
        <v>0</v>
      </c>
      <c r="P129" s="784">
        <v>0</v>
      </c>
      <c r="Q129" s="786">
        <v>0</v>
      </c>
      <c r="R129" s="787">
        <v>0</v>
      </c>
    </row>
    <row r="130" spans="2:18" x14ac:dyDescent="0.25">
      <c r="B130" s="780" t="s">
        <v>92</v>
      </c>
      <c r="C130" s="781">
        <v>4</v>
      </c>
      <c r="D130" s="782">
        <f t="shared" si="47"/>
        <v>0</v>
      </c>
      <c r="E130" s="783">
        <v>0</v>
      </c>
      <c r="F130" s="784">
        <v>0</v>
      </c>
      <c r="G130" s="785">
        <v>0</v>
      </c>
      <c r="H130" s="784">
        <v>0</v>
      </c>
      <c r="I130" s="785">
        <v>0</v>
      </c>
      <c r="J130" s="784">
        <v>0</v>
      </c>
      <c r="K130" s="785">
        <v>0</v>
      </c>
      <c r="L130" s="784">
        <v>0</v>
      </c>
      <c r="M130" s="786">
        <v>0</v>
      </c>
      <c r="N130" s="787">
        <v>1</v>
      </c>
      <c r="O130" s="785">
        <v>0</v>
      </c>
      <c r="P130" s="784">
        <v>0</v>
      </c>
      <c r="Q130" s="786">
        <v>0</v>
      </c>
      <c r="R130" s="787">
        <v>0</v>
      </c>
    </row>
    <row r="131" spans="2:18" x14ac:dyDescent="0.25">
      <c r="B131" s="780" t="s">
        <v>77</v>
      </c>
      <c r="C131" s="781">
        <v>4</v>
      </c>
      <c r="D131" s="782">
        <f t="shared" si="47"/>
        <v>79</v>
      </c>
      <c r="E131" s="785">
        <v>8</v>
      </c>
      <c r="F131" s="784">
        <f t="shared" si="40"/>
        <v>0.10126582278481013</v>
      </c>
      <c r="G131" s="783">
        <v>23</v>
      </c>
      <c r="H131" s="784">
        <f t="shared" si="41"/>
        <v>0.29113924050632911</v>
      </c>
      <c r="I131" s="783">
        <v>5</v>
      </c>
      <c r="J131" s="784">
        <f t="shared" si="42"/>
        <v>6.3291139240506333E-2</v>
      </c>
      <c r="K131" s="783">
        <v>15</v>
      </c>
      <c r="L131" s="784">
        <f t="shared" si="43"/>
        <v>0.189873417721519</v>
      </c>
      <c r="M131" s="786">
        <v>3</v>
      </c>
      <c r="N131" s="787">
        <f t="shared" si="44"/>
        <v>3.7974683544303799E-2</v>
      </c>
      <c r="O131" s="783">
        <v>10</v>
      </c>
      <c r="P131" s="784">
        <f t="shared" si="45"/>
        <v>0.12658227848101267</v>
      </c>
      <c r="Q131" s="786">
        <v>15</v>
      </c>
      <c r="R131" s="787">
        <f t="shared" si="46"/>
        <v>0.189873417721519</v>
      </c>
    </row>
    <row r="132" spans="2:18" x14ac:dyDescent="0.25">
      <c r="B132" s="780" t="s">
        <v>78</v>
      </c>
      <c r="C132" s="781">
        <v>5</v>
      </c>
      <c r="D132" s="782">
        <f t="shared" si="47"/>
        <v>155</v>
      </c>
      <c r="E132" s="785">
        <v>6</v>
      </c>
      <c r="F132" s="784">
        <f t="shared" si="40"/>
        <v>3.870967741935484E-2</v>
      </c>
      <c r="G132" s="785">
        <v>46</v>
      </c>
      <c r="H132" s="784">
        <f t="shared" si="41"/>
        <v>0.29677419354838708</v>
      </c>
      <c r="I132" s="785">
        <v>46</v>
      </c>
      <c r="J132" s="784">
        <f t="shared" si="42"/>
        <v>0.29677419354838708</v>
      </c>
      <c r="K132" s="785">
        <v>14</v>
      </c>
      <c r="L132" s="784">
        <f t="shared" si="43"/>
        <v>9.0322580645161285E-2</v>
      </c>
      <c r="M132" s="786">
        <v>19</v>
      </c>
      <c r="N132" s="787">
        <f t="shared" si="44"/>
        <v>0.12258064516129032</v>
      </c>
      <c r="O132" s="785">
        <v>22</v>
      </c>
      <c r="P132" s="784">
        <f t="shared" si="45"/>
        <v>0.14193548387096774</v>
      </c>
      <c r="Q132" s="786">
        <v>2</v>
      </c>
      <c r="R132" s="787">
        <f t="shared" si="46"/>
        <v>1.2903225806451613E-2</v>
      </c>
    </row>
    <row r="133" spans="2:18" x14ac:dyDescent="0.25">
      <c r="B133" s="780" t="s">
        <v>55</v>
      </c>
      <c r="C133" s="781">
        <v>5</v>
      </c>
      <c r="D133" s="782">
        <f t="shared" si="47"/>
        <v>261</v>
      </c>
      <c r="E133" s="785">
        <v>10</v>
      </c>
      <c r="F133" s="784">
        <f t="shared" si="40"/>
        <v>3.8314176245210725E-2</v>
      </c>
      <c r="G133" s="785">
        <v>52</v>
      </c>
      <c r="H133" s="784">
        <f t="shared" si="41"/>
        <v>0.19923371647509577</v>
      </c>
      <c r="I133" s="785">
        <v>130</v>
      </c>
      <c r="J133" s="784">
        <f t="shared" si="42"/>
        <v>0.49808429118773945</v>
      </c>
      <c r="K133" s="785">
        <v>17</v>
      </c>
      <c r="L133" s="784">
        <f t="shared" si="43"/>
        <v>6.5134099616858232E-2</v>
      </c>
      <c r="M133" s="786">
        <v>11</v>
      </c>
      <c r="N133" s="787">
        <f t="shared" si="44"/>
        <v>4.2145593869731802E-2</v>
      </c>
      <c r="O133" s="785">
        <v>36</v>
      </c>
      <c r="P133" s="784">
        <f t="shared" si="45"/>
        <v>0.13793103448275862</v>
      </c>
      <c r="Q133" s="786">
        <v>5</v>
      </c>
      <c r="R133" s="787">
        <f t="shared" si="46"/>
        <v>1.9157088122605363E-2</v>
      </c>
    </row>
    <row r="134" spans="2:18" x14ac:dyDescent="0.25">
      <c r="B134" s="780" t="s">
        <v>80</v>
      </c>
      <c r="C134" s="781">
        <v>6</v>
      </c>
      <c r="D134" s="782">
        <f t="shared" si="47"/>
        <v>147</v>
      </c>
      <c r="E134" s="785">
        <v>24</v>
      </c>
      <c r="F134" s="784">
        <f t="shared" si="40"/>
        <v>0.16326530612244897</v>
      </c>
      <c r="G134" s="785">
        <v>10</v>
      </c>
      <c r="H134" s="784">
        <f t="shared" si="41"/>
        <v>6.8027210884353748E-2</v>
      </c>
      <c r="I134" s="785">
        <v>37</v>
      </c>
      <c r="J134" s="784">
        <f t="shared" si="42"/>
        <v>0.25170068027210885</v>
      </c>
      <c r="K134" s="785">
        <v>37</v>
      </c>
      <c r="L134" s="784">
        <f t="shared" si="43"/>
        <v>0.25170068027210885</v>
      </c>
      <c r="M134" s="786">
        <v>0</v>
      </c>
      <c r="N134" s="787">
        <f t="shared" si="44"/>
        <v>0</v>
      </c>
      <c r="O134" s="785">
        <v>1</v>
      </c>
      <c r="P134" s="784">
        <f t="shared" si="45"/>
        <v>6.8027210884353739E-3</v>
      </c>
      <c r="Q134" s="786">
        <v>38</v>
      </c>
      <c r="R134" s="787">
        <f t="shared" si="46"/>
        <v>0.25850340136054423</v>
      </c>
    </row>
  </sheetData>
  <mergeCells count="1">
    <mergeCell ref="B52:E5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Z46"/>
  <sheetViews>
    <sheetView workbookViewId="0">
      <pane xSplit="2" topLeftCell="M1" activePane="topRight" state="frozen"/>
      <selection pane="topRight" activeCell="U39" sqref="U39"/>
    </sheetView>
  </sheetViews>
  <sheetFormatPr defaultColWidth="10.26953125" defaultRowHeight="12.5" x14ac:dyDescent="0.25"/>
  <cols>
    <col min="1" max="1" width="10.26953125" style="34"/>
    <col min="2" max="2" width="31.54296875" style="34" customWidth="1"/>
    <col min="3" max="3" width="26.54296875" style="34" customWidth="1"/>
    <col min="4" max="8" width="15.7265625" style="760" customWidth="1"/>
    <col min="9" max="10" width="15.7265625" style="34" customWidth="1"/>
    <col min="11" max="12" width="15.7265625" style="40" customWidth="1"/>
    <col min="13" max="13" width="15.7265625" style="760" customWidth="1"/>
    <col min="14" max="14" width="17.26953125" style="34" customWidth="1"/>
    <col min="15" max="15" width="10.26953125" style="760" customWidth="1"/>
    <col min="16" max="16" width="10.26953125" style="79" customWidth="1"/>
    <col min="17" max="17" width="12.26953125" style="79" customWidth="1"/>
    <col min="18" max="18" width="10.26953125" style="79" customWidth="1"/>
    <col min="19" max="19" width="3.81640625" style="34" customWidth="1"/>
    <col min="20" max="24" width="10.26953125" style="34" customWidth="1"/>
    <col min="25" max="26" width="11.1796875" style="34" customWidth="1"/>
    <col min="27" max="27" width="10.26953125" style="34" customWidth="1"/>
    <col min="28" max="28" width="10.26953125" style="42" customWidth="1"/>
    <col min="29" max="29" width="11.81640625" style="760" customWidth="1"/>
    <col min="30" max="30" width="10.26953125" style="760" customWidth="1"/>
    <col min="31" max="32" width="10.26953125" style="34" customWidth="1"/>
    <col min="33" max="33" width="9.54296875" style="760" customWidth="1"/>
    <col min="34" max="34" width="10.26953125" style="760" customWidth="1"/>
    <col min="35" max="41" width="10.81640625" style="760" customWidth="1"/>
    <col min="42" max="42" width="10.26953125" style="34" customWidth="1"/>
    <col min="43" max="16384" width="10.26953125" style="34"/>
  </cols>
  <sheetData>
    <row r="1" spans="1:52" ht="17.5" x14ac:dyDescent="0.35">
      <c r="B1" s="44" t="s">
        <v>694</v>
      </c>
      <c r="C1" s="33"/>
      <c r="V1" s="49">
        <v>0</v>
      </c>
      <c r="AB1" s="80"/>
      <c r="AR1" s="574" t="s">
        <v>644</v>
      </c>
      <c r="AS1" s="574"/>
      <c r="AT1" s="574"/>
    </row>
    <row r="2" spans="1:52" x14ac:dyDescent="0.25">
      <c r="B2" s="47"/>
      <c r="C2" s="47"/>
      <c r="O2" s="759"/>
      <c r="P2" s="61"/>
      <c r="Q2" s="61"/>
      <c r="R2" s="61"/>
      <c r="T2" s="686"/>
      <c r="U2" s="686"/>
      <c r="V2" s="1977" t="s">
        <v>643</v>
      </c>
      <c r="Z2" s="125"/>
      <c r="AP2" s="827"/>
      <c r="AR2" s="933"/>
      <c r="AS2" s="933"/>
      <c r="AT2" s="1889" t="s">
        <v>643</v>
      </c>
      <c r="AU2" s="52"/>
    </row>
    <row r="3" spans="1:52" ht="39" customHeight="1" x14ac:dyDescent="0.25">
      <c r="A3" s="184" t="s">
        <v>201</v>
      </c>
      <c r="B3" s="36" t="s">
        <v>66</v>
      </c>
      <c r="C3" s="39" t="s">
        <v>51</v>
      </c>
      <c r="D3" s="538" t="s">
        <v>736</v>
      </c>
      <c r="E3" s="141" t="s">
        <v>21</v>
      </c>
      <c r="F3" s="761" t="s">
        <v>64</v>
      </c>
      <c r="G3" s="761" t="s">
        <v>113</v>
      </c>
      <c r="H3" s="766" t="s">
        <v>449</v>
      </c>
      <c r="I3" s="766" t="s">
        <v>450</v>
      </c>
      <c r="J3" s="766" t="s">
        <v>400</v>
      </c>
      <c r="K3" s="157" t="s">
        <v>173</v>
      </c>
      <c r="L3" s="157" t="s">
        <v>194</v>
      </c>
      <c r="M3" s="761" t="s">
        <v>103</v>
      </c>
      <c r="N3" s="766" t="s">
        <v>297</v>
      </c>
      <c r="O3" s="540" t="s">
        <v>695</v>
      </c>
      <c r="P3" s="984"/>
      <c r="Q3" s="970" t="s">
        <v>905</v>
      </c>
      <c r="R3" s="970" t="s">
        <v>899</v>
      </c>
      <c r="T3" s="769" t="s">
        <v>641</v>
      </c>
      <c r="U3" s="769" t="s">
        <v>642</v>
      </c>
      <c r="V3" s="1977"/>
      <c r="W3" s="688" t="s">
        <v>104</v>
      </c>
      <c r="X3" s="689" t="s">
        <v>645</v>
      </c>
      <c r="Y3" s="689" t="s">
        <v>646</v>
      </c>
      <c r="Z3" s="689" t="s">
        <v>647</v>
      </c>
      <c r="AA3" s="689" t="s">
        <v>648</v>
      </c>
      <c r="AB3" s="766" t="s">
        <v>152</v>
      </c>
      <c r="AC3" s="765" t="s">
        <v>151</v>
      </c>
      <c r="AD3" s="765" t="s">
        <v>310</v>
      </c>
      <c r="AE3" s="765" t="s">
        <v>311</v>
      </c>
      <c r="AF3" s="765" t="s">
        <v>455</v>
      </c>
      <c r="AG3" s="766" t="s">
        <v>238</v>
      </c>
      <c r="AH3" s="695" t="s">
        <v>309</v>
      </c>
      <c r="AI3" s="691" t="s">
        <v>196</v>
      </c>
      <c r="AJ3" s="693" t="s">
        <v>649</v>
      </c>
      <c r="AK3" s="693" t="s">
        <v>524</v>
      </c>
      <c r="AL3" s="692" t="s">
        <v>331</v>
      </c>
      <c r="AM3" s="692" t="s">
        <v>650</v>
      </c>
      <c r="AN3" s="692" t="s">
        <v>651</v>
      </c>
      <c r="AO3" s="692" t="s">
        <v>654</v>
      </c>
      <c r="AP3" s="384"/>
      <c r="AR3" s="934" t="s">
        <v>641</v>
      </c>
      <c r="AS3" s="934" t="s">
        <v>642</v>
      </c>
      <c r="AT3" s="1889"/>
      <c r="AU3" s="385"/>
      <c r="AV3" s="871" t="s">
        <v>783</v>
      </c>
      <c r="AW3" s="871" t="s">
        <v>784</v>
      </c>
      <c r="AX3" s="588" t="s">
        <v>800</v>
      </c>
    </row>
    <row r="4" spans="1:52" ht="13" x14ac:dyDescent="0.3">
      <c r="A4" s="185">
        <v>9257010</v>
      </c>
      <c r="B4" s="545" t="s">
        <v>773</v>
      </c>
      <c r="C4" s="861" t="s">
        <v>750</v>
      </c>
      <c r="D4" s="94">
        <v>340000</v>
      </c>
      <c r="E4" s="94">
        <v>105000</v>
      </c>
      <c r="F4" s="767"/>
      <c r="G4" s="767"/>
      <c r="H4" s="767">
        <f>VLOOKUP(A4,'Band Calculations 1718'!$A$107:$W$125,6,FALSE)</f>
        <v>0</v>
      </c>
      <c r="I4" s="333">
        <f>VLOOKUP(A4,'1819 Band Calculations'!$A$112:$W$129,13,FALSE)</f>
        <v>712398.58074547083</v>
      </c>
      <c r="J4" s="333">
        <f>VLOOKUP(A4,'1819 Band Calculations'!$A$112:$W$129,20,FALSE)</f>
        <v>14188.461538461539</v>
      </c>
      <c r="K4" s="94">
        <f>VLOOKUP(A4,'FSM Calculation 1819'!$A$4:$D$21,4,FALSE)</f>
        <v>6732.75</v>
      </c>
      <c r="L4" s="94"/>
      <c r="M4" s="767">
        <f>SUM(D4:L4)</f>
        <v>1178319.7922839322</v>
      </c>
      <c r="N4" s="333">
        <f>M4-F4</f>
        <v>1178319.7922839322</v>
      </c>
      <c r="O4" s="751">
        <f>VLOOKUP(A4,'1819 Band Calculations'!$A$112:$W$129,22,FALSE)</f>
        <v>56</v>
      </c>
      <c r="P4" s="983"/>
      <c r="Q4" s="983">
        <f>O4-(O4*'1819 Band Calculations'!J6)</f>
        <v>47.384615384615387</v>
      </c>
      <c r="R4" s="128">
        <f>'1920 Band Calculations'!AW112</f>
        <v>193956.00651145968</v>
      </c>
      <c r="T4" s="724">
        <f>N4-D4-E4-L4</f>
        <v>733319.79228393221</v>
      </c>
      <c r="U4" s="987">
        <f>T4/O4</f>
        <v>13094.996290784504</v>
      </c>
      <c r="V4" s="724">
        <f>VLOOKUP(A4,'2017-18 Funding Detail'!$A$4:$AQ$23,42,(FALSE))</f>
        <v>11175.152757871787</v>
      </c>
      <c r="W4" s="42">
        <f>U4-V4</f>
        <v>1919.8435329127169</v>
      </c>
      <c r="X4" s="724">
        <f>IF(W4&lt;0,((W4*O4)*-1),(0))</f>
        <v>0</v>
      </c>
      <c r="Y4" s="724">
        <f>N4+X4</f>
        <v>1178319.7922839322</v>
      </c>
      <c r="Z4" s="42">
        <f>O4*10000</f>
        <v>560000</v>
      </c>
      <c r="AA4" s="42">
        <f>IF(Z4&gt;Y4,(Z4-Y4),(0))</f>
        <v>0</v>
      </c>
      <c r="AB4" s="765">
        <f>N4/O4</f>
        <v>21041.424862213076</v>
      </c>
      <c r="AC4" s="765">
        <f t="shared" ref="AC4:AC15" si="0">O4*10000</f>
        <v>560000</v>
      </c>
      <c r="AD4" s="765">
        <f t="shared" ref="AD4:AD15" si="1">AB4-10000</f>
        <v>11041.424862213076</v>
      </c>
      <c r="AE4" s="669">
        <f>VLOOKUP(A4,'2017-18 Funding Detail'!$A$4:$AH$23,27,FALSE)</f>
        <v>9970.8687899910001</v>
      </c>
      <c r="AF4" s="94">
        <f>IF(AD4&gt;AE4,(AD4),(AE4))</f>
        <v>11041.424862213076</v>
      </c>
      <c r="AG4" s="767">
        <f>10000+AF4</f>
        <v>21041.424862213076</v>
      </c>
      <c r="AH4" s="726">
        <f t="shared" ref="AH4:AH15" si="2">X4+AA4</f>
        <v>0</v>
      </c>
      <c r="AI4" s="727">
        <f t="shared" ref="AI4:AI15" si="3">N4+AH4</f>
        <v>1178319.7922839322</v>
      </c>
      <c r="AJ4" s="549">
        <f>VLOOKUP(A4,'2017-18 Funding Detail'!$A$4:$AG$23,32,(FALSE))</f>
        <v>1007482.6888128801</v>
      </c>
      <c r="AK4" s="549">
        <f>AI4-AJ4</f>
        <v>170837.10347105213</v>
      </c>
      <c r="AL4" s="387">
        <f>O4*10000</f>
        <v>560000</v>
      </c>
      <c r="AM4" s="387">
        <f>AI4-AL4</f>
        <v>618319.79228393221</v>
      </c>
      <c r="AN4" s="696">
        <f>AM4/O4</f>
        <v>11041.424862213074</v>
      </c>
      <c r="AO4" s="696">
        <f t="shared" ref="AO4:AO15" si="4">AI4/O4</f>
        <v>21041.424862213076</v>
      </c>
      <c r="AP4" s="609" t="s">
        <v>556</v>
      </c>
      <c r="AR4" s="988">
        <f>SUM(AI4-'1920 Funding Detail'!D4-'1920 Funding Detail'!E4-R4)</f>
        <v>539363.7857724725</v>
      </c>
      <c r="AS4" s="723">
        <f>AR4/Q4</f>
        <v>11382.677297146334</v>
      </c>
      <c r="AT4" s="723">
        <f>AS4*98.5%</f>
        <v>11211.937137689139</v>
      </c>
      <c r="AU4" s="73"/>
      <c r="AV4" s="869">
        <f>(U4-V4)/V4</f>
        <v>0.17179573062751893</v>
      </c>
      <c r="AW4" s="869">
        <f>IF(AV4&gt;=0,(AV4),(AV4*-1))</f>
        <v>0.17179573062751893</v>
      </c>
      <c r="AX4" s="869">
        <f>IF(AV4&lt;0,(AV4+AW4),(AV4))</f>
        <v>0.17179573062751893</v>
      </c>
      <c r="AY4" s="873"/>
      <c r="AZ4" s="125"/>
    </row>
    <row r="5" spans="1:52" ht="13" x14ac:dyDescent="0.3">
      <c r="A5" s="185">
        <v>9257005</v>
      </c>
      <c r="B5" s="545" t="s">
        <v>774</v>
      </c>
      <c r="C5" s="861" t="s">
        <v>750</v>
      </c>
      <c r="D5" s="94">
        <v>340000</v>
      </c>
      <c r="E5" s="94">
        <v>105000</v>
      </c>
      <c r="F5" s="767"/>
      <c r="G5" s="767"/>
      <c r="H5" s="767">
        <f>VLOOKUP(A5,'Band Calculations 1718'!$A$107:$W$125,6,FALSE)</f>
        <v>0</v>
      </c>
      <c r="I5" s="333">
        <f>VLOOKUP(A5,'1819 Band Calculations'!$A$112:$W$129,13,FALSE)</f>
        <v>888007.32749666716</v>
      </c>
      <c r="J5" s="333">
        <f>VLOOKUP(A5,'1819 Band Calculations'!$A$112:$W$129,20,FALSE)</f>
        <v>30847.066666666666</v>
      </c>
      <c r="K5" s="94">
        <f>VLOOKUP(A5,'FSM Calculation 1819'!$A$4:$D$21,4,FALSE)</f>
        <v>6283.9000000000005</v>
      </c>
      <c r="L5" s="94"/>
      <c r="M5" s="767">
        <f t="shared" ref="M5:M15" si="5">SUM(D5:L5)</f>
        <v>1370138.2941633337</v>
      </c>
      <c r="N5" s="333">
        <f t="shared" ref="N5:N15" si="6">M5-F5</f>
        <v>1370138.2941633337</v>
      </c>
      <c r="O5" s="751">
        <f>VLOOKUP(A5,'1819 Band Calculations'!$A$112:$W$129,22,FALSE)</f>
        <v>73.166666666666671</v>
      </c>
      <c r="P5" s="983"/>
      <c r="Q5" s="983">
        <f>O5-(O5*'1819 Band Calculations'!J7)</f>
        <v>66.337777777777788</v>
      </c>
      <c r="R5" s="128">
        <f>'1920 Band Calculations'!AW113</f>
        <v>153737.07349456951</v>
      </c>
      <c r="T5" s="724">
        <f t="shared" ref="T5:T23" si="7">N5-D5-E5-L5</f>
        <v>925138.29416333372</v>
      </c>
      <c r="U5" s="987">
        <f t="shared" ref="U5:U15" si="8">T5/O5</f>
        <v>12644.259145740323</v>
      </c>
      <c r="V5" s="724">
        <f>VLOOKUP(A5,'2017-18 Funding Detail'!$A$4:$AQ$23,42,(FALSE))</f>
        <v>10512.026033820259</v>
      </c>
      <c r="W5" s="42">
        <f t="shared" ref="W5:W23" si="9">U5-V5</f>
        <v>2132.2331119200644</v>
      </c>
      <c r="X5" s="724">
        <f>IF(W5&lt;0,((W5*O5)*-1),(0))</f>
        <v>0</v>
      </c>
      <c r="Y5" s="724">
        <f t="shared" ref="Y5:Y23" si="10">N5+X5</f>
        <v>1370138.2941633337</v>
      </c>
      <c r="Z5" s="42">
        <f t="shared" ref="Z5:Z23" si="11">O5*10000</f>
        <v>731666.66666666674</v>
      </c>
      <c r="AA5" s="42">
        <f t="shared" ref="AA5:AA23" si="12">IF(Z5&gt;Y5,(Z5-Y5),(0))</f>
        <v>0</v>
      </c>
      <c r="AB5" s="765">
        <f t="shared" ref="AB5:AB23" si="13">N5/O5</f>
        <v>18726.263701548978</v>
      </c>
      <c r="AC5" s="765">
        <f t="shared" si="0"/>
        <v>731666.66666666674</v>
      </c>
      <c r="AD5" s="765">
        <f t="shared" si="1"/>
        <v>8726.2637015489781</v>
      </c>
      <c r="AE5" s="669">
        <f>VLOOKUP(A5,'2017-18 Funding Detail'!$A$4:$AH$23,27,FALSE)</f>
        <v>6471.8474623916882</v>
      </c>
      <c r="AF5" s="767">
        <f>IF(AD5&gt;AE5,(AD5),(AE5))</f>
        <v>8726.2637015489781</v>
      </c>
      <c r="AG5" s="767">
        <f t="shared" ref="AG5:AG23" si="14">10000+AF5</f>
        <v>18726.263701548978</v>
      </c>
      <c r="AH5" s="726">
        <f t="shared" si="2"/>
        <v>0</v>
      </c>
      <c r="AI5" s="727">
        <f t="shared" si="3"/>
        <v>1370138.2941633337</v>
      </c>
      <c r="AJ5" s="549">
        <f>VLOOKUP(A5,'2017-18 Funding Detail'!$A$4:$AG$23,32,(FALSE))</f>
        <v>1229897.9438585793</v>
      </c>
      <c r="AK5" s="549">
        <f>AI5-AJ5</f>
        <v>140240.35030475445</v>
      </c>
      <c r="AL5" s="387">
        <f t="shared" ref="AL5:AL15" si="15">O5*10000</f>
        <v>731666.66666666674</v>
      </c>
      <c r="AM5" s="387">
        <f t="shared" ref="AM5:AM15" si="16">AI5-AL5</f>
        <v>638471.62749666697</v>
      </c>
      <c r="AN5" s="387">
        <f t="shared" ref="AN5:AN15" si="17">AM5/O5</f>
        <v>8726.2637015489781</v>
      </c>
      <c r="AO5" s="696">
        <f t="shared" si="4"/>
        <v>18726.263701548978</v>
      </c>
      <c r="AP5" s="609" t="s">
        <v>556</v>
      </c>
      <c r="AR5" s="988">
        <f>SUM(AI5-'1920 Funding Detail'!D5-'1920 Funding Detail'!E5-R5)</f>
        <v>771401.2206687642</v>
      </c>
      <c r="AS5" s="723">
        <f t="shared" ref="AS5:AS23" si="18">AR5/Q5</f>
        <v>11628.385009411224</v>
      </c>
      <c r="AT5" s="723">
        <f t="shared" ref="AT5:AT23" si="19">AS5*98.5%</f>
        <v>11453.959234270056</v>
      </c>
      <c r="AU5" s="73"/>
      <c r="AV5" s="869">
        <f t="shared" ref="AV5:AV23" si="20">(U5-V5)/V5</f>
        <v>0.20283750297611969</v>
      </c>
      <c r="AW5" s="869">
        <f t="shared" ref="AW5:AW23" si="21">IF(AV5&gt;=0,(AV5),(AV5*-1))</f>
        <v>0.20283750297611969</v>
      </c>
      <c r="AX5" s="869">
        <f t="shared" ref="AX5:AX23" si="22">IF(AV5&lt;0,(AV5+AW5),(AV5))</f>
        <v>0.20283750297611969</v>
      </c>
      <c r="AY5" s="873"/>
    </row>
    <row r="6" spans="1:52" ht="13" x14ac:dyDescent="0.3">
      <c r="A6" s="185">
        <v>9257025</v>
      </c>
      <c r="B6" s="545" t="s">
        <v>776</v>
      </c>
      <c r="C6" s="861" t="s">
        <v>750</v>
      </c>
      <c r="D6" s="94">
        <v>340000</v>
      </c>
      <c r="E6" s="94">
        <v>105000</v>
      </c>
      <c r="F6" s="767"/>
      <c r="G6" s="767"/>
      <c r="H6" s="767">
        <f>VLOOKUP(A6,'Band Calculations 1718'!$A$107:$W$125,6,FALSE)</f>
        <v>0</v>
      </c>
      <c r="I6" s="333">
        <f>VLOOKUP(A6,'1819 Band Calculations'!$A$112:$W$129,13,FALSE)</f>
        <v>731384.85274760542</v>
      </c>
      <c r="J6" s="333">
        <f>VLOOKUP(A6,'1819 Band Calculations'!$A$112:$W$129,20,FALSE)</f>
        <v>26022.263681592041</v>
      </c>
      <c r="K6" s="94">
        <f>VLOOKUP(A6,'FSM Calculation 1819'!$A$4:$D$21,4,FALSE)</f>
        <v>8977</v>
      </c>
      <c r="L6" s="94"/>
      <c r="M6" s="767">
        <f t="shared" si="5"/>
        <v>1211384.1164291974</v>
      </c>
      <c r="N6" s="333">
        <f t="shared" si="6"/>
        <v>1211384.1164291974</v>
      </c>
      <c r="O6" s="751">
        <f>VLOOKUP(A6,'1819 Band Calculations'!$A$112:$W$129,22,FALSE)</f>
        <v>66.166666666666671</v>
      </c>
      <c r="P6" s="983"/>
      <c r="Q6" s="983">
        <f>O6-(O6*'1819 Band Calculations'!J8)</f>
        <v>60.241293532338311</v>
      </c>
      <c r="R6" s="128">
        <f>'1920 Band Calculations'!AW114</f>
        <v>133396.44850821473</v>
      </c>
      <c r="T6" s="724">
        <f t="shared" si="7"/>
        <v>766384.11642919737</v>
      </c>
      <c r="U6" s="987">
        <f t="shared" si="8"/>
        <v>11582.631482557139</v>
      </c>
      <c r="V6" s="724">
        <f>VLOOKUP(A6,'2017-18 Funding Detail'!$A$4:$AQ$23,42,(FALSE))</f>
        <v>11069.307235482911</v>
      </c>
      <c r="W6" s="42">
        <f t="shared" si="9"/>
        <v>513.32424707422797</v>
      </c>
      <c r="X6" s="724">
        <f t="shared" ref="X6:X23" si="23">IF(W6&lt;0,((W6*O6)*-1),(0))</f>
        <v>0</v>
      </c>
      <c r="Y6" s="724">
        <f t="shared" si="10"/>
        <v>1211384.1164291974</v>
      </c>
      <c r="Z6" s="42">
        <f t="shared" si="11"/>
        <v>661666.66666666674</v>
      </c>
      <c r="AA6" s="42">
        <f t="shared" si="12"/>
        <v>0</v>
      </c>
      <c r="AB6" s="765">
        <f t="shared" si="13"/>
        <v>18308.072288602478</v>
      </c>
      <c r="AC6" s="765">
        <f t="shared" si="0"/>
        <v>661666.66666666674</v>
      </c>
      <c r="AD6" s="765">
        <f t="shared" si="1"/>
        <v>8308.0722886024778</v>
      </c>
      <c r="AE6" s="669">
        <f>VLOOKUP(A6,'2017-18 Funding Detail'!$A$4:$AH$23,27,FALSE)</f>
        <v>8151.5353521937868</v>
      </c>
      <c r="AF6" s="767">
        <f t="shared" ref="AF6:AF23" si="24">IF(AD6&gt;AE6,(AD6),(AE6))</f>
        <v>8308.0722886024778</v>
      </c>
      <c r="AG6" s="767">
        <f t="shared" si="14"/>
        <v>18308.072288602478</v>
      </c>
      <c r="AH6" s="726">
        <f t="shared" si="2"/>
        <v>0</v>
      </c>
      <c r="AI6" s="727">
        <f t="shared" si="3"/>
        <v>1211384.1164291974</v>
      </c>
      <c r="AJ6" s="549">
        <f>VLOOKUP(A6,'2017-18 Funding Detail'!$A$4:$AG$23,32,(FALSE))</f>
        <v>1140521.4712961763</v>
      </c>
      <c r="AK6" s="549">
        <f t="shared" ref="AK6:AK23" si="25">AI6-AJ6</f>
        <v>70862.645133021055</v>
      </c>
      <c r="AL6" s="387">
        <f t="shared" si="15"/>
        <v>661666.66666666674</v>
      </c>
      <c r="AM6" s="387">
        <f t="shared" si="16"/>
        <v>549717.44976253062</v>
      </c>
      <c r="AN6" s="387">
        <f t="shared" si="17"/>
        <v>8308.0722886024778</v>
      </c>
      <c r="AO6" s="696">
        <f t="shared" si="4"/>
        <v>18308.072288602478</v>
      </c>
      <c r="AP6" s="609" t="s">
        <v>556</v>
      </c>
      <c r="AR6" s="988">
        <f>SUM(AI6-'1920 Funding Detail'!D6-'1920 Funding Detail'!E6-R6)</f>
        <v>632987.6679209827</v>
      </c>
      <c r="AS6" s="723">
        <f t="shared" si="18"/>
        <v>10507.537783550193</v>
      </c>
      <c r="AT6" s="723">
        <f t="shared" si="19"/>
        <v>10349.924716796941</v>
      </c>
      <c r="AU6" s="73"/>
      <c r="AV6" s="869">
        <f t="shared" si="20"/>
        <v>4.637365610638719E-2</v>
      </c>
      <c r="AW6" s="869">
        <f t="shared" si="21"/>
        <v>4.637365610638719E-2</v>
      </c>
      <c r="AX6" s="869">
        <f t="shared" si="22"/>
        <v>4.637365610638719E-2</v>
      </c>
      <c r="AY6" s="873"/>
    </row>
    <row r="7" spans="1:52" ht="13" x14ac:dyDescent="0.3">
      <c r="A7" s="185">
        <v>9257011</v>
      </c>
      <c r="B7" s="38" t="s">
        <v>70</v>
      </c>
      <c r="C7" s="861" t="s">
        <v>755</v>
      </c>
      <c r="D7" s="94">
        <v>317500</v>
      </c>
      <c r="E7" s="94">
        <v>100000</v>
      </c>
      <c r="F7" s="767"/>
      <c r="G7" s="767"/>
      <c r="H7" s="767">
        <f>VLOOKUP(A7,'Band Calculations 1718'!$A$107:$W$125,6,FALSE)</f>
        <v>0</v>
      </c>
      <c r="I7" s="333">
        <f>VLOOKUP(A7,'1819 Band Calculations'!$A$112:$W$129,13,FALSE)</f>
        <v>673698.69273188594</v>
      </c>
      <c r="J7" s="333">
        <f>VLOOKUP(A7,'1819 Band Calculations'!$A$112:$W$129,20,FALSE)</f>
        <v>8405.1620370370365</v>
      </c>
      <c r="K7" s="94">
        <f>VLOOKUP(A7,'FSM Calculation 1819'!$A$4:$D$21,4,FALSE)</f>
        <v>12118.95</v>
      </c>
      <c r="L7" s="94"/>
      <c r="M7" s="767">
        <f t="shared" si="5"/>
        <v>1111722.804768923</v>
      </c>
      <c r="N7" s="333">
        <f t="shared" si="6"/>
        <v>1111722.804768923</v>
      </c>
      <c r="O7" s="751">
        <f>VLOOKUP(A7,'1819 Band Calculations'!$A$112:$W$129,22,FALSE)</f>
        <v>57.416666666666664</v>
      </c>
      <c r="P7" s="983"/>
      <c r="Q7" s="983">
        <f>O7-(O7*'1819 Band Calculations'!J9)</f>
        <v>51.037037037037038</v>
      </c>
      <c r="R7" s="128">
        <f>'1920 Band Calculations'!AW115</f>
        <v>143623.01176613296</v>
      </c>
      <c r="T7" s="724">
        <f t="shared" si="7"/>
        <v>694222.80476892297</v>
      </c>
      <c r="U7" s="987">
        <f t="shared" si="8"/>
        <v>12090.963218036395</v>
      </c>
      <c r="V7" s="724">
        <f>VLOOKUP(A7,'2017-18 Funding Detail'!$A$4:$AQ$23,42,(FALSE))</f>
        <v>11835.791806299274</v>
      </c>
      <c r="W7" s="42">
        <f t="shared" si="9"/>
        <v>255.17141173712116</v>
      </c>
      <c r="X7" s="724">
        <f t="shared" si="23"/>
        <v>0</v>
      </c>
      <c r="Y7" s="724">
        <f t="shared" si="10"/>
        <v>1111722.804768923</v>
      </c>
      <c r="Z7" s="42">
        <f t="shared" si="11"/>
        <v>574166.66666666663</v>
      </c>
      <c r="AA7" s="42">
        <f t="shared" si="12"/>
        <v>0</v>
      </c>
      <c r="AB7" s="765">
        <f>N7/O7</f>
        <v>19362.37105548197</v>
      </c>
      <c r="AC7" s="765">
        <f t="shared" si="0"/>
        <v>574166.66666666663</v>
      </c>
      <c r="AD7" s="765">
        <f t="shared" si="1"/>
        <v>9362.37105548197</v>
      </c>
      <c r="AE7" s="669">
        <f>VLOOKUP(A7,'2017-18 Funding Detail'!$A$4:$AH$23,27,FALSE)</f>
        <v>9591.2097629556192</v>
      </c>
      <c r="AF7" s="767">
        <f t="shared" si="24"/>
        <v>9591.2097629556192</v>
      </c>
      <c r="AG7" s="767">
        <f t="shared" si="14"/>
        <v>19591.209762955619</v>
      </c>
      <c r="AH7" s="726">
        <f t="shared" si="2"/>
        <v>0</v>
      </c>
      <c r="AI7" s="727">
        <f t="shared" si="3"/>
        <v>1111722.804768923</v>
      </c>
      <c r="AJ7" s="549">
        <f>VLOOKUP(A7,'2017-18 Funding Detail'!$A$4:$AG$23,32,(FALSE))</f>
        <v>1054660.1255724442</v>
      </c>
      <c r="AK7" s="549">
        <f t="shared" si="25"/>
        <v>57062.679196478799</v>
      </c>
      <c r="AL7" s="387">
        <f t="shared" si="15"/>
        <v>574166.66666666663</v>
      </c>
      <c r="AM7" s="387">
        <f t="shared" si="16"/>
        <v>537556.13810225634</v>
      </c>
      <c r="AN7" s="387">
        <f t="shared" si="17"/>
        <v>9362.3710554819681</v>
      </c>
      <c r="AO7" s="696">
        <f t="shared" si="4"/>
        <v>19362.37105548197</v>
      </c>
      <c r="AP7" s="609" t="s">
        <v>556</v>
      </c>
      <c r="AR7" s="988">
        <f>SUM(AI7-'1920 Funding Detail'!D7-'1920 Funding Detail'!E7-R7)</f>
        <v>523099.79300279001</v>
      </c>
      <c r="AS7" s="723">
        <f t="shared" si="18"/>
        <v>10249.415392652634</v>
      </c>
      <c r="AT7" s="723">
        <f t="shared" si="19"/>
        <v>10095.674161762845</v>
      </c>
      <c r="AU7" s="73"/>
      <c r="AV7" s="869">
        <f t="shared" si="20"/>
        <v>2.1559302150052456E-2</v>
      </c>
      <c r="AW7" s="869">
        <f t="shared" si="21"/>
        <v>2.1559302150052456E-2</v>
      </c>
      <c r="AX7" s="869">
        <f t="shared" si="22"/>
        <v>2.1559302150052456E-2</v>
      </c>
      <c r="AY7" s="873"/>
    </row>
    <row r="8" spans="1:52" ht="13" x14ac:dyDescent="0.3">
      <c r="A8" s="185">
        <v>9257024</v>
      </c>
      <c r="B8" s="545" t="s">
        <v>777</v>
      </c>
      <c r="C8" s="861" t="s">
        <v>750</v>
      </c>
      <c r="D8" s="94">
        <v>340000</v>
      </c>
      <c r="E8" s="94">
        <v>105000</v>
      </c>
      <c r="F8" s="767"/>
      <c r="G8" s="767"/>
      <c r="H8" s="767">
        <f>VLOOKUP(A8,'Band Calculations 1718'!$A$107:$W$125,6,FALSE)</f>
        <v>0</v>
      </c>
      <c r="I8" s="333">
        <f>VLOOKUP(A8,'1819 Band Calculations'!$A$112:$W$129,13,FALSE)</f>
        <v>867312.67086854717</v>
      </c>
      <c r="J8" s="333">
        <f>VLOOKUP(A8,'1819 Band Calculations'!$A$112:$W$129,20,FALSE)</f>
        <v>11431.062801932369</v>
      </c>
      <c r="K8" s="94">
        <f>VLOOKUP(A8,'FSM Calculation 1819'!$A$4:$D$21,4,FALSE)</f>
        <v>13016.650000000001</v>
      </c>
      <c r="L8" s="94"/>
      <c r="M8" s="767">
        <f t="shared" si="5"/>
        <v>1336760.3836704795</v>
      </c>
      <c r="N8" s="333">
        <f t="shared" si="6"/>
        <v>1336760.3836704795</v>
      </c>
      <c r="O8" s="751">
        <f>VLOOKUP(A8,'1819 Band Calculations'!$A$112:$W$129,22,FALSE)</f>
        <v>74.833333333333343</v>
      </c>
      <c r="P8" s="983"/>
      <c r="Q8" s="983">
        <f>O8-(O8*'1819 Band Calculations'!J10)</f>
        <v>65.072463768115952</v>
      </c>
      <c r="R8" s="128">
        <f>'1920 Band Calculations'!AW116</f>
        <v>219744.02368155867</v>
      </c>
      <c r="T8" s="724">
        <f t="shared" si="7"/>
        <v>891760.38367047952</v>
      </c>
      <c r="U8" s="987">
        <f t="shared" si="8"/>
        <v>11916.619826331573</v>
      </c>
      <c r="V8" s="724">
        <f>VLOOKUP(A8,'2017-18 Funding Detail'!$A$4:$AQ$23,42,(FALSE))</f>
        <v>8635.4124871368913</v>
      </c>
      <c r="W8" s="42">
        <f t="shared" si="9"/>
        <v>3281.2073391946815</v>
      </c>
      <c r="X8" s="724">
        <f t="shared" si="23"/>
        <v>0</v>
      </c>
      <c r="Y8" s="724">
        <f t="shared" si="10"/>
        <v>1336760.3836704795</v>
      </c>
      <c r="Z8" s="42">
        <f t="shared" si="11"/>
        <v>748333.33333333337</v>
      </c>
      <c r="AA8" s="42">
        <f t="shared" si="12"/>
        <v>0</v>
      </c>
      <c r="AB8" s="765">
        <f t="shared" si="13"/>
        <v>17863.167710518654</v>
      </c>
      <c r="AC8" s="765">
        <f t="shared" si="0"/>
        <v>748333.33333333337</v>
      </c>
      <c r="AD8" s="765">
        <f t="shared" si="1"/>
        <v>7863.1677105186536</v>
      </c>
      <c r="AE8" s="669">
        <f>VLOOKUP(A8,'2017-18 Funding Detail'!$A$4:$AH$23,27,FALSE)</f>
        <v>5420.0844284477953</v>
      </c>
      <c r="AF8" s="767">
        <f t="shared" si="24"/>
        <v>7863.1677105186536</v>
      </c>
      <c r="AG8" s="767">
        <f t="shared" si="14"/>
        <v>17863.167710518654</v>
      </c>
      <c r="AH8" s="726">
        <f t="shared" si="2"/>
        <v>0</v>
      </c>
      <c r="AI8" s="727">
        <f t="shared" si="3"/>
        <v>1336760.3836704795</v>
      </c>
      <c r="AJ8" s="549">
        <f>VLOOKUP(A8,'2017-18 Funding Detail'!$A$4:$AG$23,32,(FALSE))</f>
        <v>999825.25229854521</v>
      </c>
      <c r="AK8" s="549">
        <f t="shared" si="25"/>
        <v>336935.13137193432</v>
      </c>
      <c r="AL8" s="387">
        <f t="shared" si="15"/>
        <v>748333.33333333337</v>
      </c>
      <c r="AM8" s="387">
        <f t="shared" si="16"/>
        <v>588427.05033714615</v>
      </c>
      <c r="AN8" s="387">
        <f t="shared" si="17"/>
        <v>7863.1677105186554</v>
      </c>
      <c r="AO8" s="696">
        <f t="shared" si="4"/>
        <v>17863.167710518654</v>
      </c>
      <c r="AP8" s="609" t="s">
        <v>556</v>
      </c>
      <c r="AR8" s="988">
        <f>SUM(AI8-'1920 Funding Detail'!D8-'1920 Funding Detail'!E8-R8)</f>
        <v>672016.35998892086</v>
      </c>
      <c r="AS8" s="723">
        <f t="shared" si="18"/>
        <v>10327.200186912145</v>
      </c>
      <c r="AT8" s="723">
        <f t="shared" si="19"/>
        <v>10172.292184108463</v>
      </c>
      <c r="AU8" s="73"/>
      <c r="AV8" s="869">
        <f t="shared" si="20"/>
        <v>0.37997111823926089</v>
      </c>
      <c r="AW8" s="869">
        <f t="shared" si="21"/>
        <v>0.37997111823926089</v>
      </c>
      <c r="AX8" s="869">
        <f t="shared" si="22"/>
        <v>0.37997111823926089</v>
      </c>
      <c r="AY8" s="873"/>
    </row>
    <row r="9" spans="1:52" ht="13" x14ac:dyDescent="0.3">
      <c r="A9" s="185">
        <v>9257008</v>
      </c>
      <c r="B9" s="545" t="s">
        <v>87</v>
      </c>
      <c r="C9" s="861" t="s">
        <v>750</v>
      </c>
      <c r="D9" s="94">
        <v>340000</v>
      </c>
      <c r="E9" s="94">
        <v>105000</v>
      </c>
      <c r="F9" s="767"/>
      <c r="G9" s="767"/>
      <c r="H9" s="767">
        <f>VLOOKUP(A9,'Band Calculations 1718'!$A$107:$W$125,6,FALSE)</f>
        <v>0</v>
      </c>
      <c r="I9" s="333">
        <f>VLOOKUP(A9,'1819 Band Calculations'!$A$112:$W$129,13,FALSE)</f>
        <v>829611.0921033062</v>
      </c>
      <c r="J9" s="333">
        <f>VLOOKUP(A9,'1819 Band Calculations'!$A$112:$W$129,20,FALSE)</f>
        <v>37666.987179487187</v>
      </c>
      <c r="K9" s="94">
        <f>VLOOKUP(A9,'FSM Calculation 1819'!$A$4:$D$21,4,FALSE)</f>
        <v>15260.900000000001</v>
      </c>
      <c r="L9" s="94"/>
      <c r="M9" s="767">
        <f t="shared" si="5"/>
        <v>1327538.9792827934</v>
      </c>
      <c r="N9" s="333">
        <f t="shared" si="6"/>
        <v>1327538.9792827934</v>
      </c>
      <c r="O9" s="751">
        <f>VLOOKUP(A9,'1819 Band Calculations'!$A$112:$W$129,22,FALSE)</f>
        <v>92.916666666666671</v>
      </c>
      <c r="P9" s="983"/>
      <c r="Q9" s="983">
        <f>O9-(O9*'1819 Band Calculations'!J13)</f>
        <v>92.916666666666671</v>
      </c>
      <c r="R9" s="128">
        <f>'1920 Band Calculations'!AW119</f>
        <v>0</v>
      </c>
      <c r="T9" s="724">
        <f t="shared" si="7"/>
        <v>882538.97928279336</v>
      </c>
      <c r="U9" s="987">
        <f t="shared" si="8"/>
        <v>9498.1773555098825</v>
      </c>
      <c r="V9" s="724">
        <f>VLOOKUP(A9,'2017-18 Funding Detail'!$A$4:$AQ$23,42,(FALSE))</f>
        <v>9433.1831437895362</v>
      </c>
      <c r="W9" s="42">
        <f t="shared" si="9"/>
        <v>64.994211720346357</v>
      </c>
      <c r="X9" s="724">
        <f t="shared" si="23"/>
        <v>0</v>
      </c>
      <c r="Y9" s="724">
        <f t="shared" si="10"/>
        <v>1327538.9792827934</v>
      </c>
      <c r="Z9" s="42">
        <f t="shared" si="11"/>
        <v>929166.66666666674</v>
      </c>
      <c r="AA9" s="42">
        <f t="shared" si="12"/>
        <v>0</v>
      </c>
      <c r="AB9" s="765">
        <f t="shared" si="13"/>
        <v>14287.415023671318</v>
      </c>
      <c r="AC9" s="765">
        <f t="shared" si="0"/>
        <v>929166.66666666674</v>
      </c>
      <c r="AD9" s="765">
        <f t="shared" si="1"/>
        <v>4287.4150236713176</v>
      </c>
      <c r="AE9" s="669">
        <f>VLOOKUP(A9,'2017-18 Funding Detail'!$A$4:$AH$23,27,FALSE)</f>
        <v>4377.6275882339796</v>
      </c>
      <c r="AF9" s="767">
        <f t="shared" si="24"/>
        <v>4377.6275882339796</v>
      </c>
      <c r="AG9" s="767">
        <f t="shared" si="14"/>
        <v>14377.62758823398</v>
      </c>
      <c r="AH9" s="726">
        <f t="shared" si="2"/>
        <v>0</v>
      </c>
      <c r="AI9" s="727">
        <f t="shared" si="3"/>
        <v>1327538.9792827934</v>
      </c>
      <c r="AJ9" s="549">
        <f>VLOOKUP(A9,'2017-18 Funding Detail'!$A$4:$AG$23,32,(FALSE))</f>
        <v>1293986.4829410582</v>
      </c>
      <c r="AK9" s="549">
        <f t="shared" si="25"/>
        <v>33552.496341735125</v>
      </c>
      <c r="AL9" s="387">
        <f t="shared" si="15"/>
        <v>929166.66666666674</v>
      </c>
      <c r="AM9" s="387">
        <f t="shared" si="16"/>
        <v>398372.31261612661</v>
      </c>
      <c r="AN9" s="387">
        <f t="shared" si="17"/>
        <v>4287.4150236713176</v>
      </c>
      <c r="AO9" s="696">
        <f t="shared" si="4"/>
        <v>14287.415023671318</v>
      </c>
      <c r="AP9" s="609" t="s">
        <v>556</v>
      </c>
      <c r="AR9" s="988">
        <f>SUM(AI9-'1920 Funding Detail'!D9-'1920 Funding Detail'!E9-R9)</f>
        <v>882538.97928279336</v>
      </c>
      <c r="AS9" s="723">
        <f t="shared" si="18"/>
        <v>9498.1773555098825</v>
      </c>
      <c r="AT9" s="723">
        <f t="shared" si="19"/>
        <v>9355.7046951772336</v>
      </c>
      <c r="AU9" s="73"/>
      <c r="AV9" s="869">
        <f t="shared" si="20"/>
        <v>6.889955461443169E-3</v>
      </c>
      <c r="AW9" s="869">
        <f t="shared" si="21"/>
        <v>6.889955461443169E-3</v>
      </c>
      <c r="AX9" s="869">
        <f t="shared" si="22"/>
        <v>6.889955461443169E-3</v>
      </c>
      <c r="AY9" s="873"/>
    </row>
    <row r="10" spans="1:52" ht="13" x14ac:dyDescent="0.3">
      <c r="A10" s="185">
        <v>9257002</v>
      </c>
      <c r="B10" s="545" t="s">
        <v>775</v>
      </c>
      <c r="C10" s="861" t="s">
        <v>751</v>
      </c>
      <c r="D10" s="94">
        <v>385000</v>
      </c>
      <c r="E10" s="94">
        <v>115000</v>
      </c>
      <c r="F10" s="767"/>
      <c r="G10" s="767"/>
      <c r="H10" s="767">
        <f>VLOOKUP(A10,'Band Calculations 1718'!$A$107:$W$125,6,FALSE)</f>
        <v>0</v>
      </c>
      <c r="I10" s="333">
        <f>VLOOKUP(A10,'1819 Band Calculations'!$A$112:$W$129,13,FALSE)</f>
        <v>1186455.6800731951</v>
      </c>
      <c r="J10" s="333">
        <f>VLOOKUP(A10,'1819 Band Calculations'!$A$112:$W$129,20,FALSE)</f>
        <v>70563.657074340532</v>
      </c>
      <c r="K10" s="94">
        <f>VLOOKUP(A10,'FSM Calculation 1819'!$A$4:$D$21,4,FALSE)</f>
        <v>23789.050000000003</v>
      </c>
      <c r="L10" s="94"/>
      <c r="M10" s="767">
        <f t="shared" si="5"/>
        <v>1780808.3871475358</v>
      </c>
      <c r="N10" s="333">
        <f t="shared" si="6"/>
        <v>1780808.3871475358</v>
      </c>
      <c r="O10" s="751">
        <f>VLOOKUP(A10,'1819 Band Calculations'!$A$112:$W$129,22,FALSE)</f>
        <v>143.16666666666669</v>
      </c>
      <c r="P10" s="983"/>
      <c r="Q10" s="983">
        <f>O10-(O10*'1819 Band Calculations'!J15)</f>
        <v>142.13669064748203</v>
      </c>
      <c r="R10" s="128">
        <f>'1920 Band Calculations'!AW121</f>
        <v>23187.593404349416</v>
      </c>
      <c r="T10" s="724">
        <f t="shared" si="7"/>
        <v>1280808.3871475358</v>
      </c>
      <c r="U10" s="987">
        <f t="shared" si="8"/>
        <v>8946.275113952519</v>
      </c>
      <c r="V10" s="724">
        <f>VLOOKUP(A10,'2017-18 Funding Detail'!$A$4:$AQ$23,42,(FALSE))</f>
        <v>7921.1194050445165</v>
      </c>
      <c r="W10" s="42">
        <f t="shared" si="9"/>
        <v>1025.1557089080025</v>
      </c>
      <c r="X10" s="724">
        <f t="shared" si="23"/>
        <v>0</v>
      </c>
      <c r="Y10" s="724">
        <f t="shared" si="10"/>
        <v>1780808.3871475358</v>
      </c>
      <c r="Z10" s="42">
        <f t="shared" si="11"/>
        <v>1431666.6666666667</v>
      </c>
      <c r="AA10" s="42">
        <f t="shared" si="12"/>
        <v>0</v>
      </c>
      <c r="AB10" s="765">
        <f t="shared" si="13"/>
        <v>12438.708175652169</v>
      </c>
      <c r="AC10" s="765">
        <f t="shared" si="0"/>
        <v>1431666.6666666667</v>
      </c>
      <c r="AD10" s="765">
        <f t="shared" si="1"/>
        <v>2438.7081756521693</v>
      </c>
      <c r="AE10" s="669">
        <f>VLOOKUP(A10,'2017-18 Funding Detail'!$A$4:$AH$23,27,FALSE)</f>
        <v>1627.1107577313596</v>
      </c>
      <c r="AF10" s="767">
        <f t="shared" si="24"/>
        <v>2438.7081756521693</v>
      </c>
      <c r="AG10" s="767">
        <f t="shared" si="14"/>
        <v>12438.708175652169</v>
      </c>
      <c r="AH10" s="726">
        <f t="shared" si="2"/>
        <v>0</v>
      </c>
      <c r="AI10" s="727">
        <f t="shared" si="3"/>
        <v>1780808.3871475358</v>
      </c>
      <c r="AJ10" s="549">
        <f>VLOOKUP(A10,'2017-18 Funding Detail'!$A$4:$AG$23,32,(FALSE))</f>
        <v>1568691.0263972562</v>
      </c>
      <c r="AK10" s="549">
        <f t="shared" si="25"/>
        <v>212117.36075027962</v>
      </c>
      <c r="AL10" s="387">
        <f t="shared" si="15"/>
        <v>1431666.6666666667</v>
      </c>
      <c r="AM10" s="387">
        <f t="shared" si="16"/>
        <v>349141.72048086906</v>
      </c>
      <c r="AN10" s="387">
        <f t="shared" si="17"/>
        <v>2438.7081756521702</v>
      </c>
      <c r="AO10" s="696">
        <f t="shared" si="4"/>
        <v>12438.708175652169</v>
      </c>
      <c r="AP10" s="609" t="s">
        <v>556</v>
      </c>
      <c r="AR10" s="988">
        <f>SUM(AI10-'1920 Funding Detail'!D10-'1920 Funding Detail'!E10-R10)</f>
        <v>1257620.7937431864</v>
      </c>
      <c r="AS10" s="723">
        <f t="shared" si="18"/>
        <v>8847.9673194464194</v>
      </c>
      <c r="AT10" s="723">
        <f t="shared" si="19"/>
        <v>8715.2478096547238</v>
      </c>
      <c r="AU10" s="73"/>
      <c r="AV10" s="869">
        <f t="shared" si="20"/>
        <v>0.12942055995963631</v>
      </c>
      <c r="AW10" s="869">
        <f t="shared" si="21"/>
        <v>0.12942055995963631</v>
      </c>
      <c r="AX10" s="869">
        <f t="shared" si="22"/>
        <v>0.12942055995963631</v>
      </c>
      <c r="AY10" s="873"/>
    </row>
    <row r="11" spans="1:52" ht="13" x14ac:dyDescent="0.3">
      <c r="A11" s="185">
        <v>9257009</v>
      </c>
      <c r="B11" s="545" t="s">
        <v>411</v>
      </c>
      <c r="C11" s="861" t="s">
        <v>751</v>
      </c>
      <c r="D11" s="94">
        <v>385000</v>
      </c>
      <c r="E11" s="94">
        <v>115000</v>
      </c>
      <c r="F11" s="767"/>
      <c r="G11" s="767"/>
      <c r="H11" s="767">
        <f>VLOOKUP(A11,'Band Calculations 1718'!$A$107:$W$125,6,FALSE)</f>
        <v>0</v>
      </c>
      <c r="I11" s="333">
        <f>VLOOKUP(A11,'1819 Band Calculations'!$A$112:$W$129,13,FALSE)</f>
        <v>1217385.1298724138</v>
      </c>
      <c r="J11" s="333">
        <f>VLOOKUP(A11,'1819 Band Calculations'!$A$112:$W$129,20,FALSE)</f>
        <v>43257.916666666672</v>
      </c>
      <c r="K11" s="94">
        <f>VLOOKUP(A11,'FSM Calculation 1819'!$A$4:$D$21,4,FALSE)</f>
        <v>13914.35</v>
      </c>
      <c r="L11" s="94"/>
      <c r="M11" s="767">
        <f t="shared" si="5"/>
        <v>1774557.3965390807</v>
      </c>
      <c r="N11" s="333">
        <f t="shared" si="6"/>
        <v>1774557.3965390807</v>
      </c>
      <c r="O11" s="751">
        <f>VLOOKUP(A11,'1819 Band Calculations'!$A$112:$W$129,22,FALSE)</f>
        <v>131.33333333333334</v>
      </c>
      <c r="P11" s="983"/>
      <c r="Q11" s="983">
        <f>O11-(O11*'1819 Band Calculations'!J16)</f>
        <v>131.33333333333334</v>
      </c>
      <c r="R11" s="128">
        <f>'1920 Band Calculations'!AW122</f>
        <v>0</v>
      </c>
      <c r="T11" s="724">
        <f t="shared" si="7"/>
        <v>1274557.3965390807</v>
      </c>
      <c r="U11" s="987">
        <f t="shared" si="8"/>
        <v>9704.7517502975679</v>
      </c>
      <c r="V11" s="724">
        <f>VLOOKUP(A11,'2017-18 Funding Detail'!$A$4:$AQ$23,42,(FALSE))</f>
        <v>7663.2323099685027</v>
      </c>
      <c r="W11" s="42">
        <f t="shared" si="9"/>
        <v>2041.5194403290652</v>
      </c>
      <c r="X11" s="724">
        <f t="shared" si="23"/>
        <v>0</v>
      </c>
      <c r="Y11" s="724">
        <f t="shared" si="10"/>
        <v>1774557.3965390807</v>
      </c>
      <c r="Z11" s="42">
        <f t="shared" si="11"/>
        <v>1313333.3333333335</v>
      </c>
      <c r="AA11" s="42">
        <f t="shared" si="12"/>
        <v>0</v>
      </c>
      <c r="AB11" s="765">
        <f t="shared" si="13"/>
        <v>13511.858349282338</v>
      </c>
      <c r="AC11" s="765">
        <f t="shared" si="0"/>
        <v>1313333.3333333335</v>
      </c>
      <c r="AD11" s="765">
        <f t="shared" si="1"/>
        <v>3511.8583492823382</v>
      </c>
      <c r="AE11" s="669">
        <f>VLOOKUP(A11,'2017-18 Funding Detail'!$A$4:$AH$23,27,FALSE)</f>
        <v>1551.7611498907318</v>
      </c>
      <c r="AF11" s="767">
        <f t="shared" si="24"/>
        <v>3511.8583492823382</v>
      </c>
      <c r="AG11" s="767">
        <f t="shared" si="14"/>
        <v>13511.858349282338</v>
      </c>
      <c r="AH11" s="726">
        <f t="shared" si="2"/>
        <v>0</v>
      </c>
      <c r="AI11" s="727">
        <f t="shared" si="3"/>
        <v>1774557.3965390807</v>
      </c>
      <c r="AJ11" s="549">
        <f>VLOOKUP(A11,'2017-18 Funding Detail'!$A$4:$AG$23,32,(FALSE))</f>
        <v>1485363.95452345</v>
      </c>
      <c r="AK11" s="549">
        <f>AI11-AJ11</f>
        <v>289193.44201563066</v>
      </c>
      <c r="AL11" s="387">
        <f t="shared" si="15"/>
        <v>1313333.3333333335</v>
      </c>
      <c r="AM11" s="387">
        <f t="shared" si="16"/>
        <v>461224.06320574717</v>
      </c>
      <c r="AN11" s="387">
        <f t="shared" si="17"/>
        <v>3511.8583492823386</v>
      </c>
      <c r="AO11" s="696">
        <f t="shared" si="4"/>
        <v>13511.858349282338</v>
      </c>
      <c r="AP11" s="609" t="s">
        <v>556</v>
      </c>
      <c r="AR11" s="988">
        <f>SUM(AI11-'1920 Funding Detail'!D11-'1920 Funding Detail'!E11-R11)</f>
        <v>1274557.3965390807</v>
      </c>
      <c r="AS11" s="723">
        <f t="shared" si="18"/>
        <v>9704.7517502975679</v>
      </c>
      <c r="AT11" s="723">
        <f t="shared" si="19"/>
        <v>9559.1804740431035</v>
      </c>
      <c r="AU11" s="73"/>
      <c r="AV11" s="869">
        <f t="shared" si="20"/>
        <v>0.26640448282814178</v>
      </c>
      <c r="AW11" s="869">
        <f t="shared" si="21"/>
        <v>0.26640448282814178</v>
      </c>
      <c r="AX11" s="869">
        <f t="shared" si="22"/>
        <v>0.26640448282814178</v>
      </c>
      <c r="AY11" s="873"/>
    </row>
    <row r="12" spans="1:52" ht="13" x14ac:dyDescent="0.3">
      <c r="A12" s="185">
        <v>9257028</v>
      </c>
      <c r="B12" s="545" t="s">
        <v>77</v>
      </c>
      <c r="C12" s="861" t="s">
        <v>756</v>
      </c>
      <c r="D12" s="94">
        <v>362500</v>
      </c>
      <c r="E12" s="94">
        <v>110000</v>
      </c>
      <c r="F12" s="767"/>
      <c r="G12" s="767"/>
      <c r="H12" s="767">
        <f>VLOOKUP(A12,'Band Calculations 1718'!$A$107:$W$125,6,FALSE)</f>
        <v>0</v>
      </c>
      <c r="I12" s="333">
        <f>VLOOKUP(A12,'1819 Band Calculations'!$A$112:$W$129,13,FALSE)</f>
        <v>1031375.9926209812</v>
      </c>
      <c r="J12" s="333">
        <f>VLOOKUP(A12,'1819 Band Calculations'!$A$112:$W$129,20,FALSE)</f>
        <v>7930.0158227848106</v>
      </c>
      <c r="K12" s="94">
        <f>VLOOKUP(A12,'FSM Calculation 1819'!$A$4:$D$21,4,FALSE)</f>
        <v>7630.4500000000007</v>
      </c>
      <c r="L12" s="94"/>
      <c r="M12" s="767">
        <f t="shared" si="5"/>
        <v>1519436.458443766</v>
      </c>
      <c r="N12" s="333">
        <f t="shared" si="6"/>
        <v>1519436.458443766</v>
      </c>
      <c r="O12" s="751">
        <f>VLOOKUP(A12,'1819 Band Calculations'!$A$112:$W$129,22,FALSE)</f>
        <v>79.25</v>
      </c>
      <c r="P12" s="983"/>
      <c r="Q12" s="983">
        <f>O12-(O12*'1819 Band Calculations'!J20)</f>
        <v>64.202531645569621</v>
      </c>
      <c r="R12" s="128">
        <f>'1920 Band Calculations'!AW126</f>
        <v>338759.90456899529</v>
      </c>
      <c r="T12" s="724">
        <f t="shared" si="7"/>
        <v>1046936.458443766</v>
      </c>
      <c r="U12" s="987">
        <f t="shared" si="8"/>
        <v>13210.554680678435</v>
      </c>
      <c r="V12" s="724">
        <f>VLOOKUP(A12,'2017-18 Funding Detail'!$A$4:$AQ$23,42,(FALSE))</f>
        <v>11797.314380629057</v>
      </c>
      <c r="W12" s="42">
        <f t="shared" si="9"/>
        <v>1413.2403000493778</v>
      </c>
      <c r="X12" s="724">
        <f t="shared" si="23"/>
        <v>0</v>
      </c>
      <c r="Y12" s="724">
        <f t="shared" si="10"/>
        <v>1519436.458443766</v>
      </c>
      <c r="Z12" s="42">
        <f t="shared" si="11"/>
        <v>792500</v>
      </c>
      <c r="AA12" s="42">
        <f t="shared" si="12"/>
        <v>0</v>
      </c>
      <c r="AB12" s="765">
        <f t="shared" si="13"/>
        <v>19172.699791088529</v>
      </c>
      <c r="AC12" s="765">
        <f t="shared" si="0"/>
        <v>792500</v>
      </c>
      <c r="AD12" s="765">
        <f t="shared" si="1"/>
        <v>9172.6997910885293</v>
      </c>
      <c r="AE12" s="669">
        <f>VLOOKUP(A12,'2017-18 Funding Detail'!$A$4:$AH$23,27,FALSE)</f>
        <v>8097.3143806290573</v>
      </c>
      <c r="AF12" s="767">
        <f t="shared" si="24"/>
        <v>9172.6997910885293</v>
      </c>
      <c r="AG12" s="767">
        <f t="shared" si="14"/>
        <v>19172.699791088529</v>
      </c>
      <c r="AH12" s="726">
        <f t="shared" si="2"/>
        <v>0</v>
      </c>
      <c r="AI12" s="727">
        <f t="shared" si="3"/>
        <v>1519436.458443766</v>
      </c>
      <c r="AJ12" s="549">
        <f>VLOOKUP(A12,'2017-18 Funding Detail'!$A$4:$AG$23,32,(FALSE))</f>
        <v>1357298.5785471792</v>
      </c>
      <c r="AK12" s="549">
        <f t="shared" si="25"/>
        <v>162137.87989658676</v>
      </c>
      <c r="AL12" s="387">
        <f t="shared" si="15"/>
        <v>792500</v>
      </c>
      <c r="AM12" s="387">
        <f t="shared" si="16"/>
        <v>726936.45844376599</v>
      </c>
      <c r="AN12" s="387">
        <f t="shared" si="17"/>
        <v>9172.6997910885293</v>
      </c>
      <c r="AO12" s="696">
        <f t="shared" si="4"/>
        <v>19172.699791088529</v>
      </c>
      <c r="AP12" s="609" t="s">
        <v>556</v>
      </c>
      <c r="AR12" s="988">
        <f>SUM(AI12-'1920 Funding Detail'!D12-'1920 Funding Detail'!E12-R12)</f>
        <v>708176.55387477065</v>
      </c>
      <c r="AS12" s="723">
        <f t="shared" si="18"/>
        <v>11030.352475573123</v>
      </c>
      <c r="AT12" s="723">
        <f t="shared" si="19"/>
        <v>10864.897188439527</v>
      </c>
      <c r="AU12" s="73"/>
      <c r="AV12" s="869">
        <f t="shared" si="20"/>
        <v>0.11979339148322508</v>
      </c>
      <c r="AW12" s="869">
        <f t="shared" si="21"/>
        <v>0.11979339148322508</v>
      </c>
      <c r="AX12" s="869">
        <f t="shared" si="22"/>
        <v>0.11979339148322508</v>
      </c>
      <c r="AY12" s="873"/>
    </row>
    <row r="13" spans="1:52" ht="13" x14ac:dyDescent="0.3">
      <c r="A13" s="185">
        <v>9257021</v>
      </c>
      <c r="B13" s="545" t="s">
        <v>778</v>
      </c>
      <c r="C13" s="861" t="s">
        <v>758</v>
      </c>
      <c r="D13" s="94">
        <v>407500</v>
      </c>
      <c r="E13" s="94">
        <v>120000</v>
      </c>
      <c r="F13" s="767"/>
      <c r="G13" s="767"/>
      <c r="H13" s="767">
        <f>VLOOKUP(A13,'Band Calculations 1718'!$A$107:$W$125,6,FALSE)</f>
        <v>0</v>
      </c>
      <c r="I13" s="333">
        <f>VLOOKUP(A13,'1819 Band Calculations'!$A$112:$W$129,13,FALSE)</f>
        <v>1450842.7311555322</v>
      </c>
      <c r="J13" s="333">
        <f>VLOOKUP(A13,'1819 Band Calculations'!$A$112:$W$129,20,FALSE)</f>
        <v>50280.333333333336</v>
      </c>
      <c r="K13" s="94">
        <f>VLOOKUP(A13,'FSM Calculation 1819'!$A$4:$D$21,4,FALSE)</f>
        <v>26033.300000000003</v>
      </c>
      <c r="L13" s="94"/>
      <c r="M13" s="767">
        <f t="shared" si="5"/>
        <v>2054656.3644888655</v>
      </c>
      <c r="N13" s="333">
        <f t="shared" si="6"/>
        <v>2054656.3644888655</v>
      </c>
      <c r="O13" s="751">
        <f>VLOOKUP(A13,'1819 Band Calculations'!$A$112:$W$129,22,FALSE)</f>
        <v>155.66666666666666</v>
      </c>
      <c r="P13" s="983"/>
      <c r="Q13" s="983">
        <f>O13-(O13*'1819 Band Calculations'!J21)</f>
        <v>153.65806451612903</v>
      </c>
      <c r="R13" s="128">
        <f>'1920 Band Calculations'!AW127</f>
        <v>45219.159582606444</v>
      </c>
      <c r="T13" s="724">
        <f t="shared" si="7"/>
        <v>1527156.3644888655</v>
      </c>
      <c r="U13" s="987">
        <f t="shared" si="8"/>
        <v>9810.4263243396072</v>
      </c>
      <c r="V13" s="724">
        <f>VLOOKUP(A13,'2017-18 Funding Detail'!$A$4:$AQ$23,42,(FALSE))</f>
        <v>7972.1297458718245</v>
      </c>
      <c r="W13" s="42">
        <f t="shared" si="9"/>
        <v>1838.2965784677826</v>
      </c>
      <c r="X13" s="724">
        <f t="shared" si="23"/>
        <v>0</v>
      </c>
      <c r="Y13" s="724">
        <f t="shared" si="10"/>
        <v>2054656.3644888655</v>
      </c>
      <c r="Z13" s="42">
        <f t="shared" si="11"/>
        <v>1556666.6666666665</v>
      </c>
      <c r="AA13" s="42">
        <f t="shared" si="12"/>
        <v>0</v>
      </c>
      <c r="AB13" s="765">
        <f t="shared" si="13"/>
        <v>13199.077287937038</v>
      </c>
      <c r="AC13" s="765">
        <f t="shared" si="0"/>
        <v>1556666.6666666665</v>
      </c>
      <c r="AD13" s="765">
        <f t="shared" si="1"/>
        <v>3199.0772879370379</v>
      </c>
      <c r="AE13" s="669">
        <f>VLOOKUP(A13,'2017-18 Funding Detail'!$A$4:$AH$23,27,FALSE)</f>
        <v>1355.3472766040522</v>
      </c>
      <c r="AF13" s="767">
        <f t="shared" si="24"/>
        <v>3199.0772879370379</v>
      </c>
      <c r="AG13" s="767">
        <f t="shared" si="14"/>
        <v>13199.077287937038</v>
      </c>
      <c r="AH13" s="726">
        <f t="shared" si="2"/>
        <v>0</v>
      </c>
      <c r="AI13" s="727">
        <f t="shared" si="3"/>
        <v>2054656.3644888655</v>
      </c>
      <c r="AJ13" s="549">
        <f>VLOOKUP(A13,'2017-18 Funding Detail'!$A$4:$AG$23,32,(FALSE))</f>
        <v>1770487.8962105154</v>
      </c>
      <c r="AK13" s="549">
        <f t="shared" si="25"/>
        <v>284168.46827835008</v>
      </c>
      <c r="AL13" s="387">
        <f t="shared" si="15"/>
        <v>1556666.6666666665</v>
      </c>
      <c r="AM13" s="387">
        <f t="shared" si="16"/>
        <v>497989.69782219897</v>
      </c>
      <c r="AN13" s="387">
        <f t="shared" si="17"/>
        <v>3199.0772879370384</v>
      </c>
      <c r="AO13" s="696">
        <f t="shared" si="4"/>
        <v>13199.077287937038</v>
      </c>
      <c r="AP13" s="609" t="s">
        <v>556</v>
      </c>
      <c r="AR13" s="988">
        <f>SUM(AI13-'1920 Funding Detail'!D13-'1920 Funding Detail'!E13-R13)</f>
        <v>1481937.204906259</v>
      </c>
      <c r="AS13" s="723">
        <f t="shared" si="18"/>
        <v>9644.3828677192814</v>
      </c>
      <c r="AT13" s="723">
        <f t="shared" si="19"/>
        <v>9499.7171247034912</v>
      </c>
      <c r="AU13" s="73"/>
      <c r="AV13" s="869">
        <f t="shared" si="20"/>
        <v>0.23059039893570477</v>
      </c>
      <c r="AW13" s="869">
        <f t="shared" si="21"/>
        <v>0.23059039893570477</v>
      </c>
      <c r="AX13" s="869">
        <f t="shared" si="22"/>
        <v>0.23059039893570477</v>
      </c>
      <c r="AY13" s="873"/>
    </row>
    <row r="14" spans="1:52" s="40" customFormat="1" ht="12.75" customHeight="1" x14ac:dyDescent="0.3">
      <c r="A14" s="131">
        <v>9257015</v>
      </c>
      <c r="B14" s="38" t="s">
        <v>55</v>
      </c>
      <c r="C14" s="861" t="s">
        <v>759</v>
      </c>
      <c r="D14" s="94">
        <v>452500</v>
      </c>
      <c r="E14" s="94">
        <v>130000</v>
      </c>
      <c r="F14" s="94"/>
      <c r="G14" s="645">
        <v>41787</v>
      </c>
      <c r="H14" s="767">
        <f>VLOOKUP(A14,'Band Calculations 1718'!$A$107:$W$125,6,FALSE)</f>
        <v>0</v>
      </c>
      <c r="I14" s="333">
        <f>VLOOKUP(A14,'1819 Band Calculations'!$A$112:$W$129,13,FALSE)</f>
        <v>2148058.9029261325</v>
      </c>
      <c r="J14" s="333">
        <f>VLOOKUP(A14,'1819 Band Calculations'!$A$112:$W$129,20,FALSE)</f>
        <v>27652.356321839085</v>
      </c>
      <c r="K14" s="94">
        <f>VLOOKUP(A14,'FSM Calculation 1819'!$A$4:$D$21,4,FALSE)</f>
        <v>28277.550000000003</v>
      </c>
      <c r="L14" s="94"/>
      <c r="M14" s="94">
        <f t="shared" si="5"/>
        <v>2828275.8092479715</v>
      </c>
      <c r="N14" s="333">
        <f>M14-F14-G14</f>
        <v>2786488.8092479715</v>
      </c>
      <c r="O14" s="751">
        <f>VLOOKUP(A14,'1819 Band Calculations'!$A$112:$W$129,22,FALSE)</f>
        <v>249.00000000000003</v>
      </c>
      <c r="P14" s="983"/>
      <c r="Q14" s="983">
        <f>O14-(O14*'1819 Band Calculations'!J22)</f>
        <v>244.22988505747128</v>
      </c>
      <c r="R14" s="128">
        <f>'1920 Band Calculations'!AW128</f>
        <v>107388.40877764007</v>
      </c>
      <c r="T14" s="724">
        <f t="shared" si="7"/>
        <v>2203988.8092479715</v>
      </c>
      <c r="U14" s="987">
        <f t="shared" si="8"/>
        <v>8851.3606797107277</v>
      </c>
      <c r="V14" s="724">
        <f>VLOOKUP(A14,'2017-18 Funding Detail'!$A$4:$AQ$23,42,(FALSE))</f>
        <v>7846.5804066543442</v>
      </c>
      <c r="W14" s="42">
        <f t="shared" si="9"/>
        <v>1004.7802730563835</v>
      </c>
      <c r="X14" s="724">
        <f t="shared" si="23"/>
        <v>0</v>
      </c>
      <c r="Y14" s="724">
        <f t="shared" si="10"/>
        <v>2786488.8092479715</v>
      </c>
      <c r="Z14" s="80">
        <f t="shared" si="11"/>
        <v>2490000.0000000005</v>
      </c>
      <c r="AA14" s="80">
        <f t="shared" si="12"/>
        <v>0</v>
      </c>
      <c r="AB14" s="247">
        <f t="shared" si="13"/>
        <v>11190.718109429603</v>
      </c>
      <c r="AC14" s="247">
        <f t="shared" si="0"/>
        <v>2490000.0000000005</v>
      </c>
      <c r="AD14" s="247">
        <f t="shared" si="1"/>
        <v>1190.7181094296029</v>
      </c>
      <c r="AE14" s="669">
        <f>VLOOKUP(A14,'2017-18 Funding Detail'!$A$4:$AH$23,27,FALSE)</f>
        <v>-218.18965159265645</v>
      </c>
      <c r="AF14" s="645">
        <v>0</v>
      </c>
      <c r="AG14" s="94">
        <f t="shared" si="14"/>
        <v>10000</v>
      </c>
      <c r="AH14" s="726">
        <f t="shared" si="2"/>
        <v>0</v>
      </c>
      <c r="AI14" s="727">
        <f t="shared" si="3"/>
        <v>2786488.8092479715</v>
      </c>
      <c r="AJ14" s="549">
        <f>VLOOKUP(A14,'2017-18 Funding Detail'!$A$4:$AG$23,32,(FALSE))</f>
        <v>2705000.0000000005</v>
      </c>
      <c r="AK14" s="549">
        <f t="shared" si="25"/>
        <v>81488.809247971047</v>
      </c>
      <c r="AL14" s="387">
        <f t="shared" si="15"/>
        <v>2490000.0000000005</v>
      </c>
      <c r="AM14" s="387">
        <f t="shared" si="16"/>
        <v>296488.80924797105</v>
      </c>
      <c r="AN14" s="387">
        <f t="shared" si="17"/>
        <v>1190.7181094296025</v>
      </c>
      <c r="AO14" s="696">
        <f t="shared" si="4"/>
        <v>11190.718109429603</v>
      </c>
      <c r="AP14" s="609" t="s">
        <v>556</v>
      </c>
      <c r="AR14" s="988">
        <f>SUM(AI14-'1920 Funding Detail'!D14-'1920 Funding Detail'!E14-R14)</f>
        <v>2096600.4004703315</v>
      </c>
      <c r="AS14" s="723">
        <f t="shared" si="18"/>
        <v>8584.53665478722</v>
      </c>
      <c r="AT14" s="723">
        <f t="shared" si="19"/>
        <v>8455.7686049654112</v>
      </c>
      <c r="AU14" s="817"/>
      <c r="AV14" s="869">
        <f t="shared" si="20"/>
        <v>0.1280532691928159</v>
      </c>
      <c r="AW14" s="869">
        <f t="shared" si="21"/>
        <v>0.1280532691928159</v>
      </c>
      <c r="AX14" s="869">
        <f t="shared" si="22"/>
        <v>0.1280532691928159</v>
      </c>
      <c r="AY14" s="874"/>
    </row>
    <row r="15" spans="1:52" ht="13" x14ac:dyDescent="0.3">
      <c r="A15" s="185">
        <v>9257016</v>
      </c>
      <c r="B15" s="545" t="s">
        <v>80</v>
      </c>
      <c r="C15" s="861" t="s">
        <v>752</v>
      </c>
      <c r="D15" s="94">
        <v>430000</v>
      </c>
      <c r="E15" s="94">
        <v>125000</v>
      </c>
      <c r="F15" s="767"/>
      <c r="G15" s="767"/>
      <c r="H15" s="767">
        <f>VLOOKUP(A15,'Band Calculations 1718'!$A$107:$W$125,6,FALSE)</f>
        <v>0</v>
      </c>
      <c r="I15" s="333">
        <f>VLOOKUP(A15,'1819 Band Calculations'!$A$112:$W$129,13,FALSE)</f>
        <v>1943937.3602233136</v>
      </c>
      <c r="J15" s="333">
        <f>VLOOKUP(A15,'1819 Band Calculations'!$A$112:$W$129,20,FALSE)</f>
        <v>0</v>
      </c>
      <c r="K15" s="94">
        <f>VLOOKUP(A15,'FSM Calculation 1819'!$A$4:$D$21,4,FALSE)</f>
        <v>16158.6</v>
      </c>
      <c r="L15" s="94"/>
      <c r="M15" s="767">
        <f t="shared" si="5"/>
        <v>2515095.9602233139</v>
      </c>
      <c r="N15" s="333">
        <f t="shared" si="6"/>
        <v>2515095.9602233139</v>
      </c>
      <c r="O15" s="751">
        <f>VLOOKUP(A15,'1819 Band Calculations'!$A$112:$W$129,22,FALSE)</f>
        <v>142.5</v>
      </c>
      <c r="P15" s="983"/>
      <c r="Q15" s="983">
        <f>O15-(O15*'1819 Band Calculations'!J23)</f>
        <v>105.66326530612244</v>
      </c>
      <c r="R15" s="128">
        <f>'1920 Band Calculations'!AW129</f>
        <v>829296.22682059056</v>
      </c>
      <c r="T15" s="724">
        <f t="shared" si="7"/>
        <v>1960095.9602233139</v>
      </c>
      <c r="U15" s="987">
        <f t="shared" si="8"/>
        <v>13755.059369988168</v>
      </c>
      <c r="V15" s="724">
        <f>VLOOKUP(A15,'2017-18 Funding Detail'!$A$4:$AQ$23,42,(FALSE))</f>
        <v>12293.288973978968</v>
      </c>
      <c r="W15" s="42">
        <f t="shared" si="9"/>
        <v>1461.7703960092003</v>
      </c>
      <c r="X15" s="724">
        <f t="shared" si="23"/>
        <v>0</v>
      </c>
      <c r="Y15" s="724">
        <f t="shared" si="10"/>
        <v>2515095.9602233139</v>
      </c>
      <c r="Z15" s="42">
        <f t="shared" si="11"/>
        <v>1425000</v>
      </c>
      <c r="AA15" s="42">
        <f t="shared" si="12"/>
        <v>0</v>
      </c>
      <c r="AB15" s="765">
        <f t="shared" si="13"/>
        <v>17649.796212093432</v>
      </c>
      <c r="AC15" s="765">
        <f t="shared" si="0"/>
        <v>1425000</v>
      </c>
      <c r="AD15" s="765">
        <f t="shared" si="1"/>
        <v>7649.7962120934317</v>
      </c>
      <c r="AE15" s="669">
        <f>VLOOKUP(A15,'2017-18 Funding Detail'!$A$4:$AH$23,27,FALSE)</f>
        <v>4427.7026279298007</v>
      </c>
      <c r="AF15" s="767">
        <f t="shared" si="24"/>
        <v>7649.7962120934317</v>
      </c>
      <c r="AG15" s="767">
        <f t="shared" si="14"/>
        <v>17649.796212093432</v>
      </c>
      <c r="AH15" s="726">
        <f t="shared" si="2"/>
        <v>0</v>
      </c>
      <c r="AI15" s="727">
        <f t="shared" si="3"/>
        <v>2515095.9602233139</v>
      </c>
      <c r="AJ15" s="549">
        <f>VLOOKUP(A15,'2017-18 Funding Detail'!$A$4:$AG$23,32,(FALSE))</f>
        <v>2378504.5311402138</v>
      </c>
      <c r="AK15" s="549">
        <f t="shared" si="25"/>
        <v>136591.42908310005</v>
      </c>
      <c r="AL15" s="387">
        <f t="shared" si="15"/>
        <v>1425000</v>
      </c>
      <c r="AM15" s="387">
        <f t="shared" si="16"/>
        <v>1090095.9602233139</v>
      </c>
      <c r="AN15" s="387">
        <f t="shared" si="17"/>
        <v>7649.7962120934308</v>
      </c>
      <c r="AO15" s="696">
        <f t="shared" si="4"/>
        <v>17649.796212093432</v>
      </c>
      <c r="AP15" s="609" t="s">
        <v>556</v>
      </c>
      <c r="AR15" s="988">
        <f>SUM(AI15-'1920 Funding Detail'!D15-'1920 Funding Detail'!E15-R15)</f>
        <v>1130799.7334027234</v>
      </c>
      <c r="AS15" s="723">
        <f t="shared" si="18"/>
        <v>10701.919253835529</v>
      </c>
      <c r="AT15" s="723">
        <f t="shared" si="19"/>
        <v>10541.390465027996</v>
      </c>
      <c r="AU15" s="817"/>
      <c r="AV15" s="869">
        <f t="shared" si="20"/>
        <v>0.11890799924278272</v>
      </c>
      <c r="AW15" s="869">
        <f t="shared" si="21"/>
        <v>0.11890799924278272</v>
      </c>
      <c r="AX15" s="869">
        <f t="shared" si="22"/>
        <v>0.11890799924278272</v>
      </c>
      <c r="AY15" s="873"/>
    </row>
    <row r="16" spans="1:52" ht="13" x14ac:dyDescent="0.3">
      <c r="A16" s="185"/>
      <c r="B16" s="38"/>
      <c r="C16" s="131"/>
      <c r="D16" s="94"/>
      <c r="E16" s="94"/>
      <c r="F16" s="767"/>
      <c r="G16" s="767"/>
      <c r="H16" s="767"/>
      <c r="I16" s="333"/>
      <c r="J16" s="333"/>
      <c r="K16" s="94"/>
      <c r="L16" s="94"/>
      <c r="M16" s="767"/>
      <c r="N16" s="333"/>
      <c r="O16" s="751"/>
      <c r="P16" s="983"/>
      <c r="Q16" s="983"/>
      <c r="R16" s="128"/>
      <c r="T16" s="42"/>
      <c r="U16" s="987"/>
      <c r="V16" s="724"/>
      <c r="W16" s="42"/>
      <c r="X16" s="42"/>
      <c r="Y16" s="42"/>
      <c r="Z16" s="42"/>
      <c r="AA16" s="42"/>
      <c r="AB16" s="765"/>
      <c r="AC16" s="765"/>
      <c r="AD16" s="765"/>
      <c r="AE16" s="94"/>
      <c r="AF16" s="767"/>
      <c r="AG16" s="767"/>
      <c r="AH16" s="767"/>
      <c r="AI16" s="156"/>
      <c r="AJ16" s="549"/>
      <c r="AK16" s="549"/>
      <c r="AL16" s="387"/>
      <c r="AM16" s="387"/>
      <c r="AN16" s="387"/>
      <c r="AO16" s="696"/>
      <c r="AP16" s="61"/>
      <c r="AR16" s="988"/>
      <c r="AS16" s="723"/>
      <c r="AT16" s="73"/>
      <c r="AU16" s="817"/>
      <c r="AV16" s="869"/>
      <c r="AW16" s="869"/>
      <c r="AX16" s="869"/>
      <c r="AY16" s="873"/>
    </row>
    <row r="17" spans="1:51" ht="13" x14ac:dyDescent="0.3">
      <c r="A17" s="185">
        <v>9257031</v>
      </c>
      <c r="B17" s="43" t="s">
        <v>422</v>
      </c>
      <c r="C17" s="861" t="s">
        <v>764</v>
      </c>
      <c r="D17" s="94">
        <v>332500</v>
      </c>
      <c r="E17" s="94">
        <v>80000</v>
      </c>
      <c r="F17" s="94">
        <v>174432</v>
      </c>
      <c r="G17" s="767"/>
      <c r="H17" s="767">
        <f>VLOOKUP(A17,'Band Calculations 1718'!$A$107:$W$125,6,FALSE)</f>
        <v>0</v>
      </c>
      <c r="I17" s="333">
        <f>VLOOKUP(A17,'1819 Band Calculations'!$A$112:$W$129,13,FALSE)</f>
        <v>801579.50990629871</v>
      </c>
      <c r="J17" s="333">
        <f>VLOOKUP(A17,'1819 Band Calculations'!$A$112:$W$129,20,FALSE)</f>
        <v>187524.16666666669</v>
      </c>
      <c r="K17" s="94">
        <f>VLOOKUP(A17,'FSM Calculation 1819'!$A$4:$D$21,4,FALSE)</f>
        <v>9425.85</v>
      </c>
      <c r="L17" s="94"/>
      <c r="M17" s="767">
        <f>SUM(D17:L17)</f>
        <v>1585461.5265729656</v>
      </c>
      <c r="N17" s="333">
        <f>M17-F17</f>
        <v>1411029.5265729656</v>
      </c>
      <c r="O17" s="751">
        <f>VLOOKUP(A17,'1819 Band Calculations'!$A$112:$W$129,22,FALSE)</f>
        <v>71.166666666666671</v>
      </c>
      <c r="P17" s="983"/>
      <c r="Q17" s="983">
        <f>O17-(O17*'1819 Band Calculations'!J11)</f>
        <v>71.166666666666671</v>
      </c>
      <c r="R17" s="128">
        <f>'1920 Band Calculations'!AW117</f>
        <v>0</v>
      </c>
      <c r="T17" s="724">
        <f t="shared" si="7"/>
        <v>998529.52657296555</v>
      </c>
      <c r="U17" s="987">
        <f>T17/O17</f>
        <v>14030.859858168133</v>
      </c>
      <c r="V17" s="724">
        <f>VLOOKUP(A17,'2017-18 Funding Detail'!$A$4:$AQ$23,42,(FALSE))</f>
        <v>14527.623652186257</v>
      </c>
      <c r="W17" s="42">
        <f t="shared" si="9"/>
        <v>-496.76379401812483</v>
      </c>
      <c r="X17" s="724">
        <f t="shared" si="23"/>
        <v>35353.023340956555</v>
      </c>
      <c r="Y17" s="724">
        <f t="shared" si="10"/>
        <v>1446382.5499139221</v>
      </c>
      <c r="Z17" s="42">
        <f t="shared" si="11"/>
        <v>711666.66666666674</v>
      </c>
      <c r="AA17" s="42">
        <f t="shared" si="12"/>
        <v>0</v>
      </c>
      <c r="AB17" s="765">
        <f t="shared" si="13"/>
        <v>19827.112785568603</v>
      </c>
      <c r="AC17" s="765">
        <f>O17*10000</f>
        <v>711666.66666666674</v>
      </c>
      <c r="AD17" s="765">
        <f>AB17-10000</f>
        <v>9827.1127855686027</v>
      </c>
      <c r="AE17" s="669">
        <f>VLOOKUP(A17,'2017-18 Funding Detail'!$A$4:$AH$23,27,FALSE)</f>
        <v>10491.479073873004</v>
      </c>
      <c r="AF17" s="767">
        <f t="shared" si="24"/>
        <v>10491.479073873004</v>
      </c>
      <c r="AG17" s="767">
        <f t="shared" si="14"/>
        <v>20491.479073873004</v>
      </c>
      <c r="AH17" s="726">
        <f>X17+AA17</f>
        <v>35353.023340956555</v>
      </c>
      <c r="AI17" s="727">
        <f>N17+AH17</f>
        <v>1446382.5499139221</v>
      </c>
      <c r="AJ17" s="549">
        <f>VLOOKUP(A17,'2017-18 Funding Detail'!$A$4:$AG$23,32,(FALSE))</f>
        <v>1417327.3026095496</v>
      </c>
      <c r="AK17" s="549">
        <f>AI17-AJ17</f>
        <v>29055.247304372489</v>
      </c>
      <c r="AL17" s="387">
        <f>O17*10000</f>
        <v>711666.66666666674</v>
      </c>
      <c r="AM17" s="387">
        <f>AI17-AL17</f>
        <v>734715.88324725535</v>
      </c>
      <c r="AN17" s="387">
        <f>AM17/O17</f>
        <v>10323.876579586726</v>
      </c>
      <c r="AO17" s="696">
        <f>AI17/O17</f>
        <v>20323.876579586726</v>
      </c>
      <c r="AP17" s="609" t="s">
        <v>556</v>
      </c>
      <c r="AR17" s="988">
        <f>SUM(AI17-'1920 Funding Detail'!D17-'1920 Funding Detail'!E17-R17)</f>
        <v>1033882.5499139221</v>
      </c>
      <c r="AS17" s="723">
        <f t="shared" si="18"/>
        <v>14527.623652186257</v>
      </c>
      <c r="AT17" s="723">
        <f t="shared" si="19"/>
        <v>14309.709297403464</v>
      </c>
      <c r="AU17" s="73"/>
      <c r="AV17" s="869">
        <f t="shared" si="20"/>
        <v>-3.4194428897073408E-2</v>
      </c>
      <c r="AW17" s="869">
        <f t="shared" si="21"/>
        <v>3.4194428897073408E-2</v>
      </c>
      <c r="AX17" s="869">
        <f t="shared" si="22"/>
        <v>0</v>
      </c>
      <c r="AY17" s="873"/>
    </row>
    <row r="18" spans="1:51" ht="13" x14ac:dyDescent="0.3">
      <c r="A18" s="185">
        <v>9257029</v>
      </c>
      <c r="B18" s="43" t="s">
        <v>772</v>
      </c>
      <c r="C18" s="861" t="s">
        <v>761</v>
      </c>
      <c r="D18" s="94">
        <v>260000</v>
      </c>
      <c r="E18" s="94">
        <v>80000</v>
      </c>
      <c r="F18" s="94">
        <v>246731</v>
      </c>
      <c r="G18" s="767"/>
      <c r="H18" s="767">
        <f>VLOOKUP(A18,'Band Calculations 1718'!$A$107:$W$125,6,FALSE)</f>
        <v>0</v>
      </c>
      <c r="I18" s="333">
        <f>VLOOKUP(A18,'1819 Band Calculations'!$A$112:$W$129,13,FALSE)</f>
        <v>471186.08193555265</v>
      </c>
      <c r="J18" s="333">
        <f>VLOOKUP(A18,'1819 Band Calculations'!$A$112:$W$129,20,FALSE)</f>
        <v>110230.83333333334</v>
      </c>
      <c r="K18" s="94">
        <f>VLOOKUP(A18,'FSM Calculation 1819'!$A$4:$D$21,4,FALSE)</f>
        <v>6283.9000000000005</v>
      </c>
      <c r="L18" s="94"/>
      <c r="M18" s="767">
        <f>SUM(D18:L18)</f>
        <v>1174431.8152688858</v>
      </c>
      <c r="N18" s="333">
        <f>M18-F18</f>
        <v>927700.81526888581</v>
      </c>
      <c r="O18" s="751">
        <f>VLOOKUP(A18,'1819 Band Calculations'!$A$112:$W$129,22,FALSE)</f>
        <v>41.833333333333336</v>
      </c>
      <c r="P18" s="983"/>
      <c r="Q18" s="983">
        <f>O18-(O18*'1819 Band Calculations'!J17)</f>
        <v>41.833333333333336</v>
      </c>
      <c r="R18" s="128">
        <f>'1920 Band Calculations'!AW123</f>
        <v>0</v>
      </c>
      <c r="T18" s="724">
        <f t="shared" si="7"/>
        <v>587700.81526888581</v>
      </c>
      <c r="U18" s="987">
        <f>T18/O18</f>
        <v>14048.625066188504</v>
      </c>
      <c r="V18" s="724">
        <f>VLOOKUP(A18,'2017-18 Funding Detail'!$A$4:$AQ$23,42,(FALSE))</f>
        <v>14454.128515451517</v>
      </c>
      <c r="W18" s="42">
        <f t="shared" si="9"/>
        <v>-405.50344926301295</v>
      </c>
      <c r="X18" s="724">
        <f t="shared" si="23"/>
        <v>16963.560960836043</v>
      </c>
      <c r="Y18" s="724">
        <f t="shared" si="10"/>
        <v>944664.37622972182</v>
      </c>
      <c r="Z18" s="42">
        <f t="shared" si="11"/>
        <v>418333.33333333337</v>
      </c>
      <c r="AA18" s="42">
        <f t="shared" si="12"/>
        <v>0</v>
      </c>
      <c r="AB18" s="765">
        <f t="shared" si="13"/>
        <v>22176.115106029141</v>
      </c>
      <c r="AC18" s="765">
        <f>O18*10000</f>
        <v>418333.33333333337</v>
      </c>
      <c r="AD18" s="765">
        <f>AB18-10000</f>
        <v>12176.115106029141</v>
      </c>
      <c r="AE18" s="669">
        <f>VLOOKUP(A18,'2017-18 Funding Detail'!$A$4:$AH$23,27,FALSE)</f>
        <v>12285.222565355547</v>
      </c>
      <c r="AF18" s="767">
        <f t="shared" si="24"/>
        <v>12285.222565355547</v>
      </c>
      <c r="AG18" s="767">
        <f t="shared" si="14"/>
        <v>22285.222565355547</v>
      </c>
      <c r="AH18" s="726">
        <f>X18+AA18</f>
        <v>16963.560960836043</v>
      </c>
      <c r="AI18" s="727">
        <f>N18+AH18</f>
        <v>944664.37622972182</v>
      </c>
      <c r="AJ18" s="549">
        <f>VLOOKUP(A18,'2017-18 Funding Detail'!$A$4:$AG$23,32,(FALSE))</f>
        <v>967550.07971252012</v>
      </c>
      <c r="AK18" s="549">
        <f t="shared" si="25"/>
        <v>-22885.703482798301</v>
      </c>
      <c r="AL18" s="387">
        <f>O18*10000</f>
        <v>418333.33333333337</v>
      </c>
      <c r="AM18" s="387">
        <f>AI18-AL18</f>
        <v>526331.04289638845</v>
      </c>
      <c r="AN18" s="387">
        <f>AM18/O18</f>
        <v>12581.618555292154</v>
      </c>
      <c r="AO18" s="696">
        <f>AI18/O18</f>
        <v>22581.618555292152</v>
      </c>
      <c r="AP18" s="609" t="s">
        <v>556</v>
      </c>
      <c r="AR18" s="988">
        <f>SUM(AI18-'1920 Funding Detail'!D18-'1920 Funding Detail'!E18-R18)</f>
        <v>539664.37622972182</v>
      </c>
      <c r="AS18" s="723">
        <f t="shared" si="18"/>
        <v>12900.343654893748</v>
      </c>
      <c r="AT18" s="723">
        <f t="shared" si="19"/>
        <v>12706.838500070342</v>
      </c>
      <c r="AU18" s="696">
        <f>AH18/'1920 Funding Detail'!O18</f>
        <v>298.91737375922537</v>
      </c>
      <c r="AV18" s="869">
        <f t="shared" si="20"/>
        <v>-2.8054506975604115E-2</v>
      </c>
      <c r="AW18" s="869">
        <f t="shared" si="21"/>
        <v>2.8054506975604115E-2</v>
      </c>
      <c r="AX18" s="869">
        <f t="shared" si="22"/>
        <v>0</v>
      </c>
      <c r="AY18" s="873"/>
    </row>
    <row r="19" spans="1:51" ht="13" x14ac:dyDescent="0.3">
      <c r="A19" s="185">
        <v>9257032</v>
      </c>
      <c r="B19" s="43" t="s">
        <v>770</v>
      </c>
      <c r="C19" s="861" t="s">
        <v>763</v>
      </c>
      <c r="D19" s="94">
        <v>325000</v>
      </c>
      <c r="E19" s="94">
        <v>80000</v>
      </c>
      <c r="F19" s="94">
        <v>219019</v>
      </c>
      <c r="G19" s="767"/>
      <c r="H19" s="767">
        <f>VLOOKUP(A19,'Band Calculations 1718'!$A$107:$W$125,6,FALSE)</f>
        <v>0</v>
      </c>
      <c r="I19" s="333">
        <f>VLOOKUP(A19,'1819 Band Calculations'!$A$112:$W$129,13,FALSE)</f>
        <v>754648.62525136315</v>
      </c>
      <c r="J19" s="333">
        <f>VLOOKUP(A19,'1819 Band Calculations'!$A$112:$W$129,20,FALSE)</f>
        <v>176545</v>
      </c>
      <c r="K19" s="94">
        <f>VLOOKUP(A19,'FSM Calculation 1819'!$A$4:$D$21,4,FALSE)</f>
        <v>7630.4500000000007</v>
      </c>
      <c r="L19" s="94"/>
      <c r="M19" s="767">
        <f>SUM(D19:L19)</f>
        <v>1562843.075251363</v>
      </c>
      <c r="N19" s="333">
        <f>M19-F19</f>
        <v>1343824.075251363</v>
      </c>
      <c r="O19" s="751">
        <f>VLOOKUP(A19,'1819 Band Calculations'!$A$112:$W$129,22,FALSE)</f>
        <v>67</v>
      </c>
      <c r="P19" s="983"/>
      <c r="Q19" s="983">
        <f>O19-(O19*'1819 Band Calculations'!J18)</f>
        <v>67</v>
      </c>
      <c r="R19" s="128">
        <f>'1920 Band Calculations'!AW124</f>
        <v>0</v>
      </c>
      <c r="T19" s="724">
        <f t="shared" si="7"/>
        <v>938824.07525136299</v>
      </c>
      <c r="U19" s="987">
        <f>T19/O19</f>
        <v>14012.299630617357</v>
      </c>
      <c r="V19" s="724">
        <f>VLOOKUP(A19,'2017-18 Funding Detail'!$A$4:$AQ$23,42,(FALSE))</f>
        <v>14638.515740786001</v>
      </c>
      <c r="W19" s="42">
        <f t="shared" si="9"/>
        <v>-626.21611016864335</v>
      </c>
      <c r="X19" s="724">
        <f t="shared" si="23"/>
        <v>41956.479381299105</v>
      </c>
      <c r="Y19" s="724">
        <f t="shared" si="10"/>
        <v>1385780.5546326621</v>
      </c>
      <c r="Z19" s="42">
        <f t="shared" si="11"/>
        <v>670000</v>
      </c>
      <c r="AA19" s="42">
        <f t="shared" si="12"/>
        <v>0</v>
      </c>
      <c r="AB19" s="765">
        <f t="shared" si="13"/>
        <v>20057.075750020344</v>
      </c>
      <c r="AC19" s="765">
        <f>O19*10000</f>
        <v>670000</v>
      </c>
      <c r="AD19" s="765">
        <f>AB19-10000</f>
        <v>10057.075750020344</v>
      </c>
      <c r="AE19" s="669">
        <f>VLOOKUP(A19,'2017-18 Funding Detail'!$A$4:$AH$23,27,FALSE)</f>
        <v>11388.515740785999</v>
      </c>
      <c r="AF19" s="767">
        <f t="shared" si="24"/>
        <v>11388.515740785999</v>
      </c>
      <c r="AG19" s="767">
        <f t="shared" si="14"/>
        <v>21388.515740785999</v>
      </c>
      <c r="AH19" s="726">
        <f>X19+AA19</f>
        <v>41956.479381299105</v>
      </c>
      <c r="AI19" s="727">
        <f>N19+AH19</f>
        <v>1385780.5546326621</v>
      </c>
      <c r="AJ19" s="549">
        <f>VLOOKUP(A19,'2017-18 Funding Detail'!$A$4:$AG$23,32,(FALSE))</f>
        <v>1283310.94444716</v>
      </c>
      <c r="AK19" s="549">
        <f t="shared" si="25"/>
        <v>102469.6101855021</v>
      </c>
      <c r="AL19" s="387">
        <f>O19*10000</f>
        <v>670000</v>
      </c>
      <c r="AM19" s="387">
        <f>AI19-AL19</f>
        <v>715780.5546326621</v>
      </c>
      <c r="AN19" s="387">
        <f>AM19/O19</f>
        <v>10683.291860188987</v>
      </c>
      <c r="AO19" s="696">
        <f>AI19/O19</f>
        <v>20683.291860188987</v>
      </c>
      <c r="AP19" s="609" t="s">
        <v>556</v>
      </c>
      <c r="AR19" s="988">
        <f>SUM(AI19-'1920 Funding Detail'!D19-'1920 Funding Detail'!E19-R19)</f>
        <v>973280.5546326621</v>
      </c>
      <c r="AS19" s="723">
        <f>AR19/Q19</f>
        <v>14526.575442278539</v>
      </c>
      <c r="AT19" s="723">
        <f t="shared" si="19"/>
        <v>14308.676810644361</v>
      </c>
      <c r="AU19" s="696">
        <f>AH19/'1920 Funding Detail'!O19</f>
        <v>587.4886261092056</v>
      </c>
      <c r="AV19" s="869">
        <f t="shared" si="20"/>
        <v>-4.2778661529452255E-2</v>
      </c>
      <c r="AW19" s="869">
        <f t="shared" si="21"/>
        <v>4.2778661529452255E-2</v>
      </c>
      <c r="AX19" s="869">
        <f t="shared" si="22"/>
        <v>0</v>
      </c>
      <c r="AY19" s="873"/>
    </row>
    <row r="20" spans="1:51" ht="13" x14ac:dyDescent="0.3">
      <c r="A20" s="185">
        <v>9257030</v>
      </c>
      <c r="B20" s="43" t="s">
        <v>771</v>
      </c>
      <c r="C20" s="861" t="s">
        <v>764</v>
      </c>
      <c r="D20" s="94">
        <v>332500</v>
      </c>
      <c r="E20" s="94">
        <v>80000</v>
      </c>
      <c r="F20" s="94">
        <v>268928</v>
      </c>
      <c r="G20" s="767"/>
      <c r="H20" s="767">
        <f>VLOOKUP(A20,'Band Calculations 1718'!$A$107:$W$125,6,FALSE)</f>
        <v>0</v>
      </c>
      <c r="I20" s="333">
        <f>VLOOKUP(A20,'1819 Band Calculations'!$A$112:$W$129,13,FALSE)</f>
        <v>788438.86220291676</v>
      </c>
      <c r="J20" s="333">
        <f>VLOOKUP(A20,'1819 Band Calculations'!$A$112:$W$129,20,FALSE)</f>
        <v>184450</v>
      </c>
      <c r="K20" s="94">
        <f>VLOOKUP(A20,'FSM Calculation 1819'!$A$4:$D$21,4,FALSE)</f>
        <v>8977</v>
      </c>
      <c r="L20" s="94"/>
      <c r="M20" s="767">
        <f>SUM(D20:L20)</f>
        <v>1663293.8622029168</v>
      </c>
      <c r="N20" s="333">
        <f>M20-F20</f>
        <v>1394365.8622029168</v>
      </c>
      <c r="O20" s="751">
        <f>VLOOKUP(A20,'1819 Band Calculations'!$A$112:$W$129,22,FALSE)</f>
        <v>70</v>
      </c>
      <c r="P20" s="983"/>
      <c r="Q20" s="983">
        <f>O20-(O20*'1819 Band Calculations'!J19)</f>
        <v>70</v>
      </c>
      <c r="R20" s="128">
        <f>'1920 Band Calculations'!AW125</f>
        <v>0</v>
      </c>
      <c r="T20" s="724">
        <f t="shared" si="7"/>
        <v>981865.86220291676</v>
      </c>
      <c r="U20" s="987">
        <f>T20/O20</f>
        <v>14026.655174327383</v>
      </c>
      <c r="V20" s="724">
        <f>VLOOKUP(A20,'2017-18 Funding Detail'!$A$4:$AQ$23,42,(FALSE))</f>
        <v>14668.774640558368</v>
      </c>
      <c r="W20" s="42">
        <f t="shared" si="9"/>
        <v>-642.11946623098447</v>
      </c>
      <c r="X20" s="724">
        <f t="shared" si="23"/>
        <v>44948.362636168909</v>
      </c>
      <c r="Y20" s="724">
        <f t="shared" si="10"/>
        <v>1439314.2248390857</v>
      </c>
      <c r="Z20" s="42">
        <f t="shared" si="11"/>
        <v>700000</v>
      </c>
      <c r="AA20" s="42">
        <f t="shared" si="12"/>
        <v>0</v>
      </c>
      <c r="AB20" s="765">
        <f t="shared" si="13"/>
        <v>19919.512317184526</v>
      </c>
      <c r="AC20" s="765">
        <f>O20*10000</f>
        <v>700000</v>
      </c>
      <c r="AD20" s="765">
        <f>AB20-10000</f>
        <v>9919.5123171845262</v>
      </c>
      <c r="AE20" s="669">
        <f>VLOOKUP(A20,'2017-18 Funding Detail'!$A$4:$AH$23,27,FALSE)</f>
        <v>10624.396716020456</v>
      </c>
      <c r="AF20" s="767">
        <f t="shared" si="24"/>
        <v>10624.396716020456</v>
      </c>
      <c r="AG20" s="767">
        <f t="shared" si="14"/>
        <v>20624.396716020456</v>
      </c>
      <c r="AH20" s="726">
        <f>X20+AA20</f>
        <v>44948.362636168909</v>
      </c>
      <c r="AI20" s="727">
        <f>N20+AH20</f>
        <v>1439314.2248390857</v>
      </c>
      <c r="AJ20" s="549">
        <f>VLOOKUP(A20,'2017-18 Funding Detail'!$A$4:$AG$23,32,(FALSE))</f>
        <v>1408754.2776712559</v>
      </c>
      <c r="AK20" s="549">
        <f t="shared" si="25"/>
        <v>30559.947167829843</v>
      </c>
      <c r="AL20" s="387">
        <f>O20*10000</f>
        <v>700000</v>
      </c>
      <c r="AM20" s="387">
        <f>AI20-AL20</f>
        <v>739314.22483908571</v>
      </c>
      <c r="AN20" s="387">
        <f>AM20/O20</f>
        <v>10561.631783415511</v>
      </c>
      <c r="AO20" s="696">
        <f>AI20/O20</f>
        <v>20561.631783415509</v>
      </c>
      <c r="AP20" s="609" t="s">
        <v>556</v>
      </c>
      <c r="AR20" s="988">
        <f>SUM(AI20-'1920 Funding Detail'!D20-'1920 Funding Detail'!E20-R20)</f>
        <v>1026814.2248390857</v>
      </c>
      <c r="AS20" s="723">
        <f t="shared" si="18"/>
        <v>14668.774640558368</v>
      </c>
      <c r="AT20" s="723">
        <f t="shared" si="19"/>
        <v>14448.743020949993</v>
      </c>
      <c r="AU20" s="73"/>
      <c r="AV20" s="869">
        <f t="shared" si="20"/>
        <v>-4.3774581174323784E-2</v>
      </c>
      <c r="AW20" s="869">
        <f t="shared" si="21"/>
        <v>4.3774581174323784E-2</v>
      </c>
      <c r="AX20" s="869">
        <f t="shared" si="22"/>
        <v>0</v>
      </c>
      <c r="AY20" s="873"/>
    </row>
    <row r="21" spans="1:51" ht="13" x14ac:dyDescent="0.3">
      <c r="A21" s="185"/>
      <c r="B21" s="43"/>
      <c r="C21" s="131"/>
      <c r="D21" s="94"/>
      <c r="E21" s="94"/>
      <c r="F21" s="767"/>
      <c r="G21" s="767"/>
      <c r="H21" s="767"/>
      <c r="I21" s="333"/>
      <c r="J21" s="333"/>
      <c r="K21" s="94"/>
      <c r="L21" s="94"/>
      <c r="M21" s="767"/>
      <c r="N21" s="333"/>
      <c r="O21" s="751"/>
      <c r="P21" s="983"/>
      <c r="Q21" s="983"/>
      <c r="R21" s="128"/>
      <c r="T21" s="42"/>
      <c r="U21" s="987"/>
      <c r="V21" s="724"/>
      <c r="W21" s="42"/>
      <c r="X21" s="42"/>
      <c r="Y21" s="42"/>
      <c r="Z21" s="42"/>
      <c r="AA21" s="42"/>
      <c r="AB21" s="765"/>
      <c r="AC21" s="765"/>
      <c r="AD21" s="765"/>
      <c r="AE21" s="94"/>
      <c r="AF21" s="767"/>
      <c r="AG21" s="767"/>
      <c r="AH21" s="767"/>
      <c r="AI21" s="156"/>
      <c r="AJ21" s="549"/>
      <c r="AK21" s="549"/>
      <c r="AL21" s="387"/>
      <c r="AM21" s="387"/>
      <c r="AN21" s="387"/>
      <c r="AO21" s="696"/>
      <c r="AP21" s="61"/>
      <c r="AR21" s="988"/>
      <c r="AS21" s="723"/>
      <c r="AT21" s="73"/>
      <c r="AU21" s="73"/>
      <c r="AV21" s="869"/>
      <c r="AW21" s="869"/>
      <c r="AX21" s="869"/>
      <c r="AY21" s="873"/>
    </row>
    <row r="22" spans="1:51" ht="13" x14ac:dyDescent="0.3">
      <c r="A22" s="185">
        <v>9257033</v>
      </c>
      <c r="B22" s="545" t="s">
        <v>768</v>
      </c>
      <c r="C22" s="861" t="s">
        <v>750</v>
      </c>
      <c r="D22" s="94">
        <v>340000</v>
      </c>
      <c r="E22" s="94">
        <v>105000</v>
      </c>
      <c r="F22" s="767"/>
      <c r="G22" s="767"/>
      <c r="H22" s="767">
        <f>VLOOKUP(A22,'Band Calculations 1718'!$A$107:$W$125,6,FALSE)</f>
        <v>0</v>
      </c>
      <c r="I22" s="333">
        <f>VLOOKUP(A22,'1819 Band Calculations'!$A$112:$W$129,13,FALSE)</f>
        <v>848896.92902584851</v>
      </c>
      <c r="J22" s="333">
        <f>VLOOKUP(A22,'1819 Band Calculations'!$A$112:$W$129,20,FALSE)</f>
        <v>52199.554263565893</v>
      </c>
      <c r="K22" s="94">
        <f>VLOOKUP(A22,'FSM Calculation 1819'!$A$4:$D$21,4,FALSE)</f>
        <v>17954</v>
      </c>
      <c r="L22" s="94"/>
      <c r="M22" s="767">
        <f>SUM(D22:L22)</f>
        <v>1364050.4832894143</v>
      </c>
      <c r="N22" s="333">
        <f>M22-F22</f>
        <v>1364050.4832894143</v>
      </c>
      <c r="O22" s="751">
        <f>VLOOKUP(A22,'1819 Band Calculations'!$A$112:$W$129,22,FALSE)</f>
        <v>89.666666666666671</v>
      </c>
      <c r="P22" s="983"/>
      <c r="Q22" s="983">
        <f>O22-(O22*'1819 Band Calculations'!J12)</f>
        <v>89.666666666666671</v>
      </c>
      <c r="R22" s="128">
        <f>'1920 Band Calculations'!AW118</f>
        <v>0</v>
      </c>
      <c r="T22" s="724">
        <f t="shared" si="7"/>
        <v>919050.48328941432</v>
      </c>
      <c r="U22" s="987">
        <f>T22/O22</f>
        <v>10249.633642632873</v>
      </c>
      <c r="V22" s="724">
        <f>VLOOKUP(A22,'2017-18 Funding Detail'!$A$4:$AQ$23,42,(FALSE))</f>
        <v>9223.90668124693</v>
      </c>
      <c r="W22" s="42">
        <f t="shared" si="9"/>
        <v>1025.7269613859426</v>
      </c>
      <c r="X22" s="724">
        <f t="shared" si="23"/>
        <v>0</v>
      </c>
      <c r="Y22" s="724">
        <f t="shared" si="10"/>
        <v>1364050.4832894143</v>
      </c>
      <c r="Z22" s="42">
        <f t="shared" si="11"/>
        <v>896666.66666666674</v>
      </c>
      <c r="AA22" s="42">
        <f t="shared" si="12"/>
        <v>0</v>
      </c>
      <c r="AB22" s="765">
        <f t="shared" si="13"/>
        <v>15212.458921443282</v>
      </c>
      <c r="AC22" s="765">
        <f>O22*10000</f>
        <v>896666.66666666674</v>
      </c>
      <c r="AD22" s="765">
        <f>AB22-10000</f>
        <v>5212.4589214432817</v>
      </c>
      <c r="AE22" s="669">
        <f>VLOOKUP(A22,'2017-18 Funding Detail'!$A$4:$AH$23,27,FALSE)</f>
        <v>5292.088499428748</v>
      </c>
      <c r="AF22" s="767">
        <f t="shared" si="24"/>
        <v>5292.088499428748</v>
      </c>
      <c r="AG22" s="767">
        <f t="shared" si="14"/>
        <v>15292.088499428748</v>
      </c>
      <c r="AH22" s="726">
        <f>X22+AA22</f>
        <v>0</v>
      </c>
      <c r="AI22" s="727">
        <f>N22+AH22</f>
        <v>1364050.4832894143</v>
      </c>
      <c r="AJ22" s="549">
        <f>VLOOKUP(A22,'2017-18 Funding Detail'!$A$4:$AG$23,32,(FALSE))</f>
        <v>1121419.8232914417</v>
      </c>
      <c r="AK22" s="549">
        <f t="shared" si="25"/>
        <v>242630.65999797266</v>
      </c>
      <c r="AL22" s="387">
        <f>O22*10000</f>
        <v>896666.66666666674</v>
      </c>
      <c r="AM22" s="387">
        <f>AI22-AL22</f>
        <v>467383.81662274757</v>
      </c>
      <c r="AN22" s="387">
        <f>AM22/O22</f>
        <v>5212.4589214432808</v>
      </c>
      <c r="AO22" s="696">
        <f>AI22/O22</f>
        <v>15212.458921443282</v>
      </c>
      <c r="AP22" s="609" t="s">
        <v>556</v>
      </c>
      <c r="AR22" s="988">
        <f>SUM(AI22-'1920 Funding Detail'!D22-'1920 Funding Detail'!E22-R22)</f>
        <v>919050.48328941432</v>
      </c>
      <c r="AS22" s="723">
        <f t="shared" si="18"/>
        <v>10249.633642632873</v>
      </c>
      <c r="AT22" s="723">
        <f t="shared" si="19"/>
        <v>10095.889137993379</v>
      </c>
      <c r="AU22" s="73"/>
      <c r="AV22" s="869">
        <f t="shared" si="20"/>
        <v>0.11120309396357424</v>
      </c>
      <c r="AW22" s="869">
        <f t="shared" si="21"/>
        <v>0.11120309396357424</v>
      </c>
      <c r="AX22" s="869">
        <f t="shared" si="22"/>
        <v>0.11120309396357424</v>
      </c>
      <c r="AY22" s="873"/>
    </row>
    <row r="23" spans="1:51" ht="13" x14ac:dyDescent="0.3">
      <c r="A23" s="185">
        <v>9257034</v>
      </c>
      <c r="B23" s="545" t="s">
        <v>769</v>
      </c>
      <c r="C23" s="861" t="s">
        <v>756</v>
      </c>
      <c r="D23" s="94">
        <v>362500</v>
      </c>
      <c r="E23" s="94">
        <v>110000</v>
      </c>
      <c r="F23" s="767"/>
      <c r="G23" s="767"/>
      <c r="H23" s="767">
        <f>VLOOKUP(A23,'Band Calculations 1718'!$A$107:$W$125,6,FALSE)</f>
        <v>0</v>
      </c>
      <c r="I23" s="333">
        <f>VLOOKUP(A23,'1819 Band Calculations'!$A$112:$W$129,13,FALSE)</f>
        <v>1005267.2286689694</v>
      </c>
      <c r="J23" s="333">
        <f>VLOOKUP(A23,'1819 Band Calculations'!$A$112:$W$129,20,FALSE)</f>
        <v>78587.719298245618</v>
      </c>
      <c r="K23" s="94">
        <f>VLOOKUP(A23,'FSM Calculation 1819'!$A$4:$D$21,4,FALSE)</f>
        <v>20198.25</v>
      </c>
      <c r="L23" s="94"/>
      <c r="M23" s="767">
        <f>SUM(D23:L23)</f>
        <v>1576553.197967215</v>
      </c>
      <c r="N23" s="333">
        <f>M23-F23</f>
        <v>1576553.197967215</v>
      </c>
      <c r="O23" s="751">
        <f>VLOOKUP(A23,'1819 Band Calculations'!$A$112:$W$129,22,FALSE)</f>
        <v>113.33333333333334</v>
      </c>
      <c r="P23" s="983"/>
      <c r="Q23" s="983">
        <f>O23-(O23*'1819 Band Calculations'!J14)</f>
        <v>110.35087719298247</v>
      </c>
      <c r="R23" s="128">
        <f>'1920 Band Calculations'!AW120</f>
        <v>67143.29172780794</v>
      </c>
      <c r="T23" s="724">
        <f t="shared" si="7"/>
        <v>1104053.197967215</v>
      </c>
      <c r="U23" s="987">
        <f>T23/O23</f>
        <v>9741.6458644166014</v>
      </c>
      <c r="V23" s="724">
        <f>VLOOKUP(A23,'2017-18 Funding Detail'!$A$4:$AQ$23,42,(FALSE))</f>
        <v>9367.2802318212052</v>
      </c>
      <c r="W23" s="42">
        <f t="shared" si="9"/>
        <v>374.36563259539616</v>
      </c>
      <c r="X23" s="724">
        <f t="shared" si="23"/>
        <v>0</v>
      </c>
      <c r="Y23" s="724">
        <f t="shared" si="10"/>
        <v>1576553.197967215</v>
      </c>
      <c r="Z23" s="42">
        <f t="shared" si="11"/>
        <v>1133333.3333333335</v>
      </c>
      <c r="AA23" s="42">
        <f t="shared" si="12"/>
        <v>0</v>
      </c>
      <c r="AB23" s="765">
        <f t="shared" si="13"/>
        <v>13910.763511475425</v>
      </c>
      <c r="AC23" s="765">
        <f>O23*10000</f>
        <v>1133333.3333333335</v>
      </c>
      <c r="AD23" s="765">
        <f>AB23-10000</f>
        <v>3910.7635114754248</v>
      </c>
      <c r="AE23" s="669">
        <f>VLOOKUP(A23,'2017-18 Funding Detail'!$A$4:$AH$23,27,FALSE)</f>
        <v>3340.6509395997618</v>
      </c>
      <c r="AF23" s="767">
        <f t="shared" si="24"/>
        <v>3910.7635114754248</v>
      </c>
      <c r="AG23" s="767">
        <f t="shared" si="14"/>
        <v>13910.763511475425</v>
      </c>
      <c r="AH23" s="726">
        <f>X23+AA23</f>
        <v>0</v>
      </c>
      <c r="AI23" s="727">
        <f>N23+AH23</f>
        <v>1576553.197967215</v>
      </c>
      <c r="AJ23" s="549">
        <f>VLOOKUP(A23,'2017-18 Funding Detail'!$A$4:$AG$23,32,(FALSE))</f>
        <v>1586425.7409007384</v>
      </c>
      <c r="AK23" s="549">
        <f t="shared" si="25"/>
        <v>-9872.5429335234221</v>
      </c>
      <c r="AL23" s="387">
        <f>O23*10000</f>
        <v>1133333.3333333335</v>
      </c>
      <c r="AM23" s="387">
        <f>AI23-AL23</f>
        <v>443219.86463388149</v>
      </c>
      <c r="AN23" s="387">
        <f>AM23/O23</f>
        <v>3910.7635114754244</v>
      </c>
      <c r="AO23" s="696">
        <f>AI23/O23</f>
        <v>13910.763511475425</v>
      </c>
      <c r="AP23" s="609" t="s">
        <v>556</v>
      </c>
      <c r="AR23" s="988">
        <f>SUM(AI23-'1920 Funding Detail'!D23-'1920 Funding Detail'!E23-R23)</f>
        <v>1036909.906239407</v>
      </c>
      <c r="AS23" s="723">
        <f t="shared" si="18"/>
        <v>9396.4808673523366</v>
      </c>
      <c r="AT23" s="723">
        <f t="shared" si="19"/>
        <v>9255.5336543420508</v>
      </c>
      <c r="AU23" s="73"/>
      <c r="AV23" s="869">
        <f t="shared" si="20"/>
        <v>3.9965243200865704E-2</v>
      </c>
      <c r="AW23" s="869">
        <f t="shared" si="21"/>
        <v>3.9965243200865704E-2</v>
      </c>
      <c r="AX23" s="869">
        <f t="shared" si="22"/>
        <v>3.9965243200865704E-2</v>
      </c>
      <c r="AY23" s="873"/>
    </row>
    <row r="24" spans="1:51" x14ac:dyDescent="0.25">
      <c r="A24" s="69"/>
      <c r="B24" s="50"/>
      <c r="C24" s="61"/>
      <c r="D24" s="42"/>
      <c r="E24" s="42"/>
      <c r="F24" s="42"/>
      <c r="G24" s="42"/>
      <c r="H24" s="42"/>
      <c r="I24" s="42"/>
      <c r="J24" s="42"/>
      <c r="K24" s="80"/>
      <c r="L24" s="80"/>
      <c r="AJ24" s="763"/>
      <c r="AK24" s="763"/>
    </row>
    <row r="25" spans="1:51" ht="13.5" customHeight="1" thickBot="1" x14ac:dyDescent="0.3">
      <c r="A25" s="69"/>
      <c r="C25" s="40"/>
      <c r="D25" s="136">
        <f t="shared" ref="D25:M25" si="26">SUM(D4:D23)</f>
        <v>6392500</v>
      </c>
      <c r="E25" s="136">
        <f t="shared" si="26"/>
        <v>1875000</v>
      </c>
      <c r="F25" s="136">
        <f t="shared" si="26"/>
        <v>909110</v>
      </c>
      <c r="G25" s="136">
        <f t="shared" si="26"/>
        <v>41787</v>
      </c>
      <c r="H25" s="136">
        <f t="shared" si="26"/>
        <v>0</v>
      </c>
      <c r="I25" s="136">
        <f t="shared" si="26"/>
        <v>18350486.250556003</v>
      </c>
      <c r="J25" s="136">
        <f t="shared" si="26"/>
        <v>1117782.5566859529</v>
      </c>
      <c r="K25" s="136">
        <f t="shared" si="26"/>
        <v>248662.90000000005</v>
      </c>
      <c r="L25" s="136">
        <f t="shared" si="26"/>
        <v>0</v>
      </c>
      <c r="M25" s="136">
        <f t="shared" si="26"/>
        <v>28935328.707241952</v>
      </c>
      <c r="N25" s="136">
        <f>SUM(N4:N23)</f>
        <v>27984431.707241952</v>
      </c>
      <c r="O25" s="166">
        <f>SUM(O4:O23)</f>
        <v>1774.4166666666667</v>
      </c>
      <c r="P25" s="983"/>
      <c r="Q25" s="166">
        <f>SUM(Q4:Q23)</f>
        <v>1674.2311685323079</v>
      </c>
      <c r="R25" s="166">
        <f>SUM(R4:R23)</f>
        <v>2255451.148843925</v>
      </c>
      <c r="S25" s="52"/>
      <c r="T25" s="52"/>
      <c r="U25" s="52"/>
      <c r="V25" s="52"/>
      <c r="W25" s="52"/>
      <c r="X25" s="70">
        <f>SUM(X4:X23)</f>
        <v>139221.42631926062</v>
      </c>
      <c r="Y25" s="70">
        <f>SUM(Y4:Y23)</f>
        <v>28123653.133561216</v>
      </c>
      <c r="Z25" s="73"/>
      <c r="AA25" s="52"/>
      <c r="AC25" s="73"/>
      <c r="AD25" s="75"/>
      <c r="AE25" s="52"/>
      <c r="AF25" s="52"/>
      <c r="AG25" s="759"/>
      <c r="AH25" s="136">
        <f>SUM(AH4:AH23)</f>
        <v>139221.42631926062</v>
      </c>
      <c r="AI25" s="136">
        <f>SUM(AI4:AI23)</f>
        <v>28123653.133561216</v>
      </c>
      <c r="AJ25" s="128"/>
      <c r="AK25" s="128"/>
      <c r="AL25" s="128"/>
      <c r="AM25" s="128"/>
      <c r="AN25" s="128"/>
      <c r="AO25" s="128"/>
    </row>
    <row r="26" spans="1:51" x14ac:dyDescent="0.25">
      <c r="A26" s="69"/>
      <c r="B26" s="40"/>
      <c r="C26" s="40"/>
      <c r="D26" s="79"/>
      <c r="E26" s="79"/>
      <c r="F26" s="79"/>
      <c r="G26" s="79"/>
      <c r="H26" s="79"/>
      <c r="I26" s="40"/>
      <c r="J26" s="40"/>
      <c r="M26" s="79"/>
      <c r="N26" s="124"/>
      <c r="O26" s="126"/>
      <c r="P26" s="985"/>
      <c r="Q26" s="985"/>
      <c r="R26" s="985"/>
      <c r="S26" s="52"/>
      <c r="T26" s="52"/>
      <c r="U26" s="52"/>
      <c r="V26" s="52"/>
      <c r="W26" s="52"/>
      <c r="X26" s="52"/>
      <c r="Y26" s="52"/>
      <c r="Z26" s="52"/>
      <c r="AA26" s="52"/>
      <c r="AC26" s="73"/>
      <c r="AD26" s="75"/>
      <c r="AE26" s="52"/>
      <c r="AF26" s="52"/>
      <c r="AG26" s="759"/>
    </row>
    <row r="27" spans="1:51" x14ac:dyDescent="0.25">
      <c r="B27" s="760"/>
      <c r="C27" s="760"/>
      <c r="D27" s="42">
        <v>7154980.4209501101</v>
      </c>
      <c r="E27" s="42">
        <v>1632492.0468683892</v>
      </c>
      <c r="F27" s="42"/>
      <c r="G27" s="42"/>
      <c r="H27" s="42"/>
      <c r="I27" s="42"/>
      <c r="J27" s="42"/>
      <c r="K27" s="42"/>
      <c r="L27" s="533" t="s">
        <v>735</v>
      </c>
      <c r="M27" s="42"/>
      <c r="N27" s="42"/>
      <c r="O27" s="165"/>
      <c r="P27" s="982"/>
      <c r="Q27" s="982"/>
      <c r="R27" s="982"/>
      <c r="AE27" s="760"/>
      <c r="AF27" s="760"/>
      <c r="AH27" s="533" t="s">
        <v>686</v>
      </c>
      <c r="AI27" s="42">
        <v>25776508.120230969</v>
      </c>
      <c r="AJ27" s="823" t="s">
        <v>708</v>
      </c>
      <c r="AM27" s="42"/>
      <c r="AN27" s="829"/>
    </row>
    <row r="28" spans="1:51" x14ac:dyDescent="0.25">
      <c r="B28" s="760"/>
      <c r="D28" s="42">
        <f>SUM(D27:E27)</f>
        <v>8787472.4678184986</v>
      </c>
      <c r="O28" s="165"/>
      <c r="P28" s="982"/>
      <c r="Q28" s="982"/>
      <c r="R28" s="982"/>
      <c r="AD28" s="79"/>
      <c r="AE28" s="79"/>
      <c r="AF28" s="40"/>
      <c r="AH28" s="819"/>
      <c r="AI28" s="42"/>
      <c r="AJ28" s="42"/>
      <c r="AL28" s="42"/>
    </row>
    <row r="29" spans="1:51" x14ac:dyDescent="0.25">
      <c r="B29" s="828"/>
      <c r="D29" s="42"/>
      <c r="E29" s="828"/>
      <c r="F29" s="828"/>
      <c r="G29" s="828"/>
      <c r="H29" s="828"/>
      <c r="M29" s="828"/>
      <c r="O29" s="165"/>
      <c r="P29" s="982"/>
      <c r="Q29" s="982"/>
      <c r="R29" s="982"/>
      <c r="AC29" s="828"/>
      <c r="AD29" s="79"/>
      <c r="AE29" s="79"/>
      <c r="AF29" s="40"/>
      <c r="AG29" s="828"/>
      <c r="AH29" s="832"/>
      <c r="AI29" s="73">
        <v>27498022.23845711</v>
      </c>
      <c r="AJ29" s="73"/>
      <c r="AK29" s="42">
        <f>AI29-AI27</f>
        <v>1721514.1182261407</v>
      </c>
      <c r="AL29" s="73"/>
      <c r="AM29" s="828"/>
      <c r="AN29" s="828"/>
      <c r="AO29" s="828"/>
    </row>
    <row r="30" spans="1:51" x14ac:dyDescent="0.25">
      <c r="B30" s="828"/>
      <c r="D30" s="128">
        <f>D28-D25</f>
        <v>2394972.4678184986</v>
      </c>
      <c r="E30" s="828"/>
      <c r="F30" s="828"/>
      <c r="G30" s="828"/>
      <c r="H30" s="828"/>
      <c r="M30" s="828"/>
      <c r="O30" s="165"/>
      <c r="P30" s="982"/>
      <c r="Q30" s="982"/>
      <c r="R30" s="982"/>
      <c r="AC30" s="828"/>
      <c r="AD30" s="79"/>
      <c r="AE30" s="79"/>
      <c r="AF30" s="40"/>
      <c r="AG30" s="828"/>
      <c r="AH30" s="832"/>
      <c r="AI30" s="73"/>
      <c r="AJ30" s="73"/>
      <c r="AK30" s="831"/>
      <c r="AL30" s="73"/>
      <c r="AM30" s="828"/>
      <c r="AN30" s="828"/>
      <c r="AO30" s="828"/>
    </row>
    <row r="31" spans="1:51" x14ac:dyDescent="0.25">
      <c r="B31" s="760"/>
      <c r="D31" s="609"/>
      <c r="E31" s="609"/>
      <c r="F31" s="42"/>
      <c r="G31" s="42"/>
      <c r="H31" s="42"/>
      <c r="I31" s="42"/>
      <c r="J31" s="42"/>
      <c r="K31" s="42"/>
      <c r="L31" s="42"/>
      <c r="M31" s="42"/>
      <c r="N31" s="42"/>
      <c r="O31" s="165"/>
      <c r="P31" s="982"/>
      <c r="Q31" s="982"/>
      <c r="R31" s="982"/>
      <c r="S31" s="42"/>
      <c r="T31" s="42"/>
      <c r="U31" s="42"/>
      <c r="V31" s="42"/>
      <c r="W31" s="42"/>
      <c r="X31" s="42"/>
      <c r="Y31" s="42"/>
      <c r="Z31" s="42"/>
      <c r="AA31" s="42"/>
      <c r="AH31" s="831"/>
      <c r="AI31" s="73">
        <f>AI25-AI27</f>
        <v>2347145.0133302473</v>
      </c>
      <c r="AJ31" s="73"/>
      <c r="AK31" s="73">
        <f>AI31-AK29</f>
        <v>625630.89510410652</v>
      </c>
      <c r="AL31" s="831"/>
      <c r="AM31" s="872" t="s">
        <v>803</v>
      </c>
    </row>
    <row r="32" spans="1:51" x14ac:dyDescent="0.25">
      <c r="A32" s="79"/>
      <c r="B32" s="799"/>
      <c r="C32" s="52"/>
      <c r="D32" s="42"/>
      <c r="E32" s="128"/>
      <c r="F32" s="128"/>
      <c r="G32" s="128"/>
      <c r="H32" s="128"/>
      <c r="I32" s="128"/>
      <c r="J32" s="128"/>
      <c r="K32" s="128"/>
      <c r="L32" s="128"/>
      <c r="M32" s="128"/>
      <c r="N32" s="133"/>
      <c r="O32" s="154"/>
      <c r="P32" s="983"/>
      <c r="Q32" s="983"/>
      <c r="R32" s="983"/>
      <c r="S32" s="52"/>
      <c r="T32" s="52"/>
      <c r="U32" s="52"/>
      <c r="AH32" s="852"/>
      <c r="AI32" s="73"/>
      <c r="AJ32" s="851"/>
      <c r="AK32" s="73"/>
      <c r="AL32" s="73"/>
      <c r="AM32" s="42"/>
      <c r="AN32" s="42"/>
      <c r="AO32" s="42"/>
    </row>
    <row r="33" spans="2:41" ht="13" x14ac:dyDescent="0.3">
      <c r="B33" s="559" t="s">
        <v>737</v>
      </c>
      <c r="C33" s="52"/>
      <c r="D33" s="94">
        <f>IF(I33+J33&lt;'Group Sizes'!$B$46,'Group Sizes'!$F$46,IF('1819 Funding Detail'!I33+J33&lt;'Group Sizes'!$B$47,'Group Sizes'!$F$47,IF('1819 Funding Detail'!I33+J33&lt;'Group Sizes'!$B$48,'Group Sizes'!$F$48,IF(I33+J33&lt;'Group Sizes'!$B$49,'Group Sizes'!$F$49,IF(I33+J33&lt;'Group Sizes'!$B$50,'Group Sizes'!$F$50,IF(I33+J33&lt;'Group Sizes'!$B$51,'Group Sizes'!$F$51,IF(I33+J33&lt;'Group Sizes'!$B$52,'Group Sizes'!$F$52,IF(I33+J33&lt;'Group Sizes'!$B$53,'Group Sizes'!$F$53,IF(I33+J33&lt;'Group Sizes'!$B$54,'Group Sizes'!$F$54,IF(I33+J33&lt;'Group Sizes'!$B$55,'Group Sizes'!$F$55,IF(I33+J33&lt;'Group Sizes'!$B$56,'Group Sizes'!$F$56)))))))))))</f>
        <v>505000</v>
      </c>
      <c r="E33" s="128"/>
      <c r="F33" s="73"/>
      <c r="G33" s="73"/>
      <c r="H33" s="73"/>
      <c r="I33" s="73">
        <f>70*'1819 Band Calculations'!G100</f>
        <v>980296.51667889929</v>
      </c>
      <c r="J33" s="73">
        <v>0</v>
      </c>
      <c r="K33" s="723"/>
      <c r="L33" s="128"/>
      <c r="M33" s="855">
        <f>SUM(D33:L33)</f>
        <v>1485296.5166788993</v>
      </c>
      <c r="N33" s="333">
        <f>M33-F33</f>
        <v>1485296.5166788993</v>
      </c>
      <c r="O33" s="751">
        <v>70</v>
      </c>
      <c r="P33" s="983"/>
      <c r="Q33" s="983"/>
      <c r="R33" s="983"/>
      <c r="S33" s="52"/>
      <c r="T33" s="724">
        <f>N33-D33-E33-L33</f>
        <v>980296.51667889929</v>
      </c>
      <c r="U33" s="724">
        <f>T33/O33</f>
        <v>14004.235952555704</v>
      </c>
      <c r="V33" s="724">
        <f>'2017-18 Funding Detail'!AP31</f>
        <v>11542.785714285714</v>
      </c>
      <c r="W33" s="42">
        <f>U33-V33</f>
        <v>2461.4502382699902</v>
      </c>
      <c r="X33" s="724">
        <f>IF(W33&lt;0,((W33*O33)*-1),(0))</f>
        <v>0</v>
      </c>
      <c r="Y33" s="724">
        <f>N33+X33</f>
        <v>1485296.5166788993</v>
      </c>
      <c r="Z33" s="42">
        <f>O33*10000</f>
        <v>700000</v>
      </c>
      <c r="AA33" s="42">
        <f>IF(Z33&gt;Y33,(Z33-Y33),(0))</f>
        <v>0</v>
      </c>
      <c r="AB33" s="854">
        <f>N33/O33</f>
        <v>21218.521666841418</v>
      </c>
      <c r="AC33" s="854">
        <f>O33*10000</f>
        <v>700000</v>
      </c>
      <c r="AD33" s="854">
        <f>AB33-10000</f>
        <v>11218.521666841418</v>
      </c>
      <c r="AE33" s="669" t="e">
        <f>VLOOKUP(A33,'2017-18 Funding Detail'!$A$4:$AH$23,27,FALSE)</f>
        <v>#N/A</v>
      </c>
      <c r="AF33" s="855" t="e">
        <f>IF(AD33&gt;AE33,(AD33),(AE33))</f>
        <v>#N/A</v>
      </c>
      <c r="AG33" s="855" t="e">
        <f>10000+AF33</f>
        <v>#N/A</v>
      </c>
      <c r="AH33" s="726">
        <f>X33+AA33</f>
        <v>0</v>
      </c>
      <c r="AI33" s="727">
        <f>N33+AH33</f>
        <v>1485296.5166788993</v>
      </c>
      <c r="AJ33" s="73">
        <v>1312995</v>
      </c>
      <c r="AK33" s="549">
        <f>AI33-AJ33</f>
        <v>172301.51667889929</v>
      </c>
      <c r="AL33" s="831"/>
    </row>
    <row r="34" spans="2:41" x14ac:dyDescent="0.25">
      <c r="B34" s="559" t="s">
        <v>731</v>
      </c>
      <c r="C34" s="52"/>
      <c r="D34" s="73"/>
      <c r="E34" s="73"/>
      <c r="F34" s="73"/>
      <c r="G34" s="73"/>
      <c r="H34" s="73"/>
      <c r="I34" s="73">
        <f>13*'1819 Band Calculations'!G100</f>
        <v>182055.06738322414</v>
      </c>
      <c r="J34" s="73">
        <v>0</v>
      </c>
      <c r="K34" s="723"/>
      <c r="L34" s="73"/>
      <c r="M34" s="73"/>
      <c r="N34" s="796"/>
      <c r="O34" s="796"/>
      <c r="P34" s="61"/>
      <c r="Q34" s="61"/>
      <c r="R34" s="61"/>
      <c r="S34" s="52"/>
      <c r="T34" s="52"/>
      <c r="U34" s="52"/>
      <c r="AH34" s="73"/>
      <c r="AI34" s="73"/>
      <c r="AJ34" s="851"/>
      <c r="AK34" s="73"/>
      <c r="AL34" s="73"/>
      <c r="AM34" s="42"/>
      <c r="AN34" s="42"/>
      <c r="AO34" s="42"/>
    </row>
    <row r="35" spans="2:41" x14ac:dyDescent="0.25">
      <c r="B35" s="796"/>
      <c r="C35" s="52"/>
      <c r="D35" s="1886"/>
      <c r="E35" s="1886"/>
      <c r="F35" s="796"/>
      <c r="G35" s="796"/>
      <c r="H35" s="796"/>
      <c r="I35" s="47"/>
      <c r="J35" s="385"/>
      <c r="K35" s="50"/>
      <c r="L35" s="61"/>
      <c r="M35" s="796"/>
      <c r="N35" s="52"/>
      <c r="O35" s="796"/>
      <c r="P35" s="61"/>
      <c r="Q35" s="61"/>
      <c r="R35" s="61"/>
      <c r="S35" s="52"/>
      <c r="T35" s="52"/>
      <c r="U35" s="52"/>
      <c r="AH35" s="831"/>
      <c r="AI35" s="73"/>
      <c r="AJ35" s="73"/>
      <c r="AK35" s="831"/>
      <c r="AL35" s="831"/>
    </row>
    <row r="36" spans="2:41" x14ac:dyDescent="0.25">
      <c r="B36" s="799"/>
      <c r="C36" s="52"/>
      <c r="D36" s="802"/>
      <c r="E36" s="802"/>
      <c r="F36" s="802"/>
      <c r="G36" s="802"/>
      <c r="H36" s="802"/>
      <c r="I36" s="802"/>
      <c r="J36" s="802"/>
      <c r="K36" s="803"/>
      <c r="L36" s="802"/>
      <c r="M36" s="802"/>
      <c r="N36" s="802"/>
      <c r="O36" s="802"/>
      <c r="P36" s="803"/>
      <c r="Q36" s="803"/>
      <c r="R36" s="803"/>
      <c r="S36" s="802"/>
      <c r="T36" s="802"/>
      <c r="U36" s="802"/>
      <c r="V36" s="627"/>
      <c r="W36" s="627"/>
      <c r="X36" s="627"/>
      <c r="Y36" s="627"/>
      <c r="Z36" s="627"/>
      <c r="AA36" s="627"/>
      <c r="AB36" s="627"/>
      <c r="AC36" s="627"/>
      <c r="AD36" s="627"/>
      <c r="AE36" s="627"/>
      <c r="AF36" s="627"/>
      <c r="AG36" s="627"/>
      <c r="AH36" s="802"/>
      <c r="AI36" s="128"/>
      <c r="AJ36" s="549"/>
      <c r="AK36" s="802"/>
      <c r="AL36" s="633"/>
      <c r="AM36" s="627"/>
      <c r="AN36" s="627"/>
      <c r="AO36" s="627"/>
    </row>
    <row r="37" spans="2:41" x14ac:dyDescent="0.25">
      <c r="B37" s="52"/>
      <c r="C37" s="52"/>
      <c r="D37" s="796"/>
      <c r="E37" s="796"/>
      <c r="F37" s="796"/>
      <c r="G37" s="796"/>
      <c r="H37" s="796"/>
      <c r="I37" s="52"/>
      <c r="J37" s="52"/>
      <c r="K37" s="50"/>
      <c r="L37" s="50"/>
      <c r="M37" s="796"/>
      <c r="N37" s="52"/>
      <c r="O37" s="796"/>
      <c r="P37" s="61"/>
      <c r="Q37" s="61"/>
      <c r="R37" s="61"/>
      <c r="S37" s="52"/>
      <c r="T37" s="52"/>
      <c r="U37" s="52"/>
      <c r="AH37" s="831"/>
      <c r="AI37" s="73"/>
      <c r="AJ37" s="73"/>
      <c r="AK37" s="831"/>
      <c r="AL37" s="831"/>
    </row>
    <row r="38" spans="2:41" x14ac:dyDescent="0.25">
      <c r="B38" s="52"/>
      <c r="C38" s="52"/>
      <c r="D38" s="796"/>
      <c r="E38" s="796"/>
      <c r="F38" s="796"/>
      <c r="G38" s="796"/>
      <c r="H38" s="796"/>
      <c r="I38" s="52"/>
      <c r="J38" s="52"/>
      <c r="K38" s="50"/>
      <c r="L38" s="50"/>
      <c r="M38" s="796"/>
      <c r="N38" s="52"/>
      <c r="O38" s="796"/>
      <c r="P38" s="61"/>
      <c r="Q38" s="61"/>
      <c r="R38" s="61"/>
      <c r="S38" s="52"/>
      <c r="T38" s="52"/>
      <c r="U38" s="52"/>
      <c r="AH38" s="831"/>
      <c r="AI38" s="73"/>
      <c r="AJ38" s="73"/>
      <c r="AK38" s="831"/>
      <c r="AL38" s="831"/>
    </row>
    <row r="39" spans="2:41" x14ac:dyDescent="0.25">
      <c r="B39" s="52"/>
      <c r="C39" s="52"/>
      <c r="D39" s="796"/>
      <c r="E39" s="796"/>
      <c r="F39" s="796"/>
      <c r="G39" s="796"/>
      <c r="H39" s="796"/>
      <c r="I39" s="52"/>
      <c r="J39" s="52"/>
      <c r="K39" s="50"/>
      <c r="L39" s="50"/>
      <c r="M39" s="796"/>
      <c r="N39" s="52"/>
      <c r="O39" s="796"/>
      <c r="P39" s="61"/>
      <c r="Q39" s="61"/>
      <c r="R39" s="61"/>
      <c r="S39" s="52"/>
      <c r="T39" s="52"/>
      <c r="U39" s="52"/>
      <c r="AH39" s="831"/>
      <c r="AI39" s="73"/>
      <c r="AJ39" s="73"/>
      <c r="AK39" s="831"/>
      <c r="AL39" s="831"/>
    </row>
    <row r="40" spans="2:41" x14ac:dyDescent="0.25">
      <c r="B40" s="52"/>
      <c r="C40" s="52"/>
      <c r="D40" s="796"/>
      <c r="E40" s="796"/>
      <c r="F40" s="796"/>
      <c r="G40" s="796"/>
      <c r="H40" s="804"/>
      <c r="I40" s="633"/>
      <c r="J40" s="805"/>
      <c r="K40" s="50"/>
      <c r="L40" s="50"/>
      <c r="M40" s="796"/>
      <c r="N40" s="52"/>
      <c r="O40" s="796"/>
      <c r="P40" s="61"/>
      <c r="Q40" s="61"/>
      <c r="R40" s="61"/>
      <c r="S40" s="52"/>
      <c r="T40" s="52"/>
      <c r="U40" s="52"/>
      <c r="AH40" s="831"/>
      <c r="AI40" s="73"/>
      <c r="AJ40" s="73"/>
      <c r="AK40" s="831"/>
      <c r="AL40" s="831"/>
    </row>
    <row r="41" spans="2:41" x14ac:dyDescent="0.25">
      <c r="B41" s="52"/>
      <c r="C41" s="52"/>
      <c r="D41" s="796"/>
      <c r="E41" s="796"/>
      <c r="F41" s="796"/>
      <c r="G41" s="796"/>
      <c r="H41" s="804"/>
      <c r="I41" s="805"/>
      <c r="J41" s="805"/>
      <c r="K41" s="50"/>
      <c r="L41" s="50"/>
      <c r="M41" s="796"/>
      <c r="N41" s="52"/>
      <c r="O41" s="796"/>
      <c r="P41" s="61"/>
      <c r="Q41" s="61"/>
      <c r="R41" s="61"/>
      <c r="S41" s="52"/>
      <c r="T41" s="52"/>
      <c r="U41" s="52"/>
    </row>
    <row r="42" spans="2:41" x14ac:dyDescent="0.25">
      <c r="B42" s="52"/>
      <c r="C42" s="52"/>
      <c r="D42" s="796"/>
      <c r="E42" s="796"/>
      <c r="F42" s="796"/>
      <c r="G42" s="796"/>
      <c r="H42" s="804"/>
      <c r="I42" s="806"/>
      <c r="J42" s="805"/>
      <c r="K42" s="50"/>
      <c r="L42" s="50"/>
      <c r="M42" s="796"/>
      <c r="N42" s="52"/>
      <c r="O42" s="796"/>
      <c r="P42" s="61"/>
      <c r="Q42" s="61"/>
      <c r="R42" s="61"/>
      <c r="S42" s="52"/>
      <c r="T42" s="52"/>
      <c r="U42" s="52"/>
    </row>
    <row r="43" spans="2:41" x14ac:dyDescent="0.25">
      <c r="B43" s="52"/>
      <c r="C43" s="52"/>
      <c r="D43" s="796"/>
      <c r="E43" s="796"/>
      <c r="F43" s="796"/>
      <c r="G43" s="796"/>
      <c r="H43" s="802"/>
      <c r="I43" s="805"/>
      <c r="J43" s="805"/>
      <c r="K43" s="50"/>
      <c r="L43" s="50"/>
      <c r="M43" s="796"/>
      <c r="N43" s="52"/>
      <c r="O43" s="796"/>
      <c r="P43" s="61"/>
      <c r="Q43" s="61"/>
      <c r="R43" s="61"/>
      <c r="S43" s="52"/>
      <c r="T43" s="52"/>
      <c r="U43" s="52"/>
    </row>
    <row r="44" spans="2:41" x14ac:dyDescent="0.25">
      <c r="B44" s="52"/>
      <c r="C44" s="52"/>
      <c r="D44" s="796"/>
      <c r="E44" s="796"/>
      <c r="F44" s="796"/>
      <c r="G44" s="796"/>
      <c r="H44" s="804"/>
      <c r="I44" s="633"/>
      <c r="J44" s="805"/>
      <c r="K44" s="50"/>
      <c r="L44" s="50"/>
      <c r="M44" s="796"/>
      <c r="N44" s="52"/>
      <c r="O44" s="796"/>
      <c r="P44" s="61"/>
      <c r="Q44" s="61"/>
      <c r="R44" s="61"/>
      <c r="S44" s="52"/>
      <c r="T44" s="52"/>
      <c r="U44" s="52"/>
    </row>
    <row r="45" spans="2:41" x14ac:dyDescent="0.25">
      <c r="B45" s="52"/>
      <c r="C45" s="52"/>
      <c r="D45" s="796"/>
      <c r="E45" s="796"/>
      <c r="F45" s="796"/>
      <c r="G45" s="796"/>
      <c r="H45" s="802"/>
      <c r="I45" s="805"/>
      <c r="J45" s="805"/>
      <c r="K45" s="50"/>
      <c r="L45" s="50"/>
      <c r="M45" s="796"/>
      <c r="N45" s="52"/>
      <c r="O45" s="796"/>
      <c r="P45" s="61"/>
      <c r="Q45" s="61"/>
      <c r="R45" s="61"/>
      <c r="S45" s="52"/>
      <c r="T45" s="52"/>
      <c r="U45" s="52"/>
    </row>
    <row r="46" spans="2:41" x14ac:dyDescent="0.25">
      <c r="B46" s="52"/>
      <c r="C46" s="52"/>
      <c r="D46" s="796"/>
      <c r="E46" s="796"/>
      <c r="F46" s="796"/>
      <c r="G46" s="796"/>
      <c r="H46" s="796"/>
      <c r="I46" s="52"/>
      <c r="J46" s="52"/>
      <c r="K46" s="50"/>
      <c r="L46" s="50"/>
      <c r="M46" s="796"/>
      <c r="N46" s="52"/>
      <c r="O46" s="796"/>
      <c r="P46" s="61"/>
      <c r="Q46" s="61"/>
      <c r="R46" s="61"/>
      <c r="S46" s="52"/>
      <c r="T46" s="52"/>
      <c r="U46" s="52"/>
    </row>
  </sheetData>
  <mergeCells count="3">
    <mergeCell ref="V2:V3"/>
    <mergeCell ref="D35:E35"/>
    <mergeCell ref="AT2:AT3"/>
  </mergeCells>
  <pageMargins left="0.70866141732283472" right="0.70866141732283472" top="0.74803149606299213" bottom="0.74803149606299213" header="0.31496062992125984" footer="0.31496062992125984"/>
  <pageSetup paperSize="9" scale="26"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W133"/>
  <sheetViews>
    <sheetView workbookViewId="0">
      <selection activeCell="AL131" sqref="AL131"/>
    </sheetView>
  </sheetViews>
  <sheetFormatPr defaultColWidth="10.26953125" defaultRowHeight="12.5" x14ac:dyDescent="0.25"/>
  <cols>
    <col min="1" max="1" width="9.1796875" style="34" customWidth="1"/>
    <col min="2" max="2" width="26.7265625" style="34" customWidth="1"/>
    <col min="3" max="3" width="6.26953125" style="34" customWidth="1"/>
    <col min="4" max="4" width="12.1796875" style="34" bestFit="1" customWidth="1"/>
    <col min="5" max="5" width="16.453125" style="34" customWidth="1"/>
    <col min="6" max="6" width="12.7265625" style="34" customWidth="1"/>
    <col min="7" max="7" width="14.54296875" style="34" customWidth="1"/>
    <col min="8" max="8" width="13.26953125" style="34" customWidth="1"/>
    <col min="9" max="9" width="13" style="760" customWidth="1"/>
    <col min="10" max="10" width="12.81640625" style="760" customWidth="1"/>
    <col min="11" max="11" width="12.26953125" style="34" customWidth="1"/>
    <col min="12" max="12" width="11.1796875" style="34" customWidth="1"/>
    <col min="13" max="13" width="11.26953125" style="34" customWidth="1"/>
    <col min="14" max="14" width="11.453125" style="34" customWidth="1"/>
    <col min="15" max="15" width="12.81640625" style="34" customWidth="1"/>
    <col min="16" max="16" width="11.54296875" style="34" customWidth="1"/>
    <col min="17" max="17" width="11" style="34" customWidth="1"/>
    <col min="18" max="18" width="11.54296875" style="34" customWidth="1"/>
    <col min="19" max="19" width="12.453125" style="34" customWidth="1"/>
    <col min="20" max="20" width="12.26953125" style="34" customWidth="1"/>
    <col min="21" max="21" width="11.26953125" style="963" customWidth="1"/>
    <col min="22" max="22" width="11.26953125" style="34" customWidth="1"/>
    <col min="23" max="24" width="10.26953125" style="34" customWidth="1"/>
    <col min="25" max="25" width="11.1796875" style="34" customWidth="1"/>
    <col min="26" max="26" width="11.26953125" style="34" customWidth="1"/>
    <col min="27" max="27" width="11" style="34" customWidth="1"/>
    <col min="28" max="29" width="11.1796875" style="34" customWidth="1"/>
    <col min="30" max="30" width="12.1796875" style="34" customWidth="1"/>
    <col min="31" max="32" width="12.1796875" style="34" bestFit="1" customWidth="1"/>
    <col min="33" max="33" width="10.26953125" style="34" customWidth="1"/>
    <col min="34" max="35" width="11.1796875" style="34" bestFit="1" customWidth="1"/>
    <col min="36" max="36" width="12.1796875" style="34" bestFit="1" customWidth="1"/>
    <col min="37" max="37" width="2" style="34" customWidth="1"/>
    <col min="38" max="38" width="16.1796875" style="34" customWidth="1"/>
    <col min="39" max="42" width="10.26953125" style="34" customWidth="1"/>
    <col min="43" max="16384" width="10.26953125" style="34"/>
  </cols>
  <sheetData>
    <row r="1" spans="1:29" x14ac:dyDescent="0.25">
      <c r="A1" s="63" t="s">
        <v>97</v>
      </c>
      <c r="C1" s="33"/>
      <c r="S1" s="809"/>
      <c r="T1" s="810"/>
      <c r="U1" s="61"/>
      <c r="V1" s="810"/>
      <c r="W1" s="810"/>
    </row>
    <row r="2" spans="1:29" ht="13" x14ac:dyDescent="0.3">
      <c r="A2" s="63"/>
      <c r="C2" s="33"/>
      <c r="E2" s="332" t="s">
        <v>692</v>
      </c>
      <c r="S2" s="809"/>
      <c r="T2" s="810"/>
      <c r="U2" s="61"/>
      <c r="V2" s="810"/>
      <c r="W2" s="810"/>
    </row>
    <row r="3" spans="1:29" ht="13" x14ac:dyDescent="0.3">
      <c r="A3" s="230" t="s">
        <v>282</v>
      </c>
      <c r="C3" s="47"/>
      <c r="I3" s="231" t="s">
        <v>608</v>
      </c>
      <c r="S3" s="809"/>
      <c r="T3" s="810"/>
      <c r="U3" s="61"/>
      <c r="V3" s="810"/>
      <c r="W3" s="810"/>
    </row>
    <row r="4" spans="1:29" x14ac:dyDescent="0.25">
      <c r="B4" s="35"/>
      <c r="C4" s="35"/>
      <c r="P4" s="1893" t="s">
        <v>332</v>
      </c>
      <c r="Q4" s="1894"/>
      <c r="S4" s="809"/>
      <c r="T4" s="810"/>
      <c r="U4" s="61"/>
      <c r="V4" s="810"/>
      <c r="W4" s="810"/>
    </row>
    <row r="5" spans="1:29" ht="37.5" x14ac:dyDescent="0.25">
      <c r="A5" s="183" t="s">
        <v>201</v>
      </c>
      <c r="B5" s="36" t="s">
        <v>66</v>
      </c>
      <c r="C5" s="761" t="s">
        <v>51</v>
      </c>
      <c r="D5" s="870" t="s">
        <v>789</v>
      </c>
      <c r="E5" s="870" t="s">
        <v>790</v>
      </c>
      <c r="F5" s="870" t="s">
        <v>793</v>
      </c>
      <c r="G5" s="870" t="s">
        <v>791</v>
      </c>
      <c r="H5" s="870" t="s">
        <v>794</v>
      </c>
      <c r="I5" s="870" t="s">
        <v>795</v>
      </c>
      <c r="J5" s="870" t="s">
        <v>792</v>
      </c>
      <c r="K5" s="764" t="s">
        <v>252</v>
      </c>
      <c r="L5" s="764" t="s">
        <v>253</v>
      </c>
      <c r="M5" s="764" t="s">
        <v>251</v>
      </c>
      <c r="N5" s="764" t="s">
        <v>385</v>
      </c>
      <c r="O5" s="764" t="s">
        <v>336</v>
      </c>
      <c r="P5" s="764" t="s">
        <v>386</v>
      </c>
      <c r="Q5" s="764" t="s">
        <v>387</v>
      </c>
      <c r="R5" s="413" t="s">
        <v>337</v>
      </c>
      <c r="S5" s="694" t="s">
        <v>338</v>
      </c>
    </row>
    <row r="6" spans="1:29" x14ac:dyDescent="0.25">
      <c r="A6" s="185">
        <v>9257010</v>
      </c>
      <c r="B6" s="38" t="s">
        <v>67</v>
      </c>
      <c r="C6" s="39">
        <v>4</v>
      </c>
      <c r="D6" s="812">
        <f>VLOOKUP(A6,'1819 Revised Bands'!$A$117:$R$134,10,(FALSE))</f>
        <v>5.7692307692307696E-2</v>
      </c>
      <c r="E6" s="812">
        <f>VLOOKUP(A6,'1819 Revised Bands'!$A$117:$R$134,8,(FALSE))</f>
        <v>0.28846153846153844</v>
      </c>
      <c r="F6" s="812">
        <f>VLOOKUP(A6,'1819 Revised Bands'!$A$117:$R$134,14,(FALSE))</f>
        <v>9.6153846153846159E-2</v>
      </c>
      <c r="G6" s="812">
        <f>VLOOKUP(A6,'1819 Revised Bands'!$A$117:$R$134,6,(FALSE))</f>
        <v>0.11538461538461539</v>
      </c>
      <c r="H6" s="812">
        <f>VLOOKUP(A6,'1819 Revised Bands'!$A$117:$R$134,12,(FALSE))</f>
        <v>3.8461538461538464E-2</v>
      </c>
      <c r="I6" s="812">
        <f>VLOOKUP(A6,'1819 Revised Bands'!$A$117:$R$134,16,(FALSE))</f>
        <v>0.25</v>
      </c>
      <c r="J6" s="812">
        <f>VLOOKUP(A6,'1819 Revised Bands'!$A$117:$R$134,18,(FALSE))</f>
        <v>0.15384615384615385</v>
      </c>
      <c r="K6" s="233">
        <v>0</v>
      </c>
      <c r="L6" s="233">
        <v>47</v>
      </c>
      <c r="M6" s="168">
        <f>L6</f>
        <v>47</v>
      </c>
      <c r="N6" s="80">
        <f t="shared" ref="N6:N23" si="0">((((K6*G6)*$G$92)+((K6*E6)*$G$94)+((K6*D6)*$G$98)+((K6*H6)*$G$100)+((K6*F6)*$G$104)))*(5/12)</f>
        <v>0</v>
      </c>
      <c r="O6" s="813">
        <f>((((L6*D6)*$G$92)+((L6*E6)*$G$94)+((L6*F6)*$G$96)+((L6*G6)*$G$98)+((L6*H6)*$G$100)+((L6*I6)*$G$102)+((L6*J6)*$G$104))*(5/12))</f>
        <v>249127.47987378816</v>
      </c>
      <c r="P6" s="813">
        <f t="shared" ref="P6:P23" si="1">((M6*F6)*$G$106)*(5/12)</f>
        <v>4961.7387820512822</v>
      </c>
      <c r="Q6" s="813">
        <f>SUM(N6:P6)</f>
        <v>254089.21865583945</v>
      </c>
      <c r="R6" s="724">
        <f>(M6*(5/12))*10000</f>
        <v>195833.33333333334</v>
      </c>
      <c r="S6" s="724">
        <f>(VLOOKUP(A6,'1819 Funding Detail'!$A$4:$AN$23,40,FALSE)*5/12)*M6</f>
        <v>216227.9035516727</v>
      </c>
      <c r="T6" s="42"/>
      <c r="U6" s="42">
        <f>SUM(J6*L6*$G$104)*5/12</f>
        <v>67826.877277072941</v>
      </c>
      <c r="V6" s="42"/>
      <c r="W6" s="623"/>
      <c r="Z6" s="42"/>
    </row>
    <row r="7" spans="1:29" ht="12.75" customHeight="1" x14ac:dyDescent="0.25">
      <c r="A7" s="185">
        <v>9257005</v>
      </c>
      <c r="B7" s="38" t="s">
        <v>68</v>
      </c>
      <c r="C7" s="39">
        <v>4</v>
      </c>
      <c r="D7" s="812">
        <f>VLOOKUP(A7,'1819 Revised Bands'!$A$117:$R$134,10,(FALSE))</f>
        <v>9.3333333333333338E-2</v>
      </c>
      <c r="E7" s="812">
        <f>VLOOKUP(A7,'1819 Revised Bands'!$A$117:$R$134,8,(FALSE))</f>
        <v>0.22666666666666666</v>
      </c>
      <c r="F7" s="812">
        <f>VLOOKUP(A7,'1819 Revised Bands'!$A$117:$R$134,14,(FALSE))</f>
        <v>0.16</v>
      </c>
      <c r="G7" s="812">
        <f>VLOOKUP(A7,'1819 Revised Bands'!$A$117:$R$134,6,(FALSE))</f>
        <v>0.13333333333333333</v>
      </c>
      <c r="H7" s="812">
        <f>VLOOKUP(A7,'1819 Revised Bands'!$A$117:$R$134,12,(FALSE))</f>
        <v>9.3333333333333338E-2</v>
      </c>
      <c r="I7" s="812">
        <f>VLOOKUP(A7,'1819 Revised Bands'!$A$117:$R$134,16,(FALSE))</f>
        <v>0.2</v>
      </c>
      <c r="J7" s="812">
        <f>VLOOKUP(A7,'1819 Revised Bands'!$A$117:$R$134,18,(FALSE))</f>
        <v>9.3333333333333338E-2</v>
      </c>
      <c r="K7" s="233">
        <v>0</v>
      </c>
      <c r="L7" s="233">
        <v>45</v>
      </c>
      <c r="M7" s="168">
        <f t="shared" ref="M7:M23" si="2">L7</f>
        <v>45</v>
      </c>
      <c r="N7" s="80">
        <f t="shared" si="0"/>
        <v>0</v>
      </c>
      <c r="O7" s="813">
        <f t="shared" ref="O7:O23" si="3">((((L7*D7)*$G$92)+((L7*E7)*$G$94)+((L7*F7)*$G$96)+((L7*G7)*$G$98)+((L7*H7)*$G$100)+((L7*I7)*$G$102)+((L7*J7)*$G$104))*(5/12))</f>
        <v>227564.52014436229</v>
      </c>
      <c r="P7" s="813">
        <f t="shared" si="1"/>
        <v>7905</v>
      </c>
      <c r="Q7" s="813">
        <f>SUM(N7:P7)</f>
        <v>235469.52014436229</v>
      </c>
      <c r="R7" s="724">
        <f>(M7*(5/12))*10000</f>
        <v>187500</v>
      </c>
      <c r="S7" s="724">
        <f>(VLOOKUP(A7,'1819 Funding Detail'!$A$4:$AN$23,40,FALSE)*5/12)*M7</f>
        <v>163617.44440404332</v>
      </c>
      <c r="T7" s="42"/>
      <c r="U7" s="42">
        <f t="shared" ref="U7:U23" si="4">SUM(J7*L7*$G$104)*5/12</f>
        <v>39397.313822640252</v>
      </c>
      <c r="V7" s="626"/>
      <c r="W7" s="624"/>
      <c r="X7" s="33"/>
      <c r="Y7" s="33"/>
      <c r="Z7" s="42"/>
      <c r="AA7" s="763"/>
    </row>
    <row r="8" spans="1:29" ht="12.75" customHeight="1" x14ac:dyDescent="0.25">
      <c r="A8" s="185">
        <v>9257025</v>
      </c>
      <c r="B8" s="38" t="s">
        <v>69</v>
      </c>
      <c r="C8" s="39">
        <v>4</v>
      </c>
      <c r="D8" s="812">
        <f>VLOOKUP(A8,'1819 Revised Bands'!$A$117:$R$134,10,(FALSE))</f>
        <v>0.17910447761194029</v>
      </c>
      <c r="E8" s="812">
        <f>VLOOKUP(A8,'1819 Revised Bands'!$A$117:$R$134,8,(FALSE))</f>
        <v>0.26865671641791045</v>
      </c>
      <c r="F8" s="812">
        <f>VLOOKUP(A8,'1819 Revised Bands'!$A$117:$R$134,14,(FALSE))</f>
        <v>0.14925373134328357</v>
      </c>
      <c r="G8" s="812">
        <f>VLOOKUP(A8,'1819 Revised Bands'!$A$117:$R$134,6,(FALSE))</f>
        <v>4.4776119402985072E-2</v>
      </c>
      <c r="H8" s="812">
        <f>VLOOKUP(A8,'1819 Revised Bands'!$A$117:$R$134,12,(FALSE))</f>
        <v>0.14925373134328357</v>
      </c>
      <c r="I8" s="812">
        <f>VLOOKUP(A8,'1819 Revised Bands'!$A$117:$R$134,16,(FALSE))</f>
        <v>0.11940298507462686</v>
      </c>
      <c r="J8" s="812">
        <f>VLOOKUP(A8,'1819 Revised Bands'!$A$117:$R$134,18,(FALSE))</f>
        <v>8.9552238805970144E-2</v>
      </c>
      <c r="K8" s="233">
        <v>0</v>
      </c>
      <c r="L8" s="233">
        <v>47</v>
      </c>
      <c r="M8" s="168">
        <f t="shared" si="2"/>
        <v>47</v>
      </c>
      <c r="N8" s="80">
        <f t="shared" si="0"/>
        <v>0</v>
      </c>
      <c r="O8" s="813">
        <f t="shared" si="3"/>
        <v>216467.80906257842</v>
      </c>
      <c r="P8" s="813">
        <f t="shared" si="1"/>
        <v>7701.8034825870645</v>
      </c>
      <c r="Q8" s="813">
        <f t="shared" ref="Q8:Q23" si="5">SUM(N8:P8)</f>
        <v>224169.6125451655</v>
      </c>
      <c r="R8" s="724">
        <f t="shared" ref="R8:R23" si="6">(M8*(5/12))*10000</f>
        <v>195833.33333333334</v>
      </c>
      <c r="S8" s="724">
        <f>(VLOOKUP(A8,'1819 Funding Detail'!$A$4:$AN$23,40,FALSE)*5/12)*M8</f>
        <v>162699.74898513185</v>
      </c>
      <c r="T8" s="42"/>
      <c r="U8" s="42">
        <f t="shared" si="4"/>
        <v>39481.316623967839</v>
      </c>
      <c r="V8" s="626"/>
      <c r="W8" s="808"/>
      <c r="X8" s="808"/>
      <c r="Y8" s="808"/>
      <c r="Z8" s="808"/>
      <c r="AA8" s="808"/>
      <c r="AB8" s="808"/>
      <c r="AC8" s="808"/>
    </row>
    <row r="9" spans="1:29" x14ac:dyDescent="0.25">
      <c r="A9" s="185">
        <v>9257011</v>
      </c>
      <c r="B9" s="38" t="s">
        <v>70</v>
      </c>
      <c r="C9" s="39">
        <v>4</v>
      </c>
      <c r="D9" s="812">
        <f>VLOOKUP(A9,'1819 Revised Bands'!$A$117:$R$134,10,(FALSE))</f>
        <v>0.1111111111111111</v>
      </c>
      <c r="E9" s="812">
        <f>VLOOKUP(A9,'1819 Revised Bands'!$A$117:$R$134,8,(FALSE))</f>
        <v>0.31481481481481483</v>
      </c>
      <c r="F9" s="812">
        <f>VLOOKUP(A9,'1819 Revised Bands'!$A$117:$R$134,14,(FALSE))</f>
        <v>5.5555555555555552E-2</v>
      </c>
      <c r="G9" s="812">
        <f>VLOOKUP(A9,'1819 Revised Bands'!$A$117:$R$134,6,(FALSE))</f>
        <v>0.12962962962962962</v>
      </c>
      <c r="H9" s="812">
        <f>VLOOKUP(A9,'1819 Revised Bands'!$A$117:$R$134,12,(FALSE))</f>
        <v>0.14814814814814814</v>
      </c>
      <c r="I9" s="812">
        <f>VLOOKUP(A9,'1819 Revised Bands'!$A$117:$R$134,16,(FALSE))</f>
        <v>0.12962962962962962</v>
      </c>
      <c r="J9" s="812">
        <f>VLOOKUP(A9,'1819 Revised Bands'!$A$117:$R$134,18,(FALSE))</f>
        <v>0.1111111111111111</v>
      </c>
      <c r="K9" s="233">
        <v>0</v>
      </c>
      <c r="L9" s="233">
        <v>41</v>
      </c>
      <c r="M9" s="168">
        <f t="shared" si="2"/>
        <v>41</v>
      </c>
      <c r="N9" s="80">
        <f t="shared" si="0"/>
        <v>0</v>
      </c>
      <c r="O9" s="813">
        <f t="shared" si="3"/>
        <v>200447.3614078906</v>
      </c>
      <c r="P9" s="813">
        <f t="shared" si="1"/>
        <v>2500.8101851851852</v>
      </c>
      <c r="Q9" s="813">
        <f t="shared" si="5"/>
        <v>202948.17159307579</v>
      </c>
      <c r="R9" s="724">
        <f t="shared" si="6"/>
        <v>170833.33333333334</v>
      </c>
      <c r="S9" s="724">
        <f>(VLOOKUP(A9,'1819 Funding Detail'!$A$4:$AN$23,40,FALSE)*5/12)*M9</f>
        <v>159940.50553115029</v>
      </c>
      <c r="T9" s="42"/>
      <c r="U9" s="42">
        <f t="shared" si="4"/>
        <v>42732.536156832015</v>
      </c>
      <c r="V9" s="626"/>
      <c r="W9" s="808"/>
      <c r="X9" s="808"/>
      <c r="Y9" s="808"/>
      <c r="Z9" s="808"/>
      <c r="AA9" s="808"/>
      <c r="AB9" s="808"/>
      <c r="AC9" s="808"/>
    </row>
    <row r="10" spans="1:29" x14ac:dyDescent="0.25">
      <c r="A10" s="185">
        <v>9257024</v>
      </c>
      <c r="B10" s="38" t="s">
        <v>71</v>
      </c>
      <c r="C10" s="39">
        <v>3</v>
      </c>
      <c r="D10" s="812">
        <f>VLOOKUP(A10,'1819 Revised Bands'!$A$117:$R$134,10,(FALSE))</f>
        <v>0.11594202898550725</v>
      </c>
      <c r="E10" s="812">
        <f>VLOOKUP(A10,'1819 Revised Bands'!$A$117:$R$134,8,(FALSE))</f>
        <v>0.34782608695652173</v>
      </c>
      <c r="F10" s="812">
        <f>VLOOKUP(A10,'1819 Revised Bands'!$A$117:$R$134,14,(FALSE))</f>
        <v>5.7971014492753624E-2</v>
      </c>
      <c r="G10" s="812">
        <f>VLOOKUP(A10,'1819 Revised Bands'!$A$117:$R$134,6,(FALSE))</f>
        <v>8.6956521739130432E-2</v>
      </c>
      <c r="H10" s="812">
        <f>VLOOKUP(A10,'1819 Revised Bands'!$A$117:$R$134,12,(FALSE))</f>
        <v>0.15942028985507245</v>
      </c>
      <c r="I10" s="812">
        <f>VLOOKUP(A10,'1819 Revised Bands'!$A$117:$R$134,16,(FALSE))</f>
        <v>0.10144927536231885</v>
      </c>
      <c r="J10" s="812">
        <f>VLOOKUP(A10,'1819 Revised Bands'!$A$117:$R$134,18,(FALSE))</f>
        <v>0.13043478260869565</v>
      </c>
      <c r="K10" s="233">
        <v>0</v>
      </c>
      <c r="L10" s="233">
        <v>58</v>
      </c>
      <c r="M10" s="168">
        <f t="shared" si="2"/>
        <v>58</v>
      </c>
      <c r="N10" s="80">
        <f t="shared" si="0"/>
        <v>0</v>
      </c>
      <c r="O10" s="813">
        <f t="shared" si="3"/>
        <v>280089.83803104534</v>
      </c>
      <c r="P10" s="813">
        <f t="shared" si="1"/>
        <v>3691.5458937198068</v>
      </c>
      <c r="Q10" s="813">
        <f t="shared" si="5"/>
        <v>283781.38392476516</v>
      </c>
      <c r="R10" s="724">
        <f t="shared" si="6"/>
        <v>241666.66666666669</v>
      </c>
      <c r="S10" s="724">
        <f>(VLOOKUP(A10,'1819 Funding Detail'!$A$4:$AN$23,40,FALSE)*5/12)*M10</f>
        <v>190026.55300420083</v>
      </c>
      <c r="T10" s="42"/>
      <c r="U10" s="42">
        <f t="shared" si="4"/>
        <v>70964.105643265051</v>
      </c>
      <c r="V10" s="626"/>
      <c r="W10" s="808"/>
      <c r="X10" s="808"/>
      <c r="Y10" s="808"/>
      <c r="Z10" s="808"/>
      <c r="AA10" s="808"/>
      <c r="AB10" s="808"/>
      <c r="AC10" s="808"/>
    </row>
    <row r="11" spans="1:29" ht="12.75" customHeight="1" x14ac:dyDescent="0.25">
      <c r="A11" s="185">
        <v>9257031</v>
      </c>
      <c r="B11" s="38" t="s">
        <v>98</v>
      </c>
      <c r="C11" s="39">
        <v>4</v>
      </c>
      <c r="D11" s="812">
        <f>VLOOKUP(A11,'1819 Revised Bands'!$A$117:$R$134,10,(FALSE))</f>
        <v>0</v>
      </c>
      <c r="E11" s="812">
        <f>VLOOKUP(A11,'1819 Revised Bands'!$A$117:$R$134,8,(FALSE))</f>
        <v>0</v>
      </c>
      <c r="F11" s="812">
        <f>VLOOKUP(A11,'1819 Revised Bands'!$A$117:$R$134,14,(FALSE))</f>
        <v>1</v>
      </c>
      <c r="G11" s="812">
        <f>VLOOKUP(A11,'1819 Revised Bands'!$A$117:$R$134,6,(FALSE))</f>
        <v>0</v>
      </c>
      <c r="H11" s="812">
        <f>VLOOKUP(A11,'1819 Revised Bands'!$A$117:$R$134,12,(FALSE))</f>
        <v>0</v>
      </c>
      <c r="I11" s="812">
        <f>VLOOKUP(A11,'1819 Revised Bands'!$A$117:$R$134,16,(FALSE))</f>
        <v>0</v>
      </c>
      <c r="J11" s="812">
        <f>VLOOKUP(A11,'1819 Revised Bands'!$A$117:$R$134,18,(FALSE))</f>
        <v>0</v>
      </c>
      <c r="K11" s="233">
        <v>0</v>
      </c>
      <c r="L11" s="233">
        <v>70</v>
      </c>
      <c r="M11" s="168">
        <f t="shared" si="2"/>
        <v>70</v>
      </c>
      <c r="N11" s="80">
        <f t="shared" si="0"/>
        <v>0</v>
      </c>
      <c r="O11" s="813">
        <f t="shared" si="3"/>
        <v>328516.19258454861</v>
      </c>
      <c r="P11" s="813">
        <f t="shared" si="1"/>
        <v>76854.166666666672</v>
      </c>
      <c r="Q11" s="813">
        <f t="shared" si="5"/>
        <v>405370.3592512153</v>
      </c>
      <c r="R11" s="724">
        <f t="shared" si="6"/>
        <v>291666.66666666669</v>
      </c>
      <c r="S11" s="724">
        <f>(VLOOKUP(A11,'1819 Funding Detail'!$A$4:$AN$23,40,FALSE)*5/12)*M11</f>
        <v>301113.06690461282</v>
      </c>
      <c r="T11" s="42"/>
      <c r="U11" s="42">
        <f t="shared" si="4"/>
        <v>0</v>
      </c>
      <c r="V11" s="626"/>
      <c r="W11" s="808"/>
      <c r="X11" s="808"/>
      <c r="Y11" s="808"/>
      <c r="Z11" s="808"/>
      <c r="AA11" s="808"/>
      <c r="AB11" s="808"/>
      <c r="AC11" s="808"/>
    </row>
    <row r="12" spans="1:29" x14ac:dyDescent="0.25">
      <c r="A12" s="185">
        <v>9257033</v>
      </c>
      <c r="B12" s="38" t="s">
        <v>72</v>
      </c>
      <c r="C12" s="39">
        <v>3</v>
      </c>
      <c r="D12" s="812">
        <f>VLOOKUP(A12,'1819 Revised Bands'!$A$117:$R$134,10,(FALSE))</f>
        <v>0.31395348837209303</v>
      </c>
      <c r="E12" s="812">
        <f>VLOOKUP(A12,'1819 Revised Bands'!$A$117:$R$134,8,(FALSE))</f>
        <v>0.19767441860465115</v>
      </c>
      <c r="F12" s="812">
        <f>VLOOKUP(A12,'1819 Revised Bands'!$A$117:$R$134,14,(FALSE))</f>
        <v>0.22093023255813954</v>
      </c>
      <c r="G12" s="812">
        <f>VLOOKUP(A12,'1819 Revised Bands'!$A$117:$R$134,6,(FALSE))</f>
        <v>6.9767441860465115E-2</v>
      </c>
      <c r="H12" s="812">
        <f>VLOOKUP(A12,'1819 Revised Bands'!$A$117:$R$134,12,(FALSE))</f>
        <v>0.10465116279069768</v>
      </c>
      <c r="I12" s="812">
        <f>VLOOKUP(A12,'1819 Revised Bands'!$A$117:$R$134,16,(FALSE))</f>
        <v>9.3023255813953487E-2</v>
      </c>
      <c r="J12" s="812">
        <f>VLOOKUP(A12,'1819 Revised Bands'!$A$117:$R$134,18,(FALSE))</f>
        <v>0</v>
      </c>
      <c r="K12" s="233">
        <v>0</v>
      </c>
      <c r="L12" s="233">
        <v>85</v>
      </c>
      <c r="M12" s="168">
        <f t="shared" si="2"/>
        <v>85</v>
      </c>
      <c r="N12" s="80">
        <f t="shared" si="0"/>
        <v>0</v>
      </c>
      <c r="O12" s="813">
        <f t="shared" si="3"/>
        <v>335298.50821188255</v>
      </c>
      <c r="P12" s="813">
        <f t="shared" si="1"/>
        <v>20617.853682170546</v>
      </c>
      <c r="Q12" s="813">
        <f t="shared" si="5"/>
        <v>355916.36189405312</v>
      </c>
      <c r="R12" s="724">
        <f t="shared" si="6"/>
        <v>354166.66666666669</v>
      </c>
      <c r="S12" s="724">
        <f>(VLOOKUP(A12,'1819 Funding Detail'!$A$4:$AN$23,40,FALSE)*5/12)*M12</f>
        <v>184607.92013444955</v>
      </c>
      <c r="T12" s="42"/>
      <c r="U12" s="42">
        <f t="shared" si="4"/>
        <v>0</v>
      </c>
      <c r="V12" s="626"/>
      <c r="W12" s="808"/>
      <c r="X12" s="808"/>
      <c r="Y12" s="808"/>
      <c r="Z12" s="808"/>
      <c r="AA12" s="808"/>
      <c r="AB12" s="808"/>
      <c r="AC12" s="808"/>
    </row>
    <row r="13" spans="1:29" x14ac:dyDescent="0.25">
      <c r="A13" s="185">
        <v>9257008</v>
      </c>
      <c r="B13" s="38" t="s">
        <v>73</v>
      </c>
      <c r="C13" s="39">
        <v>4</v>
      </c>
      <c r="D13" s="812">
        <f>VLOOKUP(A13,'1819 Revised Bands'!$A$117:$R$134,10,(FALSE))</f>
        <v>4.3956043956043959E-2</v>
      </c>
      <c r="E13" s="812">
        <f>VLOOKUP(A13,'1819 Revised Bands'!$A$117:$R$134,8,(FALSE))</f>
        <v>0.61538461538461542</v>
      </c>
      <c r="F13" s="812">
        <f>VLOOKUP(A13,'1819 Revised Bands'!$A$117:$R$134,14,(FALSE))</f>
        <v>0.15384615384615385</v>
      </c>
      <c r="G13" s="812">
        <f>VLOOKUP(A13,'1819 Revised Bands'!$A$117:$R$134,6,(FALSE))</f>
        <v>2.197802197802198E-2</v>
      </c>
      <c r="H13" s="812">
        <f>VLOOKUP(A13,'1819 Revised Bands'!$A$117:$R$134,12,(FALSE))</f>
        <v>2.197802197802198E-2</v>
      </c>
      <c r="I13" s="812">
        <f>VLOOKUP(A13,'1819 Revised Bands'!$A$117:$R$134,16,(FALSE))</f>
        <v>0.14285714285714285</v>
      </c>
      <c r="J13" s="812">
        <f>VLOOKUP(A13,'1819 Revised Bands'!$A$117:$R$134,18,(FALSE))</f>
        <v>0</v>
      </c>
      <c r="K13" s="233">
        <v>0</v>
      </c>
      <c r="L13" s="233">
        <v>90</v>
      </c>
      <c r="M13" s="168">
        <f t="shared" si="2"/>
        <v>90</v>
      </c>
      <c r="N13" s="80">
        <f t="shared" si="0"/>
        <v>0</v>
      </c>
      <c r="O13" s="813">
        <f t="shared" si="3"/>
        <v>334820.62013137911</v>
      </c>
      <c r="P13" s="813">
        <f t="shared" si="1"/>
        <v>15201.923076923076</v>
      </c>
      <c r="Q13" s="813">
        <f t="shared" si="5"/>
        <v>350022.54320830217</v>
      </c>
      <c r="R13" s="724">
        <f t="shared" si="6"/>
        <v>375000</v>
      </c>
      <c r="S13" s="724">
        <f>(VLOOKUP(A13,'1819 Funding Detail'!$A$4:$AN$23,40,FALSE)*5/12)*M13</f>
        <v>160778.0633876744</v>
      </c>
      <c r="T13" s="42"/>
      <c r="U13" s="42">
        <f t="shared" si="4"/>
        <v>0</v>
      </c>
      <c r="V13" s="626"/>
      <c r="W13" s="808"/>
      <c r="X13" s="808"/>
      <c r="Y13" s="808"/>
      <c r="Z13" s="808"/>
      <c r="AA13" s="808"/>
      <c r="AB13" s="808"/>
      <c r="AC13" s="808"/>
    </row>
    <row r="14" spans="1:29" x14ac:dyDescent="0.25">
      <c r="A14" s="185">
        <v>9257034</v>
      </c>
      <c r="B14" s="38" t="s">
        <v>74</v>
      </c>
      <c r="C14" s="39">
        <v>5</v>
      </c>
      <c r="D14" s="812">
        <f>VLOOKUP(A14,'1819 Revised Bands'!$A$117:$R$134,10,(FALSE))</f>
        <v>0.42105263157894735</v>
      </c>
      <c r="E14" s="812">
        <f>VLOOKUP(A14,'1819 Revised Bands'!$A$117:$R$134,8,(FALSE))</f>
        <v>0.16666666666666666</v>
      </c>
      <c r="F14" s="812">
        <f>VLOOKUP(A14,'1819 Revised Bands'!$A$117:$R$134,14,(FALSE))</f>
        <v>0.26315789473684209</v>
      </c>
      <c r="G14" s="812">
        <f>VLOOKUP(A14,'1819 Revised Bands'!$A$117:$R$134,6,(FALSE))</f>
        <v>4.3859649122807015E-2</v>
      </c>
      <c r="H14" s="812">
        <f>VLOOKUP(A14,'1819 Revised Bands'!$A$117:$R$134,12,(FALSE))</f>
        <v>3.5087719298245612E-2</v>
      </c>
      <c r="I14" s="812">
        <f>VLOOKUP(A14,'1819 Revised Bands'!$A$117:$R$134,16,(FALSE))</f>
        <v>4.3859649122807015E-2</v>
      </c>
      <c r="J14" s="812">
        <f>VLOOKUP(A14,'1819 Revised Bands'!$A$117:$R$134,18,(FALSE))</f>
        <v>2.6315789473684209E-2</v>
      </c>
      <c r="K14" s="233">
        <v>0</v>
      </c>
      <c r="L14" s="233">
        <v>82</v>
      </c>
      <c r="M14" s="168">
        <f t="shared" si="2"/>
        <v>82</v>
      </c>
      <c r="N14" s="80">
        <f t="shared" si="0"/>
        <v>0</v>
      </c>
      <c r="O14" s="813">
        <f t="shared" si="3"/>
        <v>303058.50276049814</v>
      </c>
      <c r="P14" s="813">
        <f t="shared" si="1"/>
        <v>23691.885964912282</v>
      </c>
      <c r="Q14" s="813">
        <f t="shared" si="5"/>
        <v>326750.38872541045</v>
      </c>
      <c r="R14" s="724">
        <f t="shared" si="6"/>
        <v>341666.66666666669</v>
      </c>
      <c r="S14" s="724">
        <f>(VLOOKUP(A14,'1819 Funding Detail'!$A$4:$AN$23,40,FALSE)*5/12)*M14</f>
        <v>133617.75330874368</v>
      </c>
      <c r="T14" s="42"/>
      <c r="U14" s="42">
        <f t="shared" si="4"/>
        <v>20241.727653236219</v>
      </c>
      <c r="V14" s="626"/>
      <c r="W14" s="808"/>
      <c r="X14" s="808"/>
      <c r="Y14" s="808"/>
      <c r="Z14" s="808"/>
      <c r="AA14" s="808"/>
      <c r="AB14" s="808"/>
      <c r="AC14" s="808"/>
    </row>
    <row r="15" spans="1:29" x14ac:dyDescent="0.25">
      <c r="A15" s="185">
        <v>9257002</v>
      </c>
      <c r="B15" s="38" t="s">
        <v>75</v>
      </c>
      <c r="C15" s="39">
        <v>5</v>
      </c>
      <c r="D15" s="812">
        <f>VLOOKUP(A15,'1819 Revised Bands'!$A$117:$R$134,10,(FALSE))</f>
        <v>0.53237410071942448</v>
      </c>
      <c r="E15" s="812">
        <f>VLOOKUP(A15,'1819 Revised Bands'!$A$117:$R$134,8,(FALSE))</f>
        <v>0.12949640287769784</v>
      </c>
      <c r="F15" s="812">
        <f>VLOOKUP(A15,'1819 Revised Bands'!$A$117:$R$134,14,(FALSE))</f>
        <v>0.18705035971223022</v>
      </c>
      <c r="G15" s="812">
        <f>VLOOKUP(A15,'1819 Revised Bands'!$A$117:$R$134,6,(FALSE))</f>
        <v>7.1942446043165471E-3</v>
      </c>
      <c r="H15" s="812">
        <f>VLOOKUP(A15,'1819 Revised Bands'!$A$117:$R$134,12,(FALSE))</f>
        <v>6.4748201438848921E-2</v>
      </c>
      <c r="I15" s="812">
        <f>VLOOKUP(A15,'1819 Revised Bands'!$A$117:$R$134,16,(FALSE))</f>
        <v>7.1942446043165464E-2</v>
      </c>
      <c r="J15" s="812">
        <f>VLOOKUP(A15,'1819 Revised Bands'!$A$117:$R$134,18,(FALSE))</f>
        <v>7.1942446043165471E-3</v>
      </c>
      <c r="K15" s="233">
        <v>0</v>
      </c>
      <c r="L15" s="233">
        <v>142</v>
      </c>
      <c r="M15" s="168">
        <f t="shared" si="2"/>
        <v>142</v>
      </c>
      <c r="N15" s="80">
        <f t="shared" si="0"/>
        <v>0</v>
      </c>
      <c r="O15" s="813">
        <f t="shared" si="3"/>
        <v>490328.01679392811</v>
      </c>
      <c r="P15" s="813">
        <f t="shared" si="1"/>
        <v>29161.930455635498</v>
      </c>
      <c r="Q15" s="813">
        <f t="shared" si="5"/>
        <v>519489.94724956359</v>
      </c>
      <c r="R15" s="724">
        <f t="shared" si="6"/>
        <v>591666.66666666674</v>
      </c>
      <c r="S15" s="724">
        <f>(VLOOKUP(A15,'1819 Funding Detail'!$A$4:$AN$23,40,FALSE)*5/12)*M15</f>
        <v>144290.23372608674</v>
      </c>
      <c r="T15" s="42"/>
      <c r="U15" s="42">
        <f t="shared" si="4"/>
        <v>9582.7656094808426</v>
      </c>
      <c r="V15" s="626"/>
      <c r="W15" s="808"/>
      <c r="X15" s="808"/>
      <c r="Y15" s="808"/>
      <c r="Z15" s="808"/>
      <c r="AA15" s="808"/>
      <c r="AB15" s="808"/>
      <c r="AC15" s="808"/>
    </row>
    <row r="16" spans="1:29" x14ac:dyDescent="0.25">
      <c r="A16" s="185">
        <v>9257009</v>
      </c>
      <c r="B16" s="38" t="s">
        <v>76</v>
      </c>
      <c r="C16" s="39">
        <v>4</v>
      </c>
      <c r="D16" s="812">
        <f>VLOOKUP(A16,'1819 Revised Bands'!$A$117:$R$134,10,(FALSE))</f>
        <v>0.1484375</v>
      </c>
      <c r="E16" s="812">
        <f>VLOOKUP(A16,'1819 Revised Bands'!$A$117:$R$134,8,(FALSE))</f>
        <v>0.46875</v>
      </c>
      <c r="F16" s="812">
        <f>VLOOKUP(A16,'1819 Revised Bands'!$A$117:$R$134,14,(FALSE))</f>
        <v>0.125</v>
      </c>
      <c r="G16" s="812">
        <f>VLOOKUP(A16,'1819 Revised Bands'!$A$117:$R$134,6,(FALSE))</f>
        <v>0</v>
      </c>
      <c r="H16" s="812">
        <f>VLOOKUP(A16,'1819 Revised Bands'!$A$117:$R$134,12,(FALSE))</f>
        <v>3.125E-2</v>
      </c>
      <c r="I16" s="812">
        <f>VLOOKUP(A16,'1819 Revised Bands'!$A$117:$R$134,16,(FALSE))</f>
        <v>0.2265625</v>
      </c>
      <c r="J16" s="812">
        <f>VLOOKUP(A16,'1819 Revised Bands'!$A$117:$R$134,18,(FALSE))</f>
        <v>0</v>
      </c>
      <c r="K16" s="233">
        <v>0</v>
      </c>
      <c r="L16" s="233">
        <v>129</v>
      </c>
      <c r="M16" s="168">
        <f t="shared" si="2"/>
        <v>129</v>
      </c>
      <c r="N16" s="80">
        <f t="shared" si="0"/>
        <v>0</v>
      </c>
      <c r="O16" s="813">
        <f t="shared" si="3"/>
        <v>498231.85835514392</v>
      </c>
      <c r="P16" s="813">
        <f t="shared" si="1"/>
        <v>17703.90625</v>
      </c>
      <c r="Q16" s="813">
        <f t="shared" si="5"/>
        <v>515935.76460514392</v>
      </c>
      <c r="R16" s="724">
        <f t="shared" si="6"/>
        <v>537500</v>
      </c>
      <c r="S16" s="724">
        <f>(VLOOKUP(A16,'1819 Funding Detail'!$A$4:$AN$23,40,FALSE)*5/12)*M16</f>
        <v>188762.38627392572</v>
      </c>
      <c r="T16" s="42"/>
      <c r="U16" s="42">
        <f t="shared" si="4"/>
        <v>0</v>
      </c>
      <c r="V16" s="626"/>
      <c r="W16" s="808"/>
      <c r="X16" s="808"/>
      <c r="Y16" s="808"/>
      <c r="Z16" s="808"/>
      <c r="AA16" s="808"/>
      <c r="AB16" s="808"/>
      <c r="AC16" s="808"/>
    </row>
    <row r="17" spans="1:26" x14ac:dyDescent="0.25">
      <c r="A17" s="185">
        <v>9257029</v>
      </c>
      <c r="B17" s="38" t="s">
        <v>99</v>
      </c>
      <c r="C17" s="39">
        <v>3</v>
      </c>
      <c r="D17" s="812">
        <f>VLOOKUP(A17,'1819 Revised Bands'!$A$117:$R$134,10,(FALSE))</f>
        <v>0</v>
      </c>
      <c r="E17" s="812">
        <f>VLOOKUP(A17,'1819 Revised Bands'!$A$117:$R$134,8,(FALSE))</f>
        <v>0</v>
      </c>
      <c r="F17" s="812">
        <f>VLOOKUP(A17,'1819 Revised Bands'!$A$117:$R$134,14,(FALSE))</f>
        <v>1</v>
      </c>
      <c r="G17" s="812">
        <f>VLOOKUP(A17,'1819 Revised Bands'!$A$117:$R$134,6,(FALSE))</f>
        <v>0</v>
      </c>
      <c r="H17" s="812">
        <f>VLOOKUP(A17,'1819 Revised Bands'!$A$117:$R$134,12,(FALSE))</f>
        <v>0</v>
      </c>
      <c r="I17" s="812">
        <f>VLOOKUP(A17,'1819 Revised Bands'!$A$117:$R$134,16,(FALSE))</f>
        <v>0</v>
      </c>
      <c r="J17" s="812">
        <f>VLOOKUP(A17,'1819 Revised Bands'!$A$117:$R$134,18,(FALSE))</f>
        <v>0</v>
      </c>
      <c r="K17" s="233">
        <v>0</v>
      </c>
      <c r="L17" s="233">
        <v>43</v>
      </c>
      <c r="M17" s="168">
        <f t="shared" si="2"/>
        <v>43</v>
      </c>
      <c r="N17" s="80">
        <f t="shared" si="0"/>
        <v>0</v>
      </c>
      <c r="O17" s="813">
        <f t="shared" si="3"/>
        <v>201802.80401622274</v>
      </c>
      <c r="P17" s="813">
        <f t="shared" si="1"/>
        <v>47210.416666666672</v>
      </c>
      <c r="Q17" s="813">
        <f t="shared" si="5"/>
        <v>249013.2206828894</v>
      </c>
      <c r="R17" s="724">
        <f t="shared" si="6"/>
        <v>179166.66666666669</v>
      </c>
      <c r="S17" s="724">
        <f>(VLOOKUP(A17,'1819 Funding Detail'!$A$4:$AN$23,40,FALSE)*5/12)*M17</f>
        <v>225420.66578231775</v>
      </c>
      <c r="T17" s="42"/>
      <c r="U17" s="42">
        <f t="shared" si="4"/>
        <v>0</v>
      </c>
      <c r="V17" s="626"/>
      <c r="W17" s="625"/>
      <c r="Z17" s="42"/>
    </row>
    <row r="18" spans="1:26" x14ac:dyDescent="0.25">
      <c r="A18" s="185">
        <v>9257032</v>
      </c>
      <c r="B18" s="38" t="s">
        <v>100</v>
      </c>
      <c r="C18" s="39">
        <v>4</v>
      </c>
      <c r="D18" s="812">
        <f>VLOOKUP(A18,'1819 Revised Bands'!$A$117:$R$134,10,(FALSE))</f>
        <v>0</v>
      </c>
      <c r="E18" s="812">
        <f>VLOOKUP(A18,'1819 Revised Bands'!$A$117:$R$134,8,(FALSE))</f>
        <v>0</v>
      </c>
      <c r="F18" s="812">
        <f>VLOOKUP(A18,'1819 Revised Bands'!$A$117:$R$134,14,(FALSE))</f>
        <v>1</v>
      </c>
      <c r="G18" s="812">
        <f>VLOOKUP(A18,'1819 Revised Bands'!$A$117:$R$134,6,(FALSE))</f>
        <v>0</v>
      </c>
      <c r="H18" s="812">
        <f>VLOOKUP(A18,'1819 Revised Bands'!$A$117:$R$134,12,(FALSE))</f>
        <v>0</v>
      </c>
      <c r="I18" s="812">
        <f>VLOOKUP(A18,'1819 Revised Bands'!$A$117:$R$134,16,(FALSE))</f>
        <v>0</v>
      </c>
      <c r="J18" s="812">
        <f>VLOOKUP(A18,'1819 Revised Bands'!$A$117:$R$134,18,(FALSE))</f>
        <v>0</v>
      </c>
      <c r="K18" s="233">
        <v>0</v>
      </c>
      <c r="L18" s="233">
        <v>60</v>
      </c>
      <c r="M18" s="168">
        <f t="shared" si="2"/>
        <v>60</v>
      </c>
      <c r="N18" s="80">
        <f t="shared" si="0"/>
        <v>0</v>
      </c>
      <c r="O18" s="813">
        <f t="shared" si="3"/>
        <v>281585.3079296131</v>
      </c>
      <c r="P18" s="813">
        <f t="shared" si="1"/>
        <v>65875</v>
      </c>
      <c r="Q18" s="813">
        <f t="shared" si="5"/>
        <v>347460.3079296131</v>
      </c>
      <c r="R18" s="724">
        <f t="shared" si="6"/>
        <v>250000</v>
      </c>
      <c r="S18" s="724">
        <f>(VLOOKUP(A18,'1819 Funding Detail'!$A$4:$AN$23,40,FALSE)*5/12)*M18</f>
        <v>267082.29650472465</v>
      </c>
      <c r="T18" s="42"/>
      <c r="U18" s="42">
        <f t="shared" si="4"/>
        <v>0</v>
      </c>
      <c r="V18" s="42"/>
      <c r="Z18" s="42"/>
    </row>
    <row r="19" spans="1:26" x14ac:dyDescent="0.25">
      <c r="A19" s="185">
        <v>9257030</v>
      </c>
      <c r="B19" s="38" t="s">
        <v>92</v>
      </c>
      <c r="C19" s="39">
        <v>4</v>
      </c>
      <c r="D19" s="812">
        <f>VLOOKUP(A19,'1819 Revised Bands'!$A$117:$R$134,10,(FALSE))</f>
        <v>0</v>
      </c>
      <c r="E19" s="812">
        <f>VLOOKUP(A19,'1819 Revised Bands'!$A$117:$R$134,8,(FALSE))</f>
        <v>0</v>
      </c>
      <c r="F19" s="812">
        <f>VLOOKUP(A19,'1819 Revised Bands'!$A$117:$R$134,14,(FALSE))</f>
        <v>1</v>
      </c>
      <c r="G19" s="812">
        <f>VLOOKUP(A19,'1819 Revised Bands'!$A$117:$R$134,6,(FALSE))</f>
        <v>0</v>
      </c>
      <c r="H19" s="812">
        <f>VLOOKUP(A19,'1819 Revised Bands'!$A$117:$R$134,12,(FALSE))</f>
        <v>0</v>
      </c>
      <c r="I19" s="812">
        <f>VLOOKUP(A19,'1819 Revised Bands'!$A$117:$R$134,16,(FALSE))</f>
        <v>0</v>
      </c>
      <c r="J19" s="812">
        <f>VLOOKUP(A19,'1819 Revised Bands'!$A$117:$R$134,18,(FALSE))</f>
        <v>0</v>
      </c>
      <c r="K19" s="233">
        <v>0</v>
      </c>
      <c r="L19" s="233">
        <v>70</v>
      </c>
      <c r="M19" s="168">
        <f t="shared" si="2"/>
        <v>70</v>
      </c>
      <c r="N19" s="80">
        <f t="shared" si="0"/>
        <v>0</v>
      </c>
      <c r="O19" s="813">
        <f t="shared" si="3"/>
        <v>328516.19258454861</v>
      </c>
      <c r="P19" s="813">
        <f t="shared" si="1"/>
        <v>76854.166666666672</v>
      </c>
      <c r="Q19" s="813">
        <f t="shared" si="5"/>
        <v>405370.3592512153</v>
      </c>
      <c r="R19" s="724">
        <f t="shared" si="6"/>
        <v>291666.66666666669</v>
      </c>
      <c r="S19" s="724">
        <f>(VLOOKUP(A19,'1819 Funding Detail'!$A$4:$AN$23,40,FALSE)*5/12)*M19</f>
        <v>308047.5936829524</v>
      </c>
      <c r="T19" s="42"/>
      <c r="U19" s="42">
        <f t="shared" si="4"/>
        <v>0</v>
      </c>
      <c r="V19" s="42"/>
      <c r="Z19" s="42"/>
    </row>
    <row r="20" spans="1:26" x14ac:dyDescent="0.25">
      <c r="A20" s="185">
        <v>9257028</v>
      </c>
      <c r="B20" s="38" t="s">
        <v>77</v>
      </c>
      <c r="C20" s="39">
        <v>5</v>
      </c>
      <c r="D20" s="812">
        <f>VLOOKUP(A20,'1819 Revised Bands'!$A$117:$R$134,10,(FALSE))</f>
        <v>6.3291139240506333E-2</v>
      </c>
      <c r="E20" s="812">
        <f>VLOOKUP(A20,'1819 Revised Bands'!$A$117:$R$134,8,(FALSE))</f>
        <v>0.29113924050632911</v>
      </c>
      <c r="F20" s="812">
        <f>VLOOKUP(A20,'1819 Revised Bands'!$A$117:$R$134,14,(FALSE))</f>
        <v>3.7974683544303799E-2</v>
      </c>
      <c r="G20" s="812">
        <f>VLOOKUP(A20,'1819 Revised Bands'!$A$117:$R$134,6,(FALSE))</f>
        <v>0.10126582278481013</v>
      </c>
      <c r="H20" s="812">
        <f>VLOOKUP(A20,'1819 Revised Bands'!$A$117:$R$134,12,(FALSE))</f>
        <v>0.189873417721519</v>
      </c>
      <c r="I20" s="812">
        <f>VLOOKUP(A20,'1819 Revised Bands'!$A$117:$R$134,16,(FALSE))</f>
        <v>0.12658227848101267</v>
      </c>
      <c r="J20" s="812">
        <f>VLOOKUP(A20,'1819 Revised Bands'!$A$117:$R$134,18,(FALSE))</f>
        <v>0.189873417721519</v>
      </c>
      <c r="K20" s="523">
        <v>0</v>
      </c>
      <c r="L20" s="233">
        <v>61</v>
      </c>
      <c r="M20" s="168">
        <f t="shared" si="2"/>
        <v>61</v>
      </c>
      <c r="N20" s="525">
        <f t="shared" si="0"/>
        <v>0</v>
      </c>
      <c r="O20" s="813">
        <f t="shared" si="3"/>
        <v>330777.78943154495</v>
      </c>
      <c r="P20" s="813">
        <f t="shared" si="1"/>
        <v>2543.2753164556962</v>
      </c>
      <c r="Q20" s="813">
        <f t="shared" si="5"/>
        <v>333321.06474800064</v>
      </c>
      <c r="R20" s="724">
        <f t="shared" si="6"/>
        <v>254166.66666666669</v>
      </c>
      <c r="S20" s="724">
        <f>(VLOOKUP(A20,'1819 Funding Detail'!$A$4:$AN$23,40,FALSE)*5/12)*M20</f>
        <v>233139.4530235001</v>
      </c>
      <c r="T20" s="42"/>
      <c r="U20" s="42">
        <f t="shared" si="4"/>
        <v>108645.39526134969</v>
      </c>
      <c r="V20" s="42"/>
      <c r="Z20" s="42"/>
    </row>
    <row r="21" spans="1:26" x14ac:dyDescent="0.25">
      <c r="A21" s="185">
        <v>9257021</v>
      </c>
      <c r="B21" s="38" t="s">
        <v>78</v>
      </c>
      <c r="C21" s="39">
        <v>5</v>
      </c>
      <c r="D21" s="812">
        <f>VLOOKUP(A21,'1819 Revised Bands'!$A$117:$R$134,10,(FALSE))</f>
        <v>0.29677419354838708</v>
      </c>
      <c r="E21" s="812">
        <f>VLOOKUP(A21,'1819 Revised Bands'!$A$117:$R$134,8,(FALSE))</f>
        <v>0.29677419354838708</v>
      </c>
      <c r="F21" s="812">
        <f>VLOOKUP(A21,'1819 Revised Bands'!$A$117:$R$134,14,(FALSE))</f>
        <v>0.12258064516129032</v>
      </c>
      <c r="G21" s="812">
        <f>VLOOKUP(A21,'1819 Revised Bands'!$A$117:$R$134,6,(FALSE))</f>
        <v>3.870967741935484E-2</v>
      </c>
      <c r="H21" s="812">
        <f>VLOOKUP(A21,'1819 Revised Bands'!$A$117:$R$134,12,(FALSE))</f>
        <v>9.0322580645161285E-2</v>
      </c>
      <c r="I21" s="812">
        <f>VLOOKUP(A21,'1819 Revised Bands'!$A$117:$R$134,16,(FALSE))</f>
        <v>0.14193548387096774</v>
      </c>
      <c r="J21" s="812">
        <f>VLOOKUP(A21,'1819 Revised Bands'!$A$117:$R$134,18,(FALSE))</f>
        <v>1.2903225806451613E-2</v>
      </c>
      <c r="K21" s="233">
        <v>0</v>
      </c>
      <c r="L21" s="233">
        <v>155</v>
      </c>
      <c r="M21" s="168">
        <f t="shared" si="2"/>
        <v>155</v>
      </c>
      <c r="N21" s="80">
        <f t="shared" si="0"/>
        <v>0</v>
      </c>
      <c r="O21" s="813">
        <f t="shared" si="3"/>
        <v>601928.86330060894</v>
      </c>
      <c r="P21" s="813">
        <f t="shared" si="1"/>
        <v>20860.416666666668</v>
      </c>
      <c r="Q21" s="813">
        <f t="shared" si="5"/>
        <v>622789.27996727556</v>
      </c>
      <c r="R21" s="724">
        <f t="shared" si="6"/>
        <v>645833.33333333337</v>
      </c>
      <c r="S21" s="724">
        <f>(VLOOKUP(A21,'1819 Funding Detail'!$A$4:$AN$23,40,FALSE)*5/12)*M21</f>
        <v>206607.07484593373</v>
      </c>
      <c r="T21" s="42"/>
      <c r="U21" s="42">
        <f t="shared" si="4"/>
        <v>18760.62562982869</v>
      </c>
      <c r="V21" s="42"/>
      <c r="Z21" s="42"/>
    </row>
    <row r="22" spans="1:26" x14ac:dyDescent="0.25">
      <c r="A22" s="185">
        <v>9257015</v>
      </c>
      <c r="B22" s="38" t="s">
        <v>55</v>
      </c>
      <c r="C22" s="39">
        <v>6</v>
      </c>
      <c r="D22" s="812">
        <f>VLOOKUP(A22,'1819 Revised Bands'!$A$117:$R$134,10,(FALSE))</f>
        <v>0.49808429118773945</v>
      </c>
      <c r="E22" s="812">
        <f>VLOOKUP(A22,'1819 Revised Bands'!$A$117:$R$134,8,(FALSE))</f>
        <v>0.19923371647509577</v>
      </c>
      <c r="F22" s="812">
        <f>VLOOKUP(A22,'1819 Revised Bands'!$A$117:$R$134,14,(FALSE))</f>
        <v>4.2145593869731802E-2</v>
      </c>
      <c r="G22" s="812">
        <f>VLOOKUP(A22,'1819 Revised Bands'!$A$117:$R$134,6,(FALSE))</f>
        <v>3.8314176245210725E-2</v>
      </c>
      <c r="H22" s="812">
        <f>VLOOKUP(A22,'1819 Revised Bands'!$A$117:$R$134,12,(FALSE))</f>
        <v>6.5134099616858232E-2</v>
      </c>
      <c r="I22" s="812">
        <f>VLOOKUP(A22,'1819 Revised Bands'!$A$117:$R$134,16,(FALSE))</f>
        <v>0.13793103448275862</v>
      </c>
      <c r="J22" s="812">
        <f>VLOOKUP(A22,'1819 Revised Bands'!$A$117:$R$134,18,(FALSE))</f>
        <v>1.9157088122605363E-2</v>
      </c>
      <c r="K22" s="233">
        <v>0</v>
      </c>
      <c r="L22" s="233">
        <v>233</v>
      </c>
      <c r="M22" s="168">
        <f t="shared" si="2"/>
        <v>233</v>
      </c>
      <c r="N22" s="80">
        <f t="shared" si="0"/>
        <v>0</v>
      </c>
      <c r="O22" s="813">
        <f t="shared" si="3"/>
        <v>837512.92567233753</v>
      </c>
      <c r="P22" s="813">
        <f t="shared" si="1"/>
        <v>10781.45753512133</v>
      </c>
      <c r="Q22" s="813">
        <f t="shared" si="5"/>
        <v>848294.38320745889</v>
      </c>
      <c r="R22" s="724">
        <f t="shared" si="6"/>
        <v>970833.33333333337</v>
      </c>
      <c r="S22" s="724">
        <f>(VLOOKUP(A22,'1819 Funding Detail'!$A$4:$AN$23,40,FALSE)*5/12)*M22</f>
        <v>115598.88312379058</v>
      </c>
      <c r="T22" s="42"/>
      <c r="U22" s="42">
        <f t="shared" si="4"/>
        <v>41869.978656610001</v>
      </c>
      <c r="V22" s="42"/>
      <c r="Z22" s="42"/>
    </row>
    <row r="23" spans="1:26" x14ac:dyDescent="0.25">
      <c r="A23" s="185">
        <v>9257016</v>
      </c>
      <c r="B23" s="38" t="s">
        <v>80</v>
      </c>
      <c r="C23" s="39">
        <v>6</v>
      </c>
      <c r="D23" s="812">
        <f>VLOOKUP(A23,'1819 Revised Bands'!$A$117:$R$134,10,(FALSE))</f>
        <v>0.25170068027210885</v>
      </c>
      <c r="E23" s="812">
        <f>VLOOKUP(A23,'1819 Revised Bands'!$A$117:$R$134,8,(FALSE))</f>
        <v>6.8027210884353748E-2</v>
      </c>
      <c r="F23" s="812">
        <f>VLOOKUP(A23,'1819 Revised Bands'!$A$117:$R$134,14,(FALSE))</f>
        <v>0</v>
      </c>
      <c r="G23" s="812">
        <f>VLOOKUP(A23,'1819 Revised Bands'!$A$117:$R$134,6,(FALSE))</f>
        <v>0.16326530612244897</v>
      </c>
      <c r="H23" s="812">
        <f>VLOOKUP(A23,'1819 Revised Bands'!$A$117:$R$134,12,(FALSE))</f>
        <v>0.25170068027210885</v>
      </c>
      <c r="I23" s="812">
        <f>VLOOKUP(A23,'1819 Revised Bands'!$A$117:$R$134,16,(FALSE))</f>
        <v>6.8027210884353739E-3</v>
      </c>
      <c r="J23" s="812">
        <f>VLOOKUP(A23,'1819 Revised Bands'!$A$117:$R$134,18,(FALSE))</f>
        <v>0.25850340136054423</v>
      </c>
      <c r="K23" s="233">
        <v>0</v>
      </c>
      <c r="L23" s="233">
        <v>89</v>
      </c>
      <c r="M23" s="168">
        <f t="shared" si="2"/>
        <v>89</v>
      </c>
      <c r="N23" s="80">
        <f t="shared" si="0"/>
        <v>0</v>
      </c>
      <c r="O23" s="813">
        <f t="shared" si="3"/>
        <v>505878.43584758753</v>
      </c>
      <c r="P23" s="813">
        <f t="shared" si="1"/>
        <v>0</v>
      </c>
      <c r="Q23" s="813">
        <f t="shared" si="5"/>
        <v>505878.43584758753</v>
      </c>
      <c r="R23" s="724">
        <f t="shared" si="6"/>
        <v>370833.33333333337</v>
      </c>
      <c r="S23" s="724">
        <f>(VLOOKUP(A23,'1819 Funding Detail'!$A$4:$AN$23,40,FALSE)*5/12)*M23</f>
        <v>283679.94286513136</v>
      </c>
      <c r="T23" s="628" t="s">
        <v>402</v>
      </c>
      <c r="U23" s="42">
        <f t="shared" si="4"/>
        <v>215811.00639483207</v>
      </c>
      <c r="V23" s="42"/>
      <c r="Z23" s="42"/>
    </row>
    <row r="24" spans="1:26" x14ac:dyDescent="0.25">
      <c r="A24" s="75"/>
      <c r="B24" s="50"/>
      <c r="C24" s="61"/>
      <c r="D24" s="49"/>
      <c r="E24" s="49"/>
      <c r="G24" s="628"/>
      <c r="H24" s="49"/>
      <c r="I24" s="49"/>
      <c r="J24" s="628"/>
      <c r="K24" s="628"/>
      <c r="L24" s="168"/>
      <c r="M24" s="628" t="s">
        <v>402</v>
      </c>
      <c r="N24" s="80"/>
      <c r="O24" s="80"/>
      <c r="P24" s="80"/>
      <c r="Q24" s="628" t="s">
        <v>402</v>
      </c>
      <c r="R24" s="168"/>
      <c r="S24" s="168"/>
    </row>
    <row r="25" spans="1:26" ht="13" x14ac:dyDescent="0.3">
      <c r="A25" s="230" t="s">
        <v>283</v>
      </c>
      <c r="B25" s="50"/>
      <c r="C25" s="61"/>
      <c r="D25" s="49"/>
      <c r="E25" s="49"/>
      <c r="G25" s="49"/>
      <c r="H25" s="49"/>
      <c r="I25" s="49"/>
      <c r="J25" s="49"/>
      <c r="K25" s="168"/>
      <c r="L25" s="168"/>
      <c r="M25" s="168"/>
      <c r="N25" s="80"/>
      <c r="O25" s="80"/>
      <c r="P25" s="80"/>
      <c r="Q25" s="80"/>
      <c r="R25" s="168"/>
      <c r="S25" s="168"/>
    </row>
    <row r="26" spans="1:26" x14ac:dyDescent="0.25">
      <c r="A26" s="75"/>
      <c r="B26" s="50"/>
      <c r="C26" s="61"/>
      <c r="D26" s="49"/>
      <c r="E26" s="49"/>
      <c r="G26" s="49"/>
      <c r="H26" s="49"/>
      <c r="I26" s="49"/>
      <c r="J26" s="49"/>
      <c r="K26" s="231" t="s">
        <v>608</v>
      </c>
      <c r="L26" s="168"/>
      <c r="M26" s="168"/>
      <c r="N26" s="80"/>
      <c r="O26" s="1893" t="s">
        <v>332</v>
      </c>
      <c r="P26" s="1894"/>
      <c r="Q26" s="80"/>
      <c r="R26" s="168"/>
      <c r="S26" s="168"/>
    </row>
    <row r="27" spans="1:26" ht="37.5" x14ac:dyDescent="0.25">
      <c r="A27" s="183" t="s">
        <v>201</v>
      </c>
      <c r="B27" s="36" t="s">
        <v>66</v>
      </c>
      <c r="C27" s="39" t="s">
        <v>51</v>
      </c>
      <c r="D27" s="870" t="s">
        <v>789</v>
      </c>
      <c r="E27" s="870" t="s">
        <v>790</v>
      </c>
      <c r="F27" s="870" t="s">
        <v>793</v>
      </c>
      <c r="G27" s="870" t="s">
        <v>791</v>
      </c>
      <c r="H27" s="870" t="s">
        <v>794</v>
      </c>
      <c r="I27" s="870" t="s">
        <v>795</v>
      </c>
      <c r="J27" s="870" t="s">
        <v>792</v>
      </c>
      <c r="K27" s="764" t="s">
        <v>185</v>
      </c>
      <c r="L27" s="764" t="s">
        <v>288</v>
      </c>
      <c r="M27" s="764" t="s">
        <v>388</v>
      </c>
      <c r="N27" s="764" t="s">
        <v>288</v>
      </c>
      <c r="O27" s="252" t="s">
        <v>330</v>
      </c>
      <c r="P27" s="694" t="s">
        <v>339</v>
      </c>
      <c r="Q27" s="764"/>
      <c r="R27" s="764"/>
      <c r="S27" s="764"/>
    </row>
    <row r="28" spans="1:26" x14ac:dyDescent="0.25">
      <c r="A28" s="185">
        <v>9257010</v>
      </c>
      <c r="B28" s="38" t="s">
        <v>67</v>
      </c>
      <c r="C28" s="39">
        <v>4</v>
      </c>
      <c r="D28" s="812">
        <f>VLOOKUP(A28,'1819 Revised Bands'!$A$117:$R$134,10,(FALSE))</f>
        <v>5.7692307692307696E-2</v>
      </c>
      <c r="E28" s="812">
        <f>VLOOKUP(A28,'1819 Revised Bands'!$A$117:$R$134,8,(FALSE))</f>
        <v>0.28846153846153844</v>
      </c>
      <c r="F28" s="812">
        <f>VLOOKUP(A28,'1819 Revised Bands'!$A$117:$R$134,14,(FALSE))</f>
        <v>9.6153846153846159E-2</v>
      </c>
      <c r="G28" s="812">
        <f>VLOOKUP(A28,'1819 Revised Bands'!$A$117:$R$134,6,(FALSE))</f>
        <v>0.11538461538461539</v>
      </c>
      <c r="H28" s="812">
        <f>VLOOKUP(A28,'1819 Revised Bands'!$A$117:$R$134,12,(FALSE))</f>
        <v>3.8461538461538464E-2</v>
      </c>
      <c r="I28" s="812">
        <f>VLOOKUP(A28,'1819 Revised Bands'!$A$117:$R$134,16,(FALSE))</f>
        <v>0.25</v>
      </c>
      <c r="J28" s="812">
        <f>VLOOKUP(A28,'1819 Revised Bands'!$A$117:$R$134,18,(FALSE))</f>
        <v>0.15384615384615385</v>
      </c>
      <c r="K28" s="233">
        <v>5</v>
      </c>
      <c r="L28" s="813">
        <f>((((K28*D28)*$G$92)+((K28*E28)*$G$94)+((K28*F28)*$G$96)+((K28*G28)*$G$98)+((K28*H28)*$G$100)+((K28*I28)*$G$102)+((K28*J28)*$G$104)))*(4/12)</f>
        <v>21202.338712662819</v>
      </c>
      <c r="M28" s="813">
        <f t="shared" ref="M28:M45" si="7">((K28*F28)*$G$106)*(4/12)</f>
        <v>422.27564102564099</v>
      </c>
      <c r="N28" s="813">
        <f>SUM(L28:M28)</f>
        <v>21624.614353688459</v>
      </c>
      <c r="O28" s="724">
        <f>(K28*(4/12))*10000</f>
        <v>16666.666666666664</v>
      </c>
      <c r="P28" s="724">
        <f>(VLOOKUP(A28,'1819 Funding Detail'!$A$4:$AN$23,40,FALSE)*4/12)*K28</f>
        <v>18402.374770355123</v>
      </c>
      <c r="Q28" s="80"/>
      <c r="R28" s="80"/>
      <c r="S28" s="80"/>
      <c r="T28" s="80"/>
      <c r="U28" s="42">
        <f>SUM(J28*K28*$G$104)*4/12</f>
        <v>5772.500193793443</v>
      </c>
      <c r="V28" s="626"/>
      <c r="W28" s="625"/>
    </row>
    <row r="29" spans="1:26" x14ac:dyDescent="0.25">
      <c r="A29" s="185">
        <v>9257005</v>
      </c>
      <c r="B29" s="38" t="s">
        <v>68</v>
      </c>
      <c r="C29" s="39">
        <v>4</v>
      </c>
      <c r="D29" s="812">
        <f>VLOOKUP(A29,'1819 Revised Bands'!$A$117:$R$134,10,(FALSE))</f>
        <v>9.3333333333333338E-2</v>
      </c>
      <c r="E29" s="812">
        <f>VLOOKUP(A29,'1819 Revised Bands'!$A$117:$R$134,8,(FALSE))</f>
        <v>0.22666666666666666</v>
      </c>
      <c r="F29" s="812">
        <f>VLOOKUP(A29,'1819 Revised Bands'!$A$117:$R$134,14,(FALSE))</f>
        <v>0.16</v>
      </c>
      <c r="G29" s="812">
        <f>VLOOKUP(A29,'1819 Revised Bands'!$A$117:$R$134,6,(FALSE))</f>
        <v>0.13333333333333333</v>
      </c>
      <c r="H29" s="812">
        <f>VLOOKUP(A29,'1819 Revised Bands'!$A$117:$R$134,12,(FALSE))</f>
        <v>9.3333333333333338E-2</v>
      </c>
      <c r="I29" s="812">
        <f>VLOOKUP(A29,'1819 Revised Bands'!$A$117:$R$134,16,(FALSE))</f>
        <v>0.2</v>
      </c>
      <c r="J29" s="812">
        <f>VLOOKUP(A29,'1819 Revised Bands'!$A$117:$R$134,18,(FALSE))</f>
        <v>9.3333333333333338E-2</v>
      </c>
      <c r="K29" s="233">
        <v>30</v>
      </c>
      <c r="L29" s="813">
        <f t="shared" ref="L29:L45" si="8">((((K29*D29)*$G$92)+((K29*E29)*$G$94)+((K29*F29)*$G$96)+((K29*G29)*$G$98)+((K29*H29)*$G$100)+((K29*I29)*$G$102)+((K29*J29)*$G$104)))*(4/12)</f>
        <v>121367.74407699321</v>
      </c>
      <c r="M29" s="813">
        <f t="shared" si="7"/>
        <v>4216</v>
      </c>
      <c r="N29" s="813">
        <f>SUM(L29:M29)</f>
        <v>125583.74407699321</v>
      </c>
      <c r="O29" s="724">
        <f>(K29*(4/12))*10000</f>
        <v>100000</v>
      </c>
      <c r="P29" s="724">
        <f>(VLOOKUP(A29,'1819 Funding Detail'!$A$4:$AN$23,40,FALSE)*4/12)*K29</f>
        <v>87262.637015489774</v>
      </c>
      <c r="Q29" s="80"/>
      <c r="R29" s="80"/>
      <c r="S29" s="80"/>
      <c r="T29" s="80"/>
      <c r="U29" s="42">
        <f t="shared" ref="U29:U45" si="9">SUM(J29*K29*$G$104)*4/12</f>
        <v>21011.900705408134</v>
      </c>
      <c r="V29" s="42"/>
    </row>
    <row r="30" spans="1:26" x14ac:dyDescent="0.25">
      <c r="A30" s="185">
        <v>9257025</v>
      </c>
      <c r="B30" s="38" t="s">
        <v>69</v>
      </c>
      <c r="C30" s="39">
        <v>4</v>
      </c>
      <c r="D30" s="812">
        <f>VLOOKUP(A30,'1819 Revised Bands'!$A$117:$R$134,10,(FALSE))</f>
        <v>0.17910447761194029</v>
      </c>
      <c r="E30" s="812">
        <f>VLOOKUP(A30,'1819 Revised Bands'!$A$117:$R$134,8,(FALSE))</f>
        <v>0.26865671641791045</v>
      </c>
      <c r="F30" s="812">
        <f>VLOOKUP(A30,'1819 Revised Bands'!$A$117:$R$134,14,(FALSE))</f>
        <v>0.14925373134328357</v>
      </c>
      <c r="G30" s="812">
        <f>VLOOKUP(A30,'1819 Revised Bands'!$A$117:$R$134,6,(FALSE))</f>
        <v>4.4776119402985072E-2</v>
      </c>
      <c r="H30" s="812">
        <f>VLOOKUP(A30,'1819 Revised Bands'!$A$117:$R$134,12,(FALSE))</f>
        <v>0.14925373134328357</v>
      </c>
      <c r="I30" s="812">
        <f>VLOOKUP(A30,'1819 Revised Bands'!$A$117:$R$134,16,(FALSE))</f>
        <v>0.11940298507462686</v>
      </c>
      <c r="J30" s="812">
        <f>VLOOKUP(A30,'1819 Revised Bands'!$A$117:$R$134,18,(FALSE))</f>
        <v>8.9552238805970144E-2</v>
      </c>
      <c r="K30" s="233">
        <v>16</v>
      </c>
      <c r="L30" s="813">
        <f t="shared" si="8"/>
        <v>58952.935234063902</v>
      </c>
      <c r="M30" s="813">
        <f t="shared" si="7"/>
        <v>2097.5124378109449</v>
      </c>
      <c r="N30" s="813">
        <f t="shared" ref="N30:N45" si="10">SUM(L30:M30)</f>
        <v>61050.447671874848</v>
      </c>
      <c r="O30" s="724">
        <f t="shared" ref="O30:O45" si="11">(K30*(4/12))*10000</f>
        <v>53333.333333333328</v>
      </c>
      <c r="P30" s="724">
        <f>(VLOOKUP(A30,'1819 Funding Detail'!$A$4:$AN$23,40,FALSE)*4/12)*K30</f>
        <v>44309.718872546546</v>
      </c>
      <c r="Q30" s="80"/>
      <c r="R30" s="80"/>
      <c r="S30" s="80"/>
      <c r="T30" s="80"/>
      <c r="U30" s="42">
        <f t="shared" si="9"/>
        <v>10752.358569931666</v>
      </c>
      <c r="V30" s="42"/>
    </row>
    <row r="31" spans="1:26" x14ac:dyDescent="0.25">
      <c r="A31" s="185">
        <v>9257011</v>
      </c>
      <c r="B31" s="38" t="s">
        <v>70</v>
      </c>
      <c r="C31" s="39">
        <v>4</v>
      </c>
      <c r="D31" s="812">
        <f>VLOOKUP(A31,'1819 Revised Bands'!$A$117:$R$134,10,(FALSE))</f>
        <v>0.1111111111111111</v>
      </c>
      <c r="E31" s="812">
        <f>VLOOKUP(A31,'1819 Revised Bands'!$A$117:$R$134,8,(FALSE))</f>
        <v>0.31481481481481483</v>
      </c>
      <c r="F31" s="812">
        <f>VLOOKUP(A31,'1819 Revised Bands'!$A$117:$R$134,14,(FALSE))</f>
        <v>5.5555555555555552E-2</v>
      </c>
      <c r="G31" s="812">
        <f>VLOOKUP(A31,'1819 Revised Bands'!$A$117:$R$134,6,(FALSE))</f>
        <v>0.12962962962962962</v>
      </c>
      <c r="H31" s="812">
        <f>VLOOKUP(A31,'1819 Revised Bands'!$A$117:$R$134,12,(FALSE))</f>
        <v>0.14814814814814814</v>
      </c>
      <c r="I31" s="812">
        <f>VLOOKUP(A31,'1819 Revised Bands'!$A$117:$R$134,16,(FALSE))</f>
        <v>0.12962962962962962</v>
      </c>
      <c r="J31" s="812">
        <f>VLOOKUP(A31,'1819 Revised Bands'!$A$117:$R$134,18,(FALSE))</f>
        <v>0.1111111111111111</v>
      </c>
      <c r="K31" s="233">
        <v>14</v>
      </c>
      <c r="L31" s="813">
        <f t="shared" si="8"/>
        <v>54756.352384594502</v>
      </c>
      <c r="M31" s="813">
        <f t="shared" si="7"/>
        <v>683.14814814814804</v>
      </c>
      <c r="N31" s="813">
        <f t="shared" si="10"/>
        <v>55439.500532742648</v>
      </c>
      <c r="O31" s="724">
        <f t="shared" si="11"/>
        <v>46666.666666666664</v>
      </c>
      <c r="P31" s="724">
        <f>(VLOOKUP(A31,'1819 Funding Detail'!$A$4:$AN$23,40,FALSE)*4/12)*K31</f>
        <v>43691.064925582519</v>
      </c>
      <c r="Q31" s="80"/>
      <c r="R31" s="80"/>
      <c r="S31" s="80"/>
      <c r="T31" s="80"/>
      <c r="U31" s="42">
        <f t="shared" si="9"/>
        <v>11673.278169671183</v>
      </c>
      <c r="V31" s="42"/>
    </row>
    <row r="32" spans="1:26" x14ac:dyDescent="0.25">
      <c r="A32" s="185">
        <v>9257024</v>
      </c>
      <c r="B32" s="38" t="s">
        <v>71</v>
      </c>
      <c r="C32" s="39">
        <v>3</v>
      </c>
      <c r="D32" s="812">
        <f>VLOOKUP(A32,'1819 Revised Bands'!$A$117:$R$134,10,(FALSE))</f>
        <v>0.11594202898550725</v>
      </c>
      <c r="E32" s="812">
        <f>VLOOKUP(A32,'1819 Revised Bands'!$A$117:$R$134,8,(FALSE))</f>
        <v>0.34782608695652173</v>
      </c>
      <c r="F32" s="812">
        <f>VLOOKUP(A32,'1819 Revised Bands'!$A$117:$R$134,14,(FALSE))</f>
        <v>5.7971014492753624E-2</v>
      </c>
      <c r="G32" s="812">
        <f>VLOOKUP(A32,'1819 Revised Bands'!$A$117:$R$134,6,(FALSE))</f>
        <v>8.6956521739130432E-2</v>
      </c>
      <c r="H32" s="812">
        <f>VLOOKUP(A32,'1819 Revised Bands'!$A$117:$R$134,12,(FALSE))</f>
        <v>0.15942028985507245</v>
      </c>
      <c r="I32" s="812">
        <f>VLOOKUP(A32,'1819 Revised Bands'!$A$117:$R$134,16,(FALSE))</f>
        <v>0.10144927536231885</v>
      </c>
      <c r="J32" s="812">
        <f>VLOOKUP(A32,'1819 Revised Bands'!$A$117:$R$134,18,(FALSE))</f>
        <v>0.13043478260869565</v>
      </c>
      <c r="K32" s="233">
        <v>11</v>
      </c>
      <c r="L32" s="813">
        <f t="shared" si="8"/>
        <v>42496.38921850342</v>
      </c>
      <c r="M32" s="813">
        <f t="shared" si="7"/>
        <v>560.09661835748796</v>
      </c>
      <c r="N32" s="813">
        <f t="shared" si="10"/>
        <v>43056.485836860906</v>
      </c>
      <c r="O32" s="724">
        <f t="shared" si="11"/>
        <v>36666.666666666664</v>
      </c>
      <c r="P32" s="724">
        <f>(VLOOKUP(A32,'1819 Funding Detail'!$A$4:$AN$23,40,FALSE)*4/12)*K32</f>
        <v>28831.6149385684</v>
      </c>
      <c r="Q32" s="80"/>
      <c r="R32" s="80"/>
      <c r="S32" s="80"/>
      <c r="T32" s="80"/>
      <c r="U32" s="42">
        <f t="shared" si="9"/>
        <v>10766.967752771247</v>
      </c>
      <c r="V32" s="42"/>
    </row>
    <row r="33" spans="1:22" x14ac:dyDescent="0.25">
      <c r="A33" s="185">
        <v>9257031</v>
      </c>
      <c r="B33" s="38" t="s">
        <v>98</v>
      </c>
      <c r="C33" s="39">
        <v>4</v>
      </c>
      <c r="D33" s="812">
        <f>VLOOKUP(A33,'1819 Revised Bands'!$A$117:$R$134,10,(FALSE))</f>
        <v>0</v>
      </c>
      <c r="E33" s="812">
        <f>VLOOKUP(A33,'1819 Revised Bands'!$A$117:$R$134,8,(FALSE))</f>
        <v>0</v>
      </c>
      <c r="F33" s="812">
        <f>VLOOKUP(A33,'1819 Revised Bands'!$A$117:$R$134,14,(FALSE))</f>
        <v>1</v>
      </c>
      <c r="G33" s="812">
        <f>VLOOKUP(A33,'1819 Revised Bands'!$A$117:$R$134,6,(FALSE))</f>
        <v>0</v>
      </c>
      <c r="H33" s="812">
        <f>VLOOKUP(A33,'1819 Revised Bands'!$A$117:$R$134,12,(FALSE))</f>
        <v>0</v>
      </c>
      <c r="I33" s="812">
        <f>VLOOKUP(A33,'1819 Revised Bands'!$A$117:$R$134,16,(FALSE))</f>
        <v>0</v>
      </c>
      <c r="J33" s="812">
        <f>VLOOKUP(A33,'1819 Revised Bands'!$A$117:$R$134,18,(FALSE))</f>
        <v>0</v>
      </c>
      <c r="K33" s="233">
        <v>0</v>
      </c>
      <c r="L33" s="813">
        <f t="shared" si="8"/>
        <v>0</v>
      </c>
      <c r="M33" s="813">
        <f t="shared" si="7"/>
        <v>0</v>
      </c>
      <c r="N33" s="813">
        <f t="shared" si="10"/>
        <v>0</v>
      </c>
      <c r="O33" s="724">
        <f t="shared" si="11"/>
        <v>0</v>
      </c>
      <c r="P33" s="724">
        <f>(VLOOKUP(A33,'1819 Funding Detail'!$A$4:$AN$23,40,FALSE)*4/12)*K33</f>
        <v>0</v>
      </c>
      <c r="Q33" s="80"/>
      <c r="R33" s="80"/>
      <c r="S33" s="80"/>
      <c r="T33" s="80"/>
      <c r="U33" s="42">
        <f t="shared" si="9"/>
        <v>0</v>
      </c>
      <c r="V33" s="42"/>
    </row>
    <row r="34" spans="1:22" x14ac:dyDescent="0.25">
      <c r="A34" s="185">
        <v>9257033</v>
      </c>
      <c r="B34" s="38" t="s">
        <v>72</v>
      </c>
      <c r="C34" s="39">
        <v>3</v>
      </c>
      <c r="D34" s="812">
        <f>VLOOKUP(A34,'1819 Revised Bands'!$A$117:$R$134,10,(FALSE))</f>
        <v>0.31395348837209303</v>
      </c>
      <c r="E34" s="812">
        <f>VLOOKUP(A34,'1819 Revised Bands'!$A$117:$R$134,8,(FALSE))</f>
        <v>0.19767441860465115</v>
      </c>
      <c r="F34" s="812">
        <f>VLOOKUP(A34,'1819 Revised Bands'!$A$117:$R$134,14,(FALSE))</f>
        <v>0.22093023255813954</v>
      </c>
      <c r="G34" s="812">
        <f>VLOOKUP(A34,'1819 Revised Bands'!$A$117:$R$134,6,(FALSE))</f>
        <v>6.9767441860465115E-2</v>
      </c>
      <c r="H34" s="812">
        <f>VLOOKUP(A34,'1819 Revised Bands'!$A$117:$R$134,12,(FALSE))</f>
        <v>0.10465116279069768</v>
      </c>
      <c r="I34" s="812">
        <f>VLOOKUP(A34,'1819 Revised Bands'!$A$117:$R$134,16,(FALSE))</f>
        <v>9.3023255813953487E-2</v>
      </c>
      <c r="J34" s="812">
        <f>VLOOKUP(A34,'1819 Revised Bands'!$A$117:$R$134,18,(FALSE))</f>
        <v>0</v>
      </c>
      <c r="K34" s="233">
        <v>0</v>
      </c>
      <c r="L34" s="813">
        <f t="shared" si="8"/>
        <v>0</v>
      </c>
      <c r="M34" s="813">
        <f t="shared" si="7"/>
        <v>0</v>
      </c>
      <c r="N34" s="813">
        <f t="shared" si="10"/>
        <v>0</v>
      </c>
      <c r="O34" s="724">
        <f t="shared" si="11"/>
        <v>0</v>
      </c>
      <c r="P34" s="724">
        <f>(VLOOKUP(A34,'1819 Funding Detail'!$A$4:$AN$23,40,FALSE)*4/12)*K34</f>
        <v>0</v>
      </c>
      <c r="Q34" s="80"/>
      <c r="R34" s="80"/>
      <c r="S34" s="80"/>
      <c r="T34" s="80"/>
      <c r="U34" s="42">
        <f t="shared" si="9"/>
        <v>0</v>
      </c>
      <c r="V34" s="42"/>
    </row>
    <row r="35" spans="1:22" x14ac:dyDescent="0.25">
      <c r="A35" s="185">
        <v>9257008</v>
      </c>
      <c r="B35" s="38" t="s">
        <v>73</v>
      </c>
      <c r="C35" s="39">
        <v>4</v>
      </c>
      <c r="D35" s="812">
        <f>VLOOKUP(A35,'1819 Revised Bands'!$A$117:$R$134,10,(FALSE))</f>
        <v>4.3956043956043959E-2</v>
      </c>
      <c r="E35" s="812">
        <f>VLOOKUP(A35,'1819 Revised Bands'!$A$117:$R$134,8,(FALSE))</f>
        <v>0.61538461538461542</v>
      </c>
      <c r="F35" s="812">
        <f>VLOOKUP(A35,'1819 Revised Bands'!$A$117:$R$134,14,(FALSE))</f>
        <v>0.15384615384615385</v>
      </c>
      <c r="G35" s="812">
        <f>VLOOKUP(A35,'1819 Revised Bands'!$A$117:$R$134,6,(FALSE))</f>
        <v>2.197802197802198E-2</v>
      </c>
      <c r="H35" s="812">
        <f>VLOOKUP(A35,'1819 Revised Bands'!$A$117:$R$134,12,(FALSE))</f>
        <v>2.197802197802198E-2</v>
      </c>
      <c r="I35" s="812">
        <f>VLOOKUP(A35,'1819 Revised Bands'!$A$117:$R$134,16,(FALSE))</f>
        <v>0.14285714285714285</v>
      </c>
      <c r="J35" s="812">
        <f>VLOOKUP(A35,'1819 Revised Bands'!$A$117:$R$134,18,(FALSE))</f>
        <v>0</v>
      </c>
      <c r="K35" s="233">
        <v>0</v>
      </c>
      <c r="L35" s="813">
        <f t="shared" si="8"/>
        <v>0</v>
      </c>
      <c r="M35" s="813">
        <f t="shared" si="7"/>
        <v>0</v>
      </c>
      <c r="N35" s="813">
        <f t="shared" si="10"/>
        <v>0</v>
      </c>
      <c r="O35" s="724">
        <f t="shared" si="11"/>
        <v>0</v>
      </c>
      <c r="P35" s="724">
        <f>(VLOOKUP(A35,'1819 Funding Detail'!$A$4:$AN$23,40,FALSE)*4/12)*K35</f>
        <v>0</v>
      </c>
      <c r="Q35" s="80"/>
      <c r="R35" s="80"/>
      <c r="S35" s="80"/>
      <c r="T35" s="80"/>
      <c r="U35" s="42">
        <f t="shared" si="9"/>
        <v>0</v>
      </c>
      <c r="V35" s="42"/>
    </row>
    <row r="36" spans="1:22" x14ac:dyDescent="0.25">
      <c r="A36" s="185">
        <v>9257034</v>
      </c>
      <c r="B36" s="38" t="s">
        <v>74</v>
      </c>
      <c r="C36" s="39">
        <v>5</v>
      </c>
      <c r="D36" s="812">
        <f>VLOOKUP(A36,'1819 Revised Bands'!$A$117:$R$134,10,(FALSE))</f>
        <v>0.42105263157894735</v>
      </c>
      <c r="E36" s="812">
        <f>VLOOKUP(A36,'1819 Revised Bands'!$A$117:$R$134,8,(FALSE))</f>
        <v>0.16666666666666666</v>
      </c>
      <c r="F36" s="812">
        <f>VLOOKUP(A36,'1819 Revised Bands'!$A$117:$R$134,14,(FALSE))</f>
        <v>0.26315789473684209</v>
      </c>
      <c r="G36" s="812">
        <f>VLOOKUP(A36,'1819 Revised Bands'!$A$117:$R$134,6,(FALSE))</f>
        <v>4.3859649122807015E-2</v>
      </c>
      <c r="H36" s="812">
        <f>VLOOKUP(A36,'1819 Revised Bands'!$A$117:$R$134,12,(FALSE))</f>
        <v>3.5087719298245612E-2</v>
      </c>
      <c r="I36" s="812">
        <f>VLOOKUP(A36,'1819 Revised Bands'!$A$117:$R$134,16,(FALSE))</f>
        <v>4.3859649122807015E-2</v>
      </c>
      <c r="J36" s="812">
        <f>VLOOKUP(A36,'1819 Revised Bands'!$A$117:$R$134,18,(FALSE))</f>
        <v>2.6315789473684209E-2</v>
      </c>
      <c r="K36" s="233">
        <v>35</v>
      </c>
      <c r="L36" s="813">
        <f t="shared" si="8"/>
        <v>103483.39118651157</v>
      </c>
      <c r="M36" s="813">
        <f t="shared" si="7"/>
        <v>8089.9122807017529</v>
      </c>
      <c r="N36" s="813">
        <f t="shared" si="10"/>
        <v>111573.30346721332</v>
      </c>
      <c r="O36" s="724">
        <f t="shared" si="11"/>
        <v>116666.66666666666</v>
      </c>
      <c r="P36" s="724">
        <f>(VLOOKUP(A36,'1819 Funding Detail'!$A$4:$AN$23,40,FALSE)*4/12)*K36</f>
        <v>45625.574300546614</v>
      </c>
      <c r="Q36" s="80"/>
      <c r="R36" s="80"/>
      <c r="S36" s="80"/>
      <c r="T36" s="80"/>
      <c r="U36" s="42">
        <f t="shared" si="9"/>
        <v>6911.809442568464</v>
      </c>
      <c r="V36" s="42"/>
    </row>
    <row r="37" spans="1:22" x14ac:dyDescent="0.25">
      <c r="A37" s="185">
        <v>9257002</v>
      </c>
      <c r="B37" s="38" t="s">
        <v>75</v>
      </c>
      <c r="C37" s="39">
        <v>5</v>
      </c>
      <c r="D37" s="812">
        <f>VLOOKUP(A37,'1819 Revised Bands'!$A$117:$R$134,10,(FALSE))</f>
        <v>0.53237410071942448</v>
      </c>
      <c r="E37" s="812">
        <f>VLOOKUP(A37,'1819 Revised Bands'!$A$117:$R$134,8,(FALSE))</f>
        <v>0.12949640287769784</v>
      </c>
      <c r="F37" s="812">
        <f>VLOOKUP(A37,'1819 Revised Bands'!$A$117:$R$134,14,(FALSE))</f>
        <v>0.18705035971223022</v>
      </c>
      <c r="G37" s="812">
        <f>VLOOKUP(A37,'1819 Revised Bands'!$A$117:$R$134,6,(FALSE))</f>
        <v>7.1942446043165471E-3</v>
      </c>
      <c r="H37" s="812">
        <f>VLOOKUP(A37,'1819 Revised Bands'!$A$117:$R$134,12,(FALSE))</f>
        <v>6.4748201438848921E-2</v>
      </c>
      <c r="I37" s="812">
        <f>VLOOKUP(A37,'1819 Revised Bands'!$A$117:$R$134,16,(FALSE))</f>
        <v>7.1942446043165464E-2</v>
      </c>
      <c r="J37" s="812">
        <f>VLOOKUP(A37,'1819 Revised Bands'!$A$117:$R$134,18,(FALSE))</f>
        <v>7.1942446043165471E-3</v>
      </c>
      <c r="K37" s="233">
        <v>0</v>
      </c>
      <c r="L37" s="813">
        <f t="shared" si="8"/>
        <v>0</v>
      </c>
      <c r="M37" s="813">
        <f t="shared" si="7"/>
        <v>0</v>
      </c>
      <c r="N37" s="813">
        <f t="shared" si="10"/>
        <v>0</v>
      </c>
      <c r="O37" s="724">
        <f t="shared" si="11"/>
        <v>0</v>
      </c>
      <c r="P37" s="724">
        <f>(VLOOKUP(A37,'1819 Funding Detail'!$A$4:$AN$23,40,FALSE)*4/12)*K37</f>
        <v>0</v>
      </c>
      <c r="Q37" s="80"/>
      <c r="R37" s="80"/>
      <c r="S37" s="80"/>
      <c r="T37" s="80"/>
      <c r="U37" s="42">
        <f t="shared" si="9"/>
        <v>0</v>
      </c>
      <c r="V37" s="42"/>
    </row>
    <row r="38" spans="1:22" x14ac:dyDescent="0.25">
      <c r="A38" s="185">
        <v>9257009</v>
      </c>
      <c r="B38" s="38" t="s">
        <v>76</v>
      </c>
      <c r="C38" s="39">
        <v>4</v>
      </c>
      <c r="D38" s="812">
        <f>VLOOKUP(A38,'1819 Revised Bands'!$A$117:$R$134,10,(FALSE))</f>
        <v>0.1484375</v>
      </c>
      <c r="E38" s="812">
        <f>VLOOKUP(A38,'1819 Revised Bands'!$A$117:$R$134,8,(FALSE))</f>
        <v>0.46875</v>
      </c>
      <c r="F38" s="812">
        <f>VLOOKUP(A38,'1819 Revised Bands'!$A$117:$R$134,14,(FALSE))</f>
        <v>0.125</v>
      </c>
      <c r="G38" s="812">
        <f>VLOOKUP(A38,'1819 Revised Bands'!$A$117:$R$134,6,(FALSE))</f>
        <v>0</v>
      </c>
      <c r="H38" s="812">
        <f>VLOOKUP(A38,'1819 Revised Bands'!$A$117:$R$134,12,(FALSE))</f>
        <v>3.125E-2</v>
      </c>
      <c r="I38" s="812">
        <f>VLOOKUP(A38,'1819 Revised Bands'!$A$117:$R$134,16,(FALSE))</f>
        <v>0.2265625</v>
      </c>
      <c r="J38" s="812">
        <f>VLOOKUP(A38,'1819 Revised Bands'!$A$117:$R$134,18,(FALSE))</f>
        <v>0</v>
      </c>
      <c r="K38" s="233">
        <v>0</v>
      </c>
      <c r="L38" s="813">
        <f t="shared" si="8"/>
        <v>0</v>
      </c>
      <c r="M38" s="813">
        <f t="shared" si="7"/>
        <v>0</v>
      </c>
      <c r="N38" s="813">
        <f t="shared" si="10"/>
        <v>0</v>
      </c>
      <c r="O38" s="724">
        <f t="shared" si="11"/>
        <v>0</v>
      </c>
      <c r="P38" s="724">
        <f>(VLOOKUP(A38,'1819 Funding Detail'!$A$4:$AN$23,40,FALSE)*4/12)*K38</f>
        <v>0</v>
      </c>
      <c r="Q38" s="80"/>
      <c r="R38" s="80"/>
      <c r="S38" s="80"/>
      <c r="T38" s="80"/>
      <c r="U38" s="42">
        <f t="shared" si="9"/>
        <v>0</v>
      </c>
      <c r="V38" s="42"/>
    </row>
    <row r="39" spans="1:22" x14ac:dyDescent="0.25">
      <c r="A39" s="185">
        <v>9257029</v>
      </c>
      <c r="B39" s="38" t="s">
        <v>99</v>
      </c>
      <c r="C39" s="39">
        <v>3</v>
      </c>
      <c r="D39" s="812">
        <f>VLOOKUP(A39,'1819 Revised Bands'!$A$117:$R$134,10,(FALSE))</f>
        <v>0</v>
      </c>
      <c r="E39" s="812">
        <f>VLOOKUP(A39,'1819 Revised Bands'!$A$117:$R$134,8,(FALSE))</f>
        <v>0</v>
      </c>
      <c r="F39" s="812">
        <f>VLOOKUP(A39,'1819 Revised Bands'!$A$117:$R$134,14,(FALSE))</f>
        <v>1</v>
      </c>
      <c r="G39" s="812">
        <f>VLOOKUP(A39,'1819 Revised Bands'!$A$117:$R$134,6,(FALSE))</f>
        <v>0</v>
      </c>
      <c r="H39" s="812">
        <f>VLOOKUP(A39,'1819 Revised Bands'!$A$117:$R$134,12,(FALSE))</f>
        <v>0</v>
      </c>
      <c r="I39" s="812">
        <f>VLOOKUP(A39,'1819 Revised Bands'!$A$117:$R$134,16,(FALSE))</f>
        <v>0</v>
      </c>
      <c r="J39" s="812">
        <f>VLOOKUP(A39,'1819 Revised Bands'!$A$117:$R$134,18,(FALSE))</f>
        <v>0</v>
      </c>
      <c r="K39" s="233">
        <v>0</v>
      </c>
      <c r="L39" s="813">
        <f t="shared" si="8"/>
        <v>0</v>
      </c>
      <c r="M39" s="813">
        <f t="shared" si="7"/>
        <v>0</v>
      </c>
      <c r="N39" s="813">
        <f t="shared" si="10"/>
        <v>0</v>
      </c>
      <c r="O39" s="724">
        <f t="shared" si="11"/>
        <v>0</v>
      </c>
      <c r="P39" s="724">
        <f>(VLOOKUP(A39,'1819 Funding Detail'!$A$4:$AN$23,40,FALSE)*4/12)*K39</f>
        <v>0</v>
      </c>
      <c r="Q39" s="80"/>
      <c r="R39" s="80"/>
      <c r="S39" s="80"/>
      <c r="T39" s="80"/>
      <c r="U39" s="42">
        <f t="shared" si="9"/>
        <v>0</v>
      </c>
      <c r="V39" s="42"/>
    </row>
    <row r="40" spans="1:22" x14ac:dyDescent="0.25">
      <c r="A40" s="185">
        <v>9257032</v>
      </c>
      <c r="B40" s="38" t="s">
        <v>100</v>
      </c>
      <c r="C40" s="39">
        <v>4</v>
      </c>
      <c r="D40" s="812">
        <f>VLOOKUP(A40,'1819 Revised Bands'!$A$117:$R$134,10,(FALSE))</f>
        <v>0</v>
      </c>
      <c r="E40" s="812">
        <f>VLOOKUP(A40,'1819 Revised Bands'!$A$117:$R$134,8,(FALSE))</f>
        <v>0</v>
      </c>
      <c r="F40" s="812">
        <f>VLOOKUP(A40,'1819 Revised Bands'!$A$117:$R$134,14,(FALSE))</f>
        <v>1</v>
      </c>
      <c r="G40" s="812">
        <f>VLOOKUP(A40,'1819 Revised Bands'!$A$117:$R$134,6,(FALSE))</f>
        <v>0</v>
      </c>
      <c r="H40" s="812">
        <f>VLOOKUP(A40,'1819 Revised Bands'!$A$117:$R$134,12,(FALSE))</f>
        <v>0</v>
      </c>
      <c r="I40" s="812">
        <f>VLOOKUP(A40,'1819 Revised Bands'!$A$117:$R$134,16,(FALSE))</f>
        <v>0</v>
      </c>
      <c r="J40" s="812">
        <f>VLOOKUP(A40,'1819 Revised Bands'!$A$117:$R$134,18,(FALSE))</f>
        <v>0</v>
      </c>
      <c r="K40" s="233">
        <v>0</v>
      </c>
      <c r="L40" s="813">
        <f t="shared" si="8"/>
        <v>0</v>
      </c>
      <c r="M40" s="813">
        <f t="shared" si="7"/>
        <v>0</v>
      </c>
      <c r="N40" s="813">
        <f t="shared" si="10"/>
        <v>0</v>
      </c>
      <c r="O40" s="724">
        <f t="shared" si="11"/>
        <v>0</v>
      </c>
      <c r="P40" s="724">
        <f>(VLOOKUP(A40,'1819 Funding Detail'!$A$4:$AN$23,40,FALSE)*4/12)*K40</f>
        <v>0</v>
      </c>
      <c r="Q40" s="80"/>
      <c r="R40" s="80"/>
      <c r="S40" s="80"/>
      <c r="T40" s="80"/>
      <c r="U40" s="42">
        <f t="shared" si="9"/>
        <v>0</v>
      </c>
      <c r="V40" s="42"/>
    </row>
    <row r="41" spans="1:22" x14ac:dyDescent="0.25">
      <c r="A41" s="185">
        <v>9257030</v>
      </c>
      <c r="B41" s="38" t="s">
        <v>92</v>
      </c>
      <c r="C41" s="39">
        <v>4</v>
      </c>
      <c r="D41" s="812">
        <f>VLOOKUP(A41,'1819 Revised Bands'!$A$117:$R$134,10,(FALSE))</f>
        <v>0</v>
      </c>
      <c r="E41" s="812">
        <f>VLOOKUP(A41,'1819 Revised Bands'!$A$117:$R$134,8,(FALSE))</f>
        <v>0</v>
      </c>
      <c r="F41" s="812">
        <f>VLOOKUP(A41,'1819 Revised Bands'!$A$117:$R$134,14,(FALSE))</f>
        <v>1</v>
      </c>
      <c r="G41" s="812">
        <f>VLOOKUP(A41,'1819 Revised Bands'!$A$117:$R$134,6,(FALSE))</f>
        <v>0</v>
      </c>
      <c r="H41" s="812">
        <f>VLOOKUP(A41,'1819 Revised Bands'!$A$117:$R$134,12,(FALSE))</f>
        <v>0</v>
      </c>
      <c r="I41" s="812">
        <f>VLOOKUP(A41,'1819 Revised Bands'!$A$117:$R$134,16,(FALSE))</f>
        <v>0</v>
      </c>
      <c r="J41" s="812">
        <f>VLOOKUP(A41,'1819 Revised Bands'!$A$117:$R$134,18,(FALSE))</f>
        <v>0</v>
      </c>
      <c r="K41" s="233">
        <v>0</v>
      </c>
      <c r="L41" s="813">
        <f t="shared" si="8"/>
        <v>0</v>
      </c>
      <c r="M41" s="813">
        <f t="shared" si="7"/>
        <v>0</v>
      </c>
      <c r="N41" s="813">
        <f t="shared" si="10"/>
        <v>0</v>
      </c>
      <c r="O41" s="724">
        <f t="shared" si="11"/>
        <v>0</v>
      </c>
      <c r="P41" s="724">
        <f>(VLOOKUP(A41,'1819 Funding Detail'!$A$4:$AN$23,40,FALSE)*4/12)*K41</f>
        <v>0</v>
      </c>
      <c r="Q41" s="80"/>
      <c r="R41" s="80"/>
      <c r="S41" s="80"/>
      <c r="T41" s="80"/>
      <c r="U41" s="42">
        <f t="shared" si="9"/>
        <v>0</v>
      </c>
      <c r="V41" s="42"/>
    </row>
    <row r="42" spans="1:22" x14ac:dyDescent="0.25">
      <c r="A42" s="185">
        <v>9257028</v>
      </c>
      <c r="B42" s="38" t="s">
        <v>77</v>
      </c>
      <c r="C42" s="39">
        <v>5</v>
      </c>
      <c r="D42" s="812">
        <f>VLOOKUP(A42,'1819 Revised Bands'!$A$117:$R$134,10,(FALSE))</f>
        <v>6.3291139240506333E-2</v>
      </c>
      <c r="E42" s="812">
        <f>VLOOKUP(A42,'1819 Revised Bands'!$A$117:$R$134,8,(FALSE))</f>
        <v>0.29113924050632911</v>
      </c>
      <c r="F42" s="812">
        <f>VLOOKUP(A42,'1819 Revised Bands'!$A$117:$R$134,14,(FALSE))</f>
        <v>3.7974683544303799E-2</v>
      </c>
      <c r="G42" s="812">
        <f>VLOOKUP(A42,'1819 Revised Bands'!$A$117:$R$134,6,(FALSE))</f>
        <v>0.10126582278481013</v>
      </c>
      <c r="H42" s="812">
        <f>VLOOKUP(A42,'1819 Revised Bands'!$A$117:$R$134,12,(FALSE))</f>
        <v>0.189873417721519</v>
      </c>
      <c r="I42" s="812">
        <f>VLOOKUP(A42,'1819 Revised Bands'!$A$117:$R$134,16,(FALSE))</f>
        <v>0.12658227848101267</v>
      </c>
      <c r="J42" s="812">
        <f>VLOOKUP(A42,'1819 Revised Bands'!$A$117:$R$134,18,(FALSE))</f>
        <v>0.189873417721519</v>
      </c>
      <c r="K42" s="233">
        <v>18</v>
      </c>
      <c r="L42" s="813">
        <f t="shared" si="8"/>
        <v>78085.248652692593</v>
      </c>
      <c r="M42" s="813">
        <f t="shared" si="7"/>
        <v>600.37974683544303</v>
      </c>
      <c r="N42" s="813">
        <f t="shared" si="10"/>
        <v>78685.628399528039</v>
      </c>
      <c r="O42" s="724">
        <f t="shared" si="11"/>
        <v>60000</v>
      </c>
      <c r="P42" s="724">
        <f>(VLOOKUP(A42,'1819 Funding Detail'!$A$4:$AN$23,40,FALSE)*4/12)*K42</f>
        <v>55036.198746531176</v>
      </c>
      <c r="Q42" s="80"/>
      <c r="R42" s="80"/>
      <c r="S42" s="80"/>
      <c r="T42" s="80"/>
      <c r="U42" s="42">
        <f t="shared" si="9"/>
        <v>25647.437569892387</v>
      </c>
      <c r="V42" s="42"/>
    </row>
    <row r="43" spans="1:22" x14ac:dyDescent="0.25">
      <c r="A43" s="185">
        <v>9257021</v>
      </c>
      <c r="B43" s="38" t="s">
        <v>78</v>
      </c>
      <c r="C43" s="39">
        <v>5</v>
      </c>
      <c r="D43" s="812">
        <f>VLOOKUP(A43,'1819 Revised Bands'!$A$117:$R$134,10,(FALSE))</f>
        <v>0.29677419354838708</v>
      </c>
      <c r="E43" s="812">
        <f>VLOOKUP(A43,'1819 Revised Bands'!$A$117:$R$134,8,(FALSE))</f>
        <v>0.29677419354838708</v>
      </c>
      <c r="F43" s="812">
        <f>VLOOKUP(A43,'1819 Revised Bands'!$A$117:$R$134,14,(FALSE))</f>
        <v>0.12258064516129032</v>
      </c>
      <c r="G43" s="812">
        <f>VLOOKUP(A43,'1819 Revised Bands'!$A$117:$R$134,6,(FALSE))</f>
        <v>3.870967741935484E-2</v>
      </c>
      <c r="H43" s="812">
        <f>VLOOKUP(A43,'1819 Revised Bands'!$A$117:$R$134,12,(FALSE))</f>
        <v>9.0322580645161285E-2</v>
      </c>
      <c r="I43" s="812">
        <f>VLOOKUP(A43,'1819 Revised Bands'!$A$117:$R$134,16,(FALSE))</f>
        <v>0.14193548387096774</v>
      </c>
      <c r="J43" s="812">
        <f>VLOOKUP(A43,'1819 Revised Bands'!$A$117:$R$134,18,(FALSE))</f>
        <v>1.2903225806451613E-2</v>
      </c>
      <c r="K43" s="233">
        <v>2</v>
      </c>
      <c r="L43" s="813">
        <f t="shared" si="8"/>
        <v>6213.4592340708014</v>
      </c>
      <c r="M43" s="813">
        <f t="shared" si="7"/>
        <v>215.33333333333331</v>
      </c>
      <c r="N43" s="813">
        <f t="shared" si="10"/>
        <v>6428.7925674041344</v>
      </c>
      <c r="O43" s="724">
        <f t="shared" si="11"/>
        <v>6666.6666666666661</v>
      </c>
      <c r="P43" s="724">
        <f>(VLOOKUP(A43,'1819 Funding Detail'!$A$4:$AN$23,40,FALSE)*4/12)*K43</f>
        <v>2132.7181919580257</v>
      </c>
      <c r="Q43" s="80"/>
      <c r="R43" s="80"/>
      <c r="S43" s="80"/>
      <c r="T43" s="80"/>
      <c r="U43" s="42">
        <f t="shared" si="9"/>
        <v>193.65807101758648</v>
      </c>
      <c r="V43" s="42"/>
    </row>
    <row r="44" spans="1:22" x14ac:dyDescent="0.25">
      <c r="A44" s="185">
        <v>9257015</v>
      </c>
      <c r="B44" s="38" t="s">
        <v>55</v>
      </c>
      <c r="C44" s="39">
        <v>6</v>
      </c>
      <c r="D44" s="812">
        <f>VLOOKUP(A44,'1819 Revised Bands'!$A$117:$R$134,10,(FALSE))</f>
        <v>0.49808429118773945</v>
      </c>
      <c r="E44" s="812">
        <f>VLOOKUP(A44,'1819 Revised Bands'!$A$117:$R$134,8,(FALSE))</f>
        <v>0.19923371647509577</v>
      </c>
      <c r="F44" s="812">
        <f>VLOOKUP(A44,'1819 Revised Bands'!$A$117:$R$134,14,(FALSE))</f>
        <v>4.2145593869731802E-2</v>
      </c>
      <c r="G44" s="812">
        <f>VLOOKUP(A44,'1819 Revised Bands'!$A$117:$R$134,6,(FALSE))</f>
        <v>3.8314176245210725E-2</v>
      </c>
      <c r="H44" s="812">
        <f>VLOOKUP(A44,'1819 Revised Bands'!$A$117:$R$134,12,(FALSE))</f>
        <v>6.5134099616858232E-2</v>
      </c>
      <c r="I44" s="812">
        <f>VLOOKUP(A44,'1819 Revised Bands'!$A$117:$R$134,16,(FALSE))</f>
        <v>0.13793103448275862</v>
      </c>
      <c r="J44" s="812">
        <f>VLOOKUP(A44,'1819 Revised Bands'!$A$117:$R$134,18,(FALSE))</f>
        <v>1.9157088122605363E-2</v>
      </c>
      <c r="K44" s="233">
        <v>28</v>
      </c>
      <c r="L44" s="813">
        <f t="shared" si="8"/>
        <v>80516.264098971486</v>
      </c>
      <c r="M44" s="813">
        <f t="shared" si="7"/>
        <v>1036.500638569604</v>
      </c>
      <c r="N44" s="813">
        <f t="shared" si="10"/>
        <v>81552.764737541089</v>
      </c>
      <c r="O44" s="724">
        <f t="shared" si="11"/>
        <v>93333.333333333328</v>
      </c>
      <c r="P44" s="724">
        <f>(VLOOKUP(A44,'1819 Funding Detail'!$A$4:$AN$23,40,FALSE)*4/12)*K44</f>
        <v>11113.369021342956</v>
      </c>
      <c r="Q44" s="80"/>
      <c r="R44" s="80"/>
      <c r="S44" s="80"/>
      <c r="T44" s="80"/>
      <c r="U44" s="42">
        <f t="shared" si="9"/>
        <v>4025.2683343693734</v>
      </c>
      <c r="V44" s="42"/>
    </row>
    <row r="45" spans="1:22" x14ac:dyDescent="0.25">
      <c r="A45" s="185">
        <v>9257016</v>
      </c>
      <c r="B45" s="38" t="s">
        <v>80</v>
      </c>
      <c r="C45" s="39">
        <v>6</v>
      </c>
      <c r="D45" s="812">
        <f>VLOOKUP(A45,'1819 Revised Bands'!$A$117:$R$134,10,(FALSE))</f>
        <v>0.25170068027210885</v>
      </c>
      <c r="E45" s="812">
        <f>VLOOKUP(A45,'1819 Revised Bands'!$A$117:$R$134,8,(FALSE))</f>
        <v>6.8027210884353748E-2</v>
      </c>
      <c r="F45" s="812">
        <f>VLOOKUP(A45,'1819 Revised Bands'!$A$117:$R$134,14,(FALSE))</f>
        <v>0</v>
      </c>
      <c r="G45" s="812">
        <f>VLOOKUP(A45,'1819 Revised Bands'!$A$117:$R$134,6,(FALSE))</f>
        <v>0.16326530612244897</v>
      </c>
      <c r="H45" s="812">
        <f>VLOOKUP(A45,'1819 Revised Bands'!$A$117:$R$134,12,(FALSE))</f>
        <v>0.25170068027210885</v>
      </c>
      <c r="I45" s="812">
        <f>VLOOKUP(A45,'1819 Revised Bands'!$A$117:$R$134,16,(FALSE))</f>
        <v>6.8027210884353739E-3</v>
      </c>
      <c r="J45" s="812">
        <f>VLOOKUP(A45,'1819 Revised Bands'!$A$117:$R$134,18,(FALSE))</f>
        <v>0.25850340136054423</v>
      </c>
      <c r="K45" s="233">
        <v>57</v>
      </c>
      <c r="L45" s="813">
        <f t="shared" si="8"/>
        <v>259191.64802977513</v>
      </c>
      <c r="M45" s="813">
        <f t="shared" si="7"/>
        <v>0</v>
      </c>
      <c r="N45" s="813">
        <f t="shared" si="10"/>
        <v>259191.64802977513</v>
      </c>
      <c r="O45" s="724">
        <f t="shared" si="11"/>
        <v>190000</v>
      </c>
      <c r="P45" s="724">
        <f>(VLOOKUP(A45,'1819 Funding Detail'!$A$4:$AN$23,40,FALSE)*4/12)*K45</f>
        <v>145346.12802977517</v>
      </c>
      <c r="Q45" s="628" t="s">
        <v>402</v>
      </c>
      <c r="R45" s="80"/>
      <c r="S45" s="80"/>
      <c r="T45" s="80"/>
      <c r="U45" s="42">
        <f t="shared" si="9"/>
        <v>110572.8302427454</v>
      </c>
      <c r="V45" s="42"/>
    </row>
    <row r="46" spans="1:22" x14ac:dyDescent="0.25">
      <c r="A46" s="75"/>
      <c r="B46" s="50"/>
      <c r="C46" s="61"/>
      <c r="D46" s="49"/>
      <c r="E46" s="49"/>
      <c r="F46" s="628" t="s">
        <v>402</v>
      </c>
      <c r="G46" s="49"/>
      <c r="H46" s="49"/>
      <c r="I46" s="49"/>
      <c r="J46" s="628" t="s">
        <v>402</v>
      </c>
      <c r="L46" s="168"/>
      <c r="M46" s="168"/>
      <c r="N46" s="628" t="s">
        <v>402</v>
      </c>
      <c r="O46" s="80"/>
      <c r="P46" s="80"/>
      <c r="Q46" s="80"/>
      <c r="R46" s="233"/>
      <c r="S46" s="233"/>
      <c r="T46" s="40"/>
    </row>
    <row r="47" spans="1:22" ht="13" x14ac:dyDescent="0.3">
      <c r="A47" s="230" t="s">
        <v>285</v>
      </c>
      <c r="B47" s="50"/>
      <c r="C47" s="50"/>
      <c r="I47" s="34"/>
      <c r="J47" s="34"/>
      <c r="K47" s="760"/>
      <c r="L47" s="760"/>
    </row>
    <row r="48" spans="1:22" x14ac:dyDescent="0.25">
      <c r="B48" s="50"/>
      <c r="C48" s="50"/>
      <c r="I48" s="34"/>
      <c r="J48" s="34"/>
      <c r="K48" s="231" t="s">
        <v>693</v>
      </c>
      <c r="L48" s="760"/>
      <c r="R48" s="1893" t="s">
        <v>332</v>
      </c>
      <c r="S48" s="1894"/>
    </row>
    <row r="49" spans="1:23" ht="39.75" customHeight="1" x14ac:dyDescent="0.25">
      <c r="A49" s="183" t="s">
        <v>201</v>
      </c>
      <c r="B49" s="36" t="s">
        <v>66</v>
      </c>
      <c r="C49" s="39" t="s">
        <v>51</v>
      </c>
      <c r="D49" s="870" t="s">
        <v>789</v>
      </c>
      <c r="E49" s="870" t="s">
        <v>790</v>
      </c>
      <c r="F49" s="870" t="s">
        <v>793</v>
      </c>
      <c r="G49" s="870" t="s">
        <v>791</v>
      </c>
      <c r="H49" s="870" t="s">
        <v>794</v>
      </c>
      <c r="I49" s="870" t="s">
        <v>795</v>
      </c>
      <c r="J49" s="870" t="s">
        <v>792</v>
      </c>
      <c r="K49" s="764" t="s">
        <v>252</v>
      </c>
      <c r="L49" s="764" t="s">
        <v>253</v>
      </c>
      <c r="M49" s="764" t="s">
        <v>251</v>
      </c>
      <c r="N49" s="764" t="s">
        <v>389</v>
      </c>
      <c r="O49" s="764" t="s">
        <v>390</v>
      </c>
      <c r="P49" s="764" t="s">
        <v>391</v>
      </c>
      <c r="Q49" s="764" t="s">
        <v>287</v>
      </c>
      <c r="R49" s="93" t="s">
        <v>329</v>
      </c>
      <c r="S49" s="694" t="s">
        <v>340</v>
      </c>
    </row>
    <row r="50" spans="1:23" x14ac:dyDescent="0.25">
      <c r="A50" s="131">
        <v>9257010</v>
      </c>
      <c r="B50" s="38" t="s">
        <v>67</v>
      </c>
      <c r="C50" s="39">
        <v>4</v>
      </c>
      <c r="D50" s="812">
        <f>VLOOKUP(A50,'1819 Revised Bands'!$A$117:$R$134,10,(FALSE))</f>
        <v>5.7692307692307696E-2</v>
      </c>
      <c r="E50" s="812">
        <f>VLOOKUP(A50,'1819 Revised Bands'!$A$117:$R$134,8,(FALSE))</f>
        <v>0.28846153846153844</v>
      </c>
      <c r="F50" s="812">
        <f>VLOOKUP(A50,'1819 Revised Bands'!$A$117:$R$134,14,(FALSE))</f>
        <v>9.6153846153846159E-2</v>
      </c>
      <c r="G50" s="812">
        <f>VLOOKUP(A50,'1819 Revised Bands'!$A$117:$R$134,6,(FALSE))</f>
        <v>0.11538461538461539</v>
      </c>
      <c r="H50" s="812">
        <f>VLOOKUP(A50,'1819 Revised Bands'!$A$117:$R$134,12,(FALSE))</f>
        <v>3.8461538461538464E-2</v>
      </c>
      <c r="I50" s="812">
        <f>VLOOKUP(A50,'1819 Revised Bands'!$A$117:$R$134,16,(FALSE))</f>
        <v>0.25</v>
      </c>
      <c r="J50" s="812">
        <f>VLOOKUP(A50,'1819 Revised Bands'!$A$117:$R$134,18,(FALSE))</f>
        <v>0.15384615384615385</v>
      </c>
      <c r="K50" s="233">
        <v>0</v>
      </c>
      <c r="L50" s="524">
        <v>47</v>
      </c>
      <c r="M50" s="233">
        <f>SUM(K50:L50)</f>
        <v>47</v>
      </c>
      <c r="N50" s="42">
        <f t="shared" ref="N50:N67" si="12">((((K50*G50)*$G$92)+((K50*E50)*$G$94)+((K50*D50)*$G$98)+((K50*H50)*$G$100)+((K50*F50)*$G$104)))*(7/12)</f>
        <v>0</v>
      </c>
      <c r="O50" s="813">
        <f>((((L50*D50)*$G$92)+((L50*E50)*$G$94)+((L50*F50)*$G$96)+((L50*G50)*$G$98)+((L50*H50)*$G$100)+((L50*I50)*$G$102)+((L50*J50)*$G$104))*(7/12))</f>
        <v>348778.47182330344</v>
      </c>
      <c r="P50" s="813">
        <f t="shared" ref="P50:P67" si="13">((F50*M50)*$G$106)*(7/12)</f>
        <v>6946.4342948717949</v>
      </c>
      <c r="Q50" s="813">
        <f>SUM(N50:P50)</f>
        <v>355724.90611817525</v>
      </c>
      <c r="R50" s="724">
        <f>(M50*(7/12))*10000</f>
        <v>274166.66666666669</v>
      </c>
      <c r="S50" s="724">
        <f>(VLOOKUP(A50,'1819 Funding Detail'!$A$4:$AN$23,40,FALSE)*7/12)*M50</f>
        <v>302719.06497234182</v>
      </c>
      <c r="T50" s="42"/>
      <c r="U50" s="42">
        <f>SUM(J50*L50*$G$104)*7/12</f>
        <v>94957.628187902141</v>
      </c>
      <c r="V50" s="626" t="s">
        <v>402</v>
      </c>
      <c r="W50" s="625" t="s">
        <v>595</v>
      </c>
    </row>
    <row r="51" spans="1:23" x14ac:dyDescent="0.25">
      <c r="A51" s="131">
        <v>9257005</v>
      </c>
      <c r="B51" s="38" t="s">
        <v>68</v>
      </c>
      <c r="C51" s="39">
        <v>4</v>
      </c>
      <c r="D51" s="812">
        <f>VLOOKUP(A51,'1819 Revised Bands'!$A$117:$R$134,10,(FALSE))</f>
        <v>9.3333333333333338E-2</v>
      </c>
      <c r="E51" s="812">
        <f>VLOOKUP(A51,'1819 Revised Bands'!$A$117:$R$134,8,(FALSE))</f>
        <v>0.22666666666666666</v>
      </c>
      <c r="F51" s="812">
        <f>VLOOKUP(A51,'1819 Revised Bands'!$A$117:$R$134,14,(FALSE))</f>
        <v>0.16</v>
      </c>
      <c r="G51" s="812">
        <f>VLOOKUP(A51,'1819 Revised Bands'!$A$117:$R$134,6,(FALSE))</f>
        <v>0.13333333333333333</v>
      </c>
      <c r="H51" s="812">
        <f>VLOOKUP(A51,'1819 Revised Bands'!$A$117:$R$134,12,(FALSE))</f>
        <v>9.3333333333333338E-2</v>
      </c>
      <c r="I51" s="812">
        <f>VLOOKUP(A51,'1819 Revised Bands'!$A$117:$R$134,16,(FALSE))</f>
        <v>0.2</v>
      </c>
      <c r="J51" s="812">
        <f>VLOOKUP(A51,'1819 Revised Bands'!$A$117:$R$134,18,(FALSE))</f>
        <v>9.3333333333333338E-2</v>
      </c>
      <c r="K51" s="233">
        <v>0</v>
      </c>
      <c r="L51" s="524">
        <v>43</v>
      </c>
      <c r="M51" s="233">
        <f t="shared" ref="M51:M67" si="14">SUM(K51:L51)</f>
        <v>43</v>
      </c>
      <c r="N51" s="42">
        <f t="shared" si="12"/>
        <v>0</v>
      </c>
      <c r="O51" s="813">
        <f t="shared" ref="O51:O67" si="15">((((L51*D51)*$G$92)+((L51*E51)*$G$94)+((L51*F51)*$G$96)+((L51*G51)*$G$98)+((L51*H51)*$G$100)+((L51*I51)*$G$102)+((L51*J51)*$G$104))*(7/12))</f>
        <v>304430.75805979141</v>
      </c>
      <c r="P51" s="813">
        <f t="shared" si="13"/>
        <v>10575.133333333333</v>
      </c>
      <c r="Q51" s="813">
        <f t="shared" ref="Q51:Q67" si="16">SUM(N51:P51)</f>
        <v>315005.89139312477</v>
      </c>
      <c r="R51" s="724">
        <f t="shared" ref="R51:R67" si="17">(M51*(7/12))*10000</f>
        <v>250833.33333333334</v>
      </c>
      <c r="S51" s="724">
        <f>(VLOOKUP(A51,'1819 Funding Detail'!$A$4:$AN$23,40,FALSE)*7/12)*M51</f>
        <v>218883.78118052022</v>
      </c>
      <c r="T51" s="42"/>
      <c r="U51" s="42">
        <f t="shared" ref="U51:U67" si="18">SUM(J51*L51*$G$104)*7/12</f>
        <v>52704.850936065406</v>
      </c>
      <c r="V51" s="42"/>
    </row>
    <row r="52" spans="1:23" x14ac:dyDescent="0.25">
      <c r="A52" s="131">
        <v>9257025</v>
      </c>
      <c r="B52" s="38" t="s">
        <v>69</v>
      </c>
      <c r="C52" s="39">
        <v>4</v>
      </c>
      <c r="D52" s="812">
        <f>VLOOKUP(A52,'1819 Revised Bands'!$A$117:$R$134,10,(FALSE))</f>
        <v>0.17910447761194029</v>
      </c>
      <c r="E52" s="812">
        <f>VLOOKUP(A52,'1819 Revised Bands'!$A$117:$R$134,8,(FALSE))</f>
        <v>0.26865671641791045</v>
      </c>
      <c r="F52" s="812">
        <f>VLOOKUP(A52,'1819 Revised Bands'!$A$117:$R$134,14,(FALSE))</f>
        <v>0.14925373134328357</v>
      </c>
      <c r="G52" s="812">
        <f>VLOOKUP(A52,'1819 Revised Bands'!$A$117:$R$134,6,(FALSE))</f>
        <v>4.4776119402985072E-2</v>
      </c>
      <c r="H52" s="812">
        <f>VLOOKUP(A52,'1819 Revised Bands'!$A$117:$R$134,12,(FALSE))</f>
        <v>0.14925373134328357</v>
      </c>
      <c r="I52" s="812">
        <f>VLOOKUP(A52,'1819 Revised Bands'!$A$117:$R$134,16,(FALSE))</f>
        <v>0.11940298507462686</v>
      </c>
      <c r="J52" s="812">
        <f>VLOOKUP(A52,'1819 Revised Bands'!$A$117:$R$134,18,(FALSE))</f>
        <v>8.9552238805970144E-2</v>
      </c>
      <c r="K52" s="233">
        <v>0</v>
      </c>
      <c r="L52" s="524">
        <v>49</v>
      </c>
      <c r="M52" s="233">
        <f t="shared" si="14"/>
        <v>49</v>
      </c>
      <c r="N52" s="42">
        <f t="shared" si="12"/>
        <v>0</v>
      </c>
      <c r="O52" s="813">
        <f t="shared" si="15"/>
        <v>315950.8872700613</v>
      </c>
      <c r="P52" s="813">
        <f t="shared" si="13"/>
        <v>11241.355721393034</v>
      </c>
      <c r="Q52" s="813">
        <f t="shared" si="16"/>
        <v>327192.24299145432</v>
      </c>
      <c r="R52" s="724">
        <f t="shared" si="17"/>
        <v>285833.33333333337</v>
      </c>
      <c r="S52" s="724">
        <f>(VLOOKUP(A52,'1819 Funding Detail'!$A$4:$AN$23,40,FALSE)*7/12)*M52</f>
        <v>237472.39958255418</v>
      </c>
      <c r="T52" s="42"/>
      <c r="U52" s="42">
        <f t="shared" si="18"/>
        <v>57625.921710727525</v>
      </c>
      <c r="V52" s="42"/>
    </row>
    <row r="53" spans="1:23" x14ac:dyDescent="0.25">
      <c r="A53" s="131">
        <v>9257011</v>
      </c>
      <c r="B53" s="38" t="s">
        <v>70</v>
      </c>
      <c r="C53" s="39">
        <v>4</v>
      </c>
      <c r="D53" s="812">
        <f>VLOOKUP(A53,'1819 Revised Bands'!$A$117:$R$134,10,(FALSE))</f>
        <v>0.1111111111111111</v>
      </c>
      <c r="E53" s="812">
        <f>VLOOKUP(A53,'1819 Revised Bands'!$A$117:$R$134,8,(FALSE))</f>
        <v>0.31481481481481483</v>
      </c>
      <c r="F53" s="812">
        <f>VLOOKUP(A53,'1819 Revised Bands'!$A$117:$R$134,14,(FALSE))</f>
        <v>5.5555555555555552E-2</v>
      </c>
      <c r="G53" s="812">
        <f>VLOOKUP(A53,'1819 Revised Bands'!$A$117:$R$134,6,(FALSE))</f>
        <v>0.12962962962962962</v>
      </c>
      <c r="H53" s="812">
        <f>VLOOKUP(A53,'1819 Revised Bands'!$A$117:$R$134,12,(FALSE))</f>
        <v>0.14814814814814814</v>
      </c>
      <c r="I53" s="812">
        <f>VLOOKUP(A53,'1819 Revised Bands'!$A$117:$R$134,16,(FALSE))</f>
        <v>0.12962962962962962</v>
      </c>
      <c r="J53" s="812">
        <f>VLOOKUP(A53,'1819 Revised Bands'!$A$117:$R$134,18,(FALSE))</f>
        <v>0.1111111111111111</v>
      </c>
      <c r="K53" s="233">
        <v>0</v>
      </c>
      <c r="L53" s="524">
        <v>44</v>
      </c>
      <c r="M53" s="233">
        <f t="shared" si="14"/>
        <v>44</v>
      </c>
      <c r="N53" s="42">
        <f t="shared" si="12"/>
        <v>0</v>
      </c>
      <c r="O53" s="813">
        <f t="shared" si="15"/>
        <v>301159.93811526976</v>
      </c>
      <c r="P53" s="813">
        <f t="shared" si="13"/>
        <v>3757.3148148148148</v>
      </c>
      <c r="Q53" s="813">
        <f t="shared" si="16"/>
        <v>304917.25293008459</v>
      </c>
      <c r="R53" s="724">
        <f t="shared" si="17"/>
        <v>256666.66666666669</v>
      </c>
      <c r="S53" s="724">
        <f>(VLOOKUP(A53,'1819 Funding Detail'!$A$4:$AN$23,40,FALSE)*7/12)*M53</f>
        <v>240300.85709070385</v>
      </c>
      <c r="T53" s="42"/>
      <c r="U53" s="42">
        <f t="shared" si="18"/>
        <v>64203.029933191508</v>
      </c>
      <c r="V53" s="42"/>
    </row>
    <row r="54" spans="1:23" x14ac:dyDescent="0.25">
      <c r="A54" s="131">
        <v>9257024</v>
      </c>
      <c r="B54" s="38" t="s">
        <v>71</v>
      </c>
      <c r="C54" s="39">
        <v>3</v>
      </c>
      <c r="D54" s="812">
        <f>VLOOKUP(A54,'1819 Revised Bands'!$A$117:$R$134,10,(FALSE))</f>
        <v>0.11594202898550725</v>
      </c>
      <c r="E54" s="812">
        <f>VLOOKUP(A54,'1819 Revised Bands'!$A$117:$R$134,8,(FALSE))</f>
        <v>0.34782608695652173</v>
      </c>
      <c r="F54" s="812">
        <f>VLOOKUP(A54,'1819 Revised Bands'!$A$117:$R$134,14,(FALSE))</f>
        <v>5.7971014492753624E-2</v>
      </c>
      <c r="G54" s="812">
        <f>VLOOKUP(A54,'1819 Revised Bands'!$A$117:$R$134,6,(FALSE))</f>
        <v>8.6956521739130432E-2</v>
      </c>
      <c r="H54" s="812">
        <f>VLOOKUP(A54,'1819 Revised Bands'!$A$117:$R$134,12,(FALSE))</f>
        <v>0.15942028985507245</v>
      </c>
      <c r="I54" s="812">
        <f>VLOOKUP(A54,'1819 Revised Bands'!$A$117:$R$134,16,(FALSE))</f>
        <v>0.10144927536231885</v>
      </c>
      <c r="J54" s="812">
        <f>VLOOKUP(A54,'1819 Revised Bands'!$A$117:$R$134,18,(FALSE))</f>
        <v>0.13043478260869565</v>
      </c>
      <c r="K54" s="233">
        <v>0</v>
      </c>
      <c r="L54" s="524">
        <v>68</v>
      </c>
      <c r="M54" s="233">
        <f t="shared" si="14"/>
        <v>68</v>
      </c>
      <c r="N54" s="42">
        <f t="shared" si="12"/>
        <v>0</v>
      </c>
      <c r="O54" s="813">
        <f t="shared" si="15"/>
        <v>459733.66518199159</v>
      </c>
      <c r="P54" s="813">
        <f t="shared" si="13"/>
        <v>6059.2270531400973</v>
      </c>
      <c r="Q54" s="813">
        <f t="shared" si="16"/>
        <v>465792.8922351317</v>
      </c>
      <c r="R54" s="724">
        <f t="shared" si="17"/>
        <v>396666.66666666669</v>
      </c>
      <c r="S54" s="724">
        <f>(VLOOKUP(A54,'1819 Funding Detail'!$A$4:$AN$23,40,FALSE)*7/12)*M54</f>
        <v>311905.65251723997</v>
      </c>
      <c r="T54" s="42"/>
      <c r="U54" s="42">
        <f t="shared" si="18"/>
        <v>116479.01477997987</v>
      </c>
      <c r="V54" s="42"/>
    </row>
    <row r="55" spans="1:23" x14ac:dyDescent="0.25">
      <c r="A55" s="131">
        <v>9257031</v>
      </c>
      <c r="B55" s="38" t="s">
        <v>98</v>
      </c>
      <c r="C55" s="39">
        <v>4</v>
      </c>
      <c r="D55" s="812">
        <f>VLOOKUP(A55,'1819 Revised Bands'!$A$117:$R$134,10,(FALSE))</f>
        <v>0</v>
      </c>
      <c r="E55" s="812">
        <f>VLOOKUP(A55,'1819 Revised Bands'!$A$117:$R$134,8,(FALSE))</f>
        <v>0</v>
      </c>
      <c r="F55" s="812">
        <f>VLOOKUP(A55,'1819 Revised Bands'!$A$117:$R$134,14,(FALSE))</f>
        <v>1</v>
      </c>
      <c r="G55" s="812">
        <f>VLOOKUP(A55,'1819 Revised Bands'!$A$117:$R$134,6,(FALSE))</f>
        <v>0</v>
      </c>
      <c r="H55" s="812">
        <f>VLOOKUP(A55,'1819 Revised Bands'!$A$117:$R$134,12,(FALSE))</f>
        <v>0</v>
      </c>
      <c r="I55" s="812">
        <f>VLOOKUP(A55,'1819 Revised Bands'!$A$117:$R$134,16,(FALSE))</f>
        <v>0</v>
      </c>
      <c r="J55" s="812">
        <f>VLOOKUP(A55,'1819 Revised Bands'!$A$117:$R$134,18,(FALSE))</f>
        <v>0</v>
      </c>
      <c r="K55" s="233">
        <v>0</v>
      </c>
      <c r="L55" s="524">
        <v>72</v>
      </c>
      <c r="M55" s="233">
        <f t="shared" si="14"/>
        <v>72</v>
      </c>
      <c r="N55" s="42">
        <f t="shared" si="12"/>
        <v>0</v>
      </c>
      <c r="O55" s="813">
        <f t="shared" si="15"/>
        <v>473063.31732175004</v>
      </c>
      <c r="P55" s="813">
        <f t="shared" si="13"/>
        <v>110670</v>
      </c>
      <c r="Q55" s="813">
        <f t="shared" si="16"/>
        <v>583733.3173217501</v>
      </c>
      <c r="R55" s="724">
        <f t="shared" si="17"/>
        <v>420000</v>
      </c>
      <c r="S55" s="724">
        <f>(VLOOKUP(A55,'1819 Funding Detail'!$A$4:$AN$23,40,FALSE)*7/12)*M55</f>
        <v>433602.81634264247</v>
      </c>
      <c r="T55" s="42"/>
      <c r="U55" s="42">
        <f t="shared" si="18"/>
        <v>0</v>
      </c>
      <c r="V55" s="42"/>
    </row>
    <row r="56" spans="1:23" x14ac:dyDescent="0.25">
      <c r="A56" s="131">
        <v>9257033</v>
      </c>
      <c r="B56" s="38" t="s">
        <v>72</v>
      </c>
      <c r="C56" s="39">
        <v>3</v>
      </c>
      <c r="D56" s="812">
        <f>VLOOKUP(A56,'1819 Revised Bands'!$A$117:$R$134,10,(FALSE))</f>
        <v>0.31395348837209303</v>
      </c>
      <c r="E56" s="812">
        <f>VLOOKUP(A56,'1819 Revised Bands'!$A$117:$R$134,8,(FALSE))</f>
        <v>0.19767441860465115</v>
      </c>
      <c r="F56" s="812">
        <f>VLOOKUP(A56,'1819 Revised Bands'!$A$117:$R$134,14,(FALSE))</f>
        <v>0.22093023255813954</v>
      </c>
      <c r="G56" s="812">
        <f>VLOOKUP(A56,'1819 Revised Bands'!$A$117:$R$134,6,(FALSE))</f>
        <v>6.9767441860465115E-2</v>
      </c>
      <c r="H56" s="812">
        <f>VLOOKUP(A56,'1819 Revised Bands'!$A$117:$R$134,12,(FALSE))</f>
        <v>0.10465116279069768</v>
      </c>
      <c r="I56" s="812">
        <f>VLOOKUP(A56,'1819 Revised Bands'!$A$117:$R$134,16,(FALSE))</f>
        <v>9.3023255813953487E-2</v>
      </c>
      <c r="J56" s="812">
        <f>VLOOKUP(A56,'1819 Revised Bands'!$A$117:$R$134,18,(FALSE))</f>
        <v>0</v>
      </c>
      <c r="K56" s="233">
        <v>0</v>
      </c>
      <c r="L56" s="524">
        <v>93</v>
      </c>
      <c r="M56" s="233">
        <f t="shared" si="14"/>
        <v>93</v>
      </c>
      <c r="N56" s="42">
        <f t="shared" si="12"/>
        <v>0</v>
      </c>
      <c r="O56" s="813">
        <f t="shared" si="15"/>
        <v>513598.42081396596</v>
      </c>
      <c r="P56" s="813">
        <f t="shared" si="13"/>
        <v>31581.700581395351</v>
      </c>
      <c r="Q56" s="813">
        <f t="shared" si="16"/>
        <v>545180.12139536126</v>
      </c>
      <c r="R56" s="724">
        <f t="shared" si="17"/>
        <v>542500</v>
      </c>
      <c r="S56" s="724">
        <f>(VLOOKUP(A56,'1819 Funding Detail'!$A$4:$AN$23,40,FALSE)*7/12)*M56</f>
        <v>282775.89648829802</v>
      </c>
      <c r="T56" s="42"/>
      <c r="U56" s="42">
        <f t="shared" si="18"/>
        <v>0</v>
      </c>
      <c r="V56" s="42"/>
    </row>
    <row r="57" spans="1:23" x14ac:dyDescent="0.25">
      <c r="A57" s="131">
        <v>9257008</v>
      </c>
      <c r="B57" s="38" t="s">
        <v>73</v>
      </c>
      <c r="C57" s="39">
        <v>4</v>
      </c>
      <c r="D57" s="812">
        <f>VLOOKUP(A57,'1819 Revised Bands'!$A$117:$R$134,10,(FALSE))</f>
        <v>4.3956043956043959E-2</v>
      </c>
      <c r="E57" s="812">
        <f>VLOOKUP(A57,'1819 Revised Bands'!$A$117:$R$134,8,(FALSE))</f>
        <v>0.61538461538461542</v>
      </c>
      <c r="F57" s="812">
        <f>VLOOKUP(A57,'1819 Revised Bands'!$A$117:$R$134,14,(FALSE))</f>
        <v>0.15384615384615385</v>
      </c>
      <c r="G57" s="812">
        <f>VLOOKUP(A57,'1819 Revised Bands'!$A$117:$R$134,6,(FALSE))</f>
        <v>2.197802197802198E-2</v>
      </c>
      <c r="H57" s="812">
        <f>VLOOKUP(A57,'1819 Revised Bands'!$A$117:$R$134,12,(FALSE))</f>
        <v>2.197802197802198E-2</v>
      </c>
      <c r="I57" s="812">
        <f>VLOOKUP(A57,'1819 Revised Bands'!$A$117:$R$134,16,(FALSE))</f>
        <v>0.14285714285714285</v>
      </c>
      <c r="J57" s="812">
        <f>VLOOKUP(A57,'1819 Revised Bands'!$A$117:$R$134,18,(FALSE))</f>
        <v>0</v>
      </c>
      <c r="K57" s="233">
        <v>0</v>
      </c>
      <c r="L57" s="524">
        <v>95</v>
      </c>
      <c r="M57" s="233">
        <f t="shared" si="14"/>
        <v>95</v>
      </c>
      <c r="N57" s="42">
        <f t="shared" si="12"/>
        <v>0</v>
      </c>
      <c r="O57" s="813">
        <f t="shared" si="15"/>
        <v>494790.47197192715</v>
      </c>
      <c r="P57" s="813">
        <f t="shared" si="13"/>
        <v>22465.064102564109</v>
      </c>
      <c r="Q57" s="813">
        <f t="shared" si="16"/>
        <v>517255.53607449128</v>
      </c>
      <c r="R57" s="724">
        <f t="shared" si="17"/>
        <v>554166.66666666674</v>
      </c>
      <c r="S57" s="724">
        <f>(VLOOKUP(A57,'1819 Funding Detail'!$A$4:$AN$23,40,FALSE)*7/12)*M57</f>
        <v>237594.24922845216</v>
      </c>
      <c r="T57" s="42"/>
      <c r="U57" s="42">
        <f t="shared" si="18"/>
        <v>0</v>
      </c>
      <c r="V57" s="42"/>
    </row>
    <row r="58" spans="1:23" x14ac:dyDescent="0.25">
      <c r="A58" s="131">
        <v>9257034</v>
      </c>
      <c r="B58" s="38" t="s">
        <v>74</v>
      </c>
      <c r="C58" s="39">
        <v>5</v>
      </c>
      <c r="D58" s="812">
        <f>VLOOKUP(A58,'1819 Revised Bands'!$A$117:$R$134,10,(FALSE))</f>
        <v>0.42105263157894735</v>
      </c>
      <c r="E58" s="812">
        <f>VLOOKUP(A58,'1819 Revised Bands'!$A$117:$R$134,8,(FALSE))</f>
        <v>0.16666666666666666</v>
      </c>
      <c r="F58" s="812">
        <f>VLOOKUP(A58,'1819 Revised Bands'!$A$117:$R$134,14,(FALSE))</f>
        <v>0.26315789473684209</v>
      </c>
      <c r="G58" s="812">
        <f>VLOOKUP(A58,'1819 Revised Bands'!$A$117:$R$134,6,(FALSE))</f>
        <v>4.3859649122807015E-2</v>
      </c>
      <c r="H58" s="812">
        <f>VLOOKUP(A58,'1819 Revised Bands'!$A$117:$R$134,12,(FALSE))</f>
        <v>3.5087719298245612E-2</v>
      </c>
      <c r="I58" s="812">
        <f>VLOOKUP(A58,'1819 Revised Bands'!$A$117:$R$134,16,(FALSE))</f>
        <v>4.3859649122807015E-2</v>
      </c>
      <c r="J58" s="812">
        <f>VLOOKUP(A58,'1819 Revised Bands'!$A$117:$R$134,18,(FALSE))</f>
        <v>2.6315789473684209E-2</v>
      </c>
      <c r="K58" s="233">
        <v>0</v>
      </c>
      <c r="L58" s="524">
        <v>78</v>
      </c>
      <c r="M58" s="233">
        <f t="shared" si="14"/>
        <v>78</v>
      </c>
      <c r="N58" s="42">
        <f t="shared" si="12"/>
        <v>0</v>
      </c>
      <c r="O58" s="813">
        <f t="shared" si="15"/>
        <v>403585.22562739509</v>
      </c>
      <c r="P58" s="813">
        <f t="shared" si="13"/>
        <v>31550.65789473684</v>
      </c>
      <c r="Q58" s="813">
        <f t="shared" si="16"/>
        <v>435135.88352213195</v>
      </c>
      <c r="R58" s="724">
        <f t="shared" si="17"/>
        <v>455000</v>
      </c>
      <c r="S58" s="724">
        <f>(VLOOKUP(A58,'1819 Funding Detail'!$A$4:$AN$23,40,FALSE)*7/12)*M58</f>
        <v>177939.73977213184</v>
      </c>
      <c r="T58" s="42"/>
      <c r="U58" s="42">
        <f t="shared" si="18"/>
        <v>26956.056826017008</v>
      </c>
      <c r="V58" s="42"/>
    </row>
    <row r="59" spans="1:23" x14ac:dyDescent="0.25">
      <c r="A59" s="131">
        <v>9257002</v>
      </c>
      <c r="B59" s="38" t="s">
        <v>75</v>
      </c>
      <c r="C59" s="39">
        <v>5</v>
      </c>
      <c r="D59" s="812">
        <f>VLOOKUP(A59,'1819 Revised Bands'!$A$117:$R$134,10,(FALSE))</f>
        <v>0.53237410071942448</v>
      </c>
      <c r="E59" s="812">
        <f>VLOOKUP(A59,'1819 Revised Bands'!$A$117:$R$134,8,(FALSE))</f>
        <v>0.12949640287769784</v>
      </c>
      <c r="F59" s="812">
        <f>VLOOKUP(A59,'1819 Revised Bands'!$A$117:$R$134,14,(FALSE))</f>
        <v>0.18705035971223022</v>
      </c>
      <c r="G59" s="812">
        <f>VLOOKUP(A59,'1819 Revised Bands'!$A$117:$R$134,6,(FALSE))</f>
        <v>7.1942446043165471E-3</v>
      </c>
      <c r="H59" s="812">
        <f>VLOOKUP(A59,'1819 Revised Bands'!$A$117:$R$134,12,(FALSE))</f>
        <v>6.4748201438848921E-2</v>
      </c>
      <c r="I59" s="812">
        <f>VLOOKUP(A59,'1819 Revised Bands'!$A$117:$R$134,16,(FALSE))</f>
        <v>7.1942446043165464E-2</v>
      </c>
      <c r="J59" s="812">
        <f>VLOOKUP(A59,'1819 Revised Bands'!$A$117:$R$134,18,(FALSE))</f>
        <v>7.1942446043165471E-3</v>
      </c>
      <c r="K59" s="233">
        <v>0</v>
      </c>
      <c r="L59" s="524">
        <v>144</v>
      </c>
      <c r="M59" s="233">
        <f t="shared" si="14"/>
        <v>144</v>
      </c>
      <c r="N59" s="42">
        <f t="shared" si="12"/>
        <v>0</v>
      </c>
      <c r="O59" s="813">
        <f t="shared" si="15"/>
        <v>696127.66327926703</v>
      </c>
      <c r="P59" s="813">
        <f t="shared" si="13"/>
        <v>41401.726618705041</v>
      </c>
      <c r="Q59" s="813">
        <f t="shared" si="16"/>
        <v>737529.38989797211</v>
      </c>
      <c r="R59" s="724">
        <f t="shared" si="17"/>
        <v>840000</v>
      </c>
      <c r="S59" s="724">
        <f>(VLOOKUP(A59,'1819 Funding Detail'!$A$4:$AN$23,40,FALSE)*7/12)*M59</f>
        <v>204851.48675478229</v>
      </c>
      <c r="T59" s="42"/>
      <c r="U59" s="42">
        <f t="shared" si="18"/>
        <v>13604.827794868574</v>
      </c>
      <c r="V59" s="42"/>
    </row>
    <row r="60" spans="1:23" x14ac:dyDescent="0.25">
      <c r="A60" s="131">
        <v>9257009</v>
      </c>
      <c r="B60" s="38" t="s">
        <v>76</v>
      </c>
      <c r="C60" s="39">
        <v>4</v>
      </c>
      <c r="D60" s="812">
        <f>VLOOKUP(A60,'1819 Revised Bands'!$A$117:$R$134,10,(FALSE))</f>
        <v>0.1484375</v>
      </c>
      <c r="E60" s="812">
        <f>VLOOKUP(A60,'1819 Revised Bands'!$A$117:$R$134,8,(FALSE))</f>
        <v>0.46875</v>
      </c>
      <c r="F60" s="812">
        <f>VLOOKUP(A60,'1819 Revised Bands'!$A$117:$R$134,14,(FALSE))</f>
        <v>0.125</v>
      </c>
      <c r="G60" s="812">
        <f>VLOOKUP(A60,'1819 Revised Bands'!$A$117:$R$134,6,(FALSE))</f>
        <v>0</v>
      </c>
      <c r="H60" s="812">
        <f>VLOOKUP(A60,'1819 Revised Bands'!$A$117:$R$134,12,(FALSE))</f>
        <v>3.125E-2</v>
      </c>
      <c r="I60" s="812">
        <f>VLOOKUP(A60,'1819 Revised Bands'!$A$117:$R$134,16,(FALSE))</f>
        <v>0.2265625</v>
      </c>
      <c r="J60" s="812">
        <f>VLOOKUP(A60,'1819 Revised Bands'!$A$117:$R$134,18,(FALSE))</f>
        <v>0</v>
      </c>
      <c r="K60" s="233">
        <v>0</v>
      </c>
      <c r="L60" s="524">
        <v>133</v>
      </c>
      <c r="M60" s="233">
        <f t="shared" si="14"/>
        <v>133</v>
      </c>
      <c r="N60" s="42">
        <f t="shared" si="12"/>
        <v>0</v>
      </c>
      <c r="O60" s="813">
        <f t="shared" si="15"/>
        <v>719153.2715172699</v>
      </c>
      <c r="P60" s="813">
        <f t="shared" si="13"/>
        <v>25554.010416666668</v>
      </c>
      <c r="Q60" s="813">
        <f t="shared" si="16"/>
        <v>744707.28193393652</v>
      </c>
      <c r="R60" s="724">
        <f t="shared" si="17"/>
        <v>775833.33333333337</v>
      </c>
      <c r="S60" s="724">
        <f>(VLOOKUP(A60,'1819 Funding Detail'!$A$4:$AN$23,40,FALSE)*7/12)*M60</f>
        <v>272461.67693182145</v>
      </c>
      <c r="T60" s="42"/>
      <c r="U60" s="42">
        <f t="shared" si="18"/>
        <v>0</v>
      </c>
      <c r="V60" s="42"/>
    </row>
    <row r="61" spans="1:23" x14ac:dyDescent="0.25">
      <c r="A61" s="131">
        <v>9257029</v>
      </c>
      <c r="B61" s="38" t="s">
        <v>99</v>
      </c>
      <c r="C61" s="39">
        <v>3</v>
      </c>
      <c r="D61" s="812">
        <f>VLOOKUP(A61,'1819 Revised Bands'!$A$117:$R$134,10,(FALSE))</f>
        <v>0</v>
      </c>
      <c r="E61" s="812">
        <f>VLOOKUP(A61,'1819 Revised Bands'!$A$117:$R$134,8,(FALSE))</f>
        <v>0</v>
      </c>
      <c r="F61" s="812">
        <f>VLOOKUP(A61,'1819 Revised Bands'!$A$117:$R$134,14,(FALSE))</f>
        <v>1</v>
      </c>
      <c r="G61" s="812">
        <f>VLOOKUP(A61,'1819 Revised Bands'!$A$117:$R$134,6,(FALSE))</f>
        <v>0</v>
      </c>
      <c r="H61" s="812">
        <f>VLOOKUP(A61,'1819 Revised Bands'!$A$117:$R$134,12,(FALSE))</f>
        <v>0</v>
      </c>
      <c r="I61" s="812">
        <f>VLOOKUP(A61,'1819 Revised Bands'!$A$117:$R$134,16,(FALSE))</f>
        <v>0</v>
      </c>
      <c r="J61" s="812">
        <f>VLOOKUP(A61,'1819 Revised Bands'!$A$117:$R$134,18,(FALSE))</f>
        <v>0</v>
      </c>
      <c r="K61" s="233">
        <v>0</v>
      </c>
      <c r="L61" s="524">
        <v>41</v>
      </c>
      <c r="M61" s="233">
        <f t="shared" si="14"/>
        <v>41</v>
      </c>
      <c r="N61" s="42">
        <f t="shared" si="12"/>
        <v>0</v>
      </c>
      <c r="O61" s="813">
        <f t="shared" si="15"/>
        <v>269383.27791932988</v>
      </c>
      <c r="P61" s="813">
        <f t="shared" si="13"/>
        <v>63020.416666666672</v>
      </c>
      <c r="Q61" s="813">
        <f t="shared" si="16"/>
        <v>332403.69458599656</v>
      </c>
      <c r="R61" s="724">
        <f t="shared" si="17"/>
        <v>239166.66666666669</v>
      </c>
      <c r="S61" s="724">
        <f>(VLOOKUP(A61,'1819 Funding Detail'!$A$4:$AN$23,40,FALSE)*7/12)*M61</f>
        <v>300910.3771140707</v>
      </c>
      <c r="T61" s="42"/>
      <c r="U61" s="42">
        <f t="shared" si="18"/>
        <v>0</v>
      </c>
      <c r="V61" s="42"/>
    </row>
    <row r="62" spans="1:23" x14ac:dyDescent="0.25">
      <c r="A62" s="131">
        <v>9257032</v>
      </c>
      <c r="B62" s="38" t="s">
        <v>100</v>
      </c>
      <c r="C62" s="39">
        <v>4</v>
      </c>
      <c r="D62" s="812">
        <f>VLOOKUP(A62,'1819 Revised Bands'!$A$117:$R$134,10,(FALSE))</f>
        <v>0</v>
      </c>
      <c r="E62" s="812">
        <f>VLOOKUP(A62,'1819 Revised Bands'!$A$117:$R$134,8,(FALSE))</f>
        <v>0</v>
      </c>
      <c r="F62" s="812">
        <f>VLOOKUP(A62,'1819 Revised Bands'!$A$117:$R$134,14,(FALSE))</f>
        <v>1</v>
      </c>
      <c r="G62" s="812">
        <f>VLOOKUP(A62,'1819 Revised Bands'!$A$117:$R$134,6,(FALSE))</f>
        <v>0</v>
      </c>
      <c r="H62" s="812">
        <f>VLOOKUP(A62,'1819 Revised Bands'!$A$117:$R$134,12,(FALSE))</f>
        <v>0</v>
      </c>
      <c r="I62" s="812">
        <f>VLOOKUP(A62,'1819 Revised Bands'!$A$117:$R$134,16,(FALSE))</f>
        <v>0</v>
      </c>
      <c r="J62" s="812">
        <f>VLOOKUP(A62,'1819 Revised Bands'!$A$117:$R$134,18,(FALSE))</f>
        <v>0</v>
      </c>
      <c r="K62" s="233">
        <v>0</v>
      </c>
      <c r="L62" s="524">
        <v>72</v>
      </c>
      <c r="M62" s="233">
        <f t="shared" si="14"/>
        <v>72</v>
      </c>
      <c r="N62" s="42">
        <f t="shared" si="12"/>
        <v>0</v>
      </c>
      <c r="O62" s="813">
        <f t="shared" si="15"/>
        <v>473063.31732175004</v>
      </c>
      <c r="P62" s="813">
        <f t="shared" si="13"/>
        <v>110670</v>
      </c>
      <c r="Q62" s="813">
        <f t="shared" si="16"/>
        <v>583733.3173217501</v>
      </c>
      <c r="R62" s="724">
        <f t="shared" si="17"/>
        <v>420000</v>
      </c>
      <c r="S62" s="724">
        <f>(VLOOKUP(A62,'1819 Funding Detail'!$A$4:$AN$23,40,FALSE)*7/12)*M62</f>
        <v>448698.25812793744</v>
      </c>
      <c r="T62" s="42"/>
      <c r="U62" s="42">
        <f t="shared" si="18"/>
        <v>0</v>
      </c>
      <c r="V62" s="42"/>
    </row>
    <row r="63" spans="1:23" x14ac:dyDescent="0.25">
      <c r="A63" s="131">
        <v>9257030</v>
      </c>
      <c r="B63" s="38" t="s">
        <v>92</v>
      </c>
      <c r="C63" s="39">
        <v>4</v>
      </c>
      <c r="D63" s="812">
        <f>VLOOKUP(A63,'1819 Revised Bands'!$A$117:$R$134,10,(FALSE))</f>
        <v>0</v>
      </c>
      <c r="E63" s="812">
        <f>VLOOKUP(A63,'1819 Revised Bands'!$A$117:$R$134,8,(FALSE))</f>
        <v>0</v>
      </c>
      <c r="F63" s="812">
        <f>VLOOKUP(A63,'1819 Revised Bands'!$A$117:$R$134,14,(FALSE))</f>
        <v>1</v>
      </c>
      <c r="G63" s="812">
        <f>VLOOKUP(A63,'1819 Revised Bands'!$A$117:$R$134,6,(FALSE))</f>
        <v>0</v>
      </c>
      <c r="H63" s="812">
        <f>VLOOKUP(A63,'1819 Revised Bands'!$A$117:$R$134,12,(FALSE))</f>
        <v>0</v>
      </c>
      <c r="I63" s="812">
        <f>VLOOKUP(A63,'1819 Revised Bands'!$A$117:$R$134,16,(FALSE))</f>
        <v>0</v>
      </c>
      <c r="J63" s="812">
        <f>VLOOKUP(A63,'1819 Revised Bands'!$A$117:$R$134,18,(FALSE))</f>
        <v>0</v>
      </c>
      <c r="K63" s="233">
        <v>0</v>
      </c>
      <c r="L63" s="524">
        <v>70</v>
      </c>
      <c r="M63" s="233">
        <f t="shared" si="14"/>
        <v>70</v>
      </c>
      <c r="N63" s="42">
        <f t="shared" si="12"/>
        <v>0</v>
      </c>
      <c r="O63" s="813">
        <f t="shared" si="15"/>
        <v>459922.66961836809</v>
      </c>
      <c r="P63" s="813">
        <f t="shared" si="13"/>
        <v>107595.83333333334</v>
      </c>
      <c r="Q63" s="813">
        <f t="shared" si="16"/>
        <v>567518.5029517014</v>
      </c>
      <c r="R63" s="724">
        <f t="shared" si="17"/>
        <v>408333.33333333337</v>
      </c>
      <c r="S63" s="724">
        <f>(VLOOKUP(A63,'1819 Funding Detail'!$A$4:$AN$23,40,FALSE)*7/12)*M63</f>
        <v>431266.63115613337</v>
      </c>
      <c r="T63" s="42"/>
      <c r="U63" s="42">
        <f t="shared" si="18"/>
        <v>0</v>
      </c>
      <c r="V63" s="42"/>
    </row>
    <row r="64" spans="1:23" x14ac:dyDescent="0.25">
      <c r="A64" s="131">
        <v>9257028</v>
      </c>
      <c r="B64" s="38" t="s">
        <v>77</v>
      </c>
      <c r="C64" s="39">
        <v>5</v>
      </c>
      <c r="D64" s="812">
        <f>VLOOKUP(A64,'1819 Revised Bands'!$A$117:$R$134,10,(FALSE))</f>
        <v>6.3291139240506333E-2</v>
      </c>
      <c r="E64" s="812">
        <f>VLOOKUP(A64,'1819 Revised Bands'!$A$117:$R$134,8,(FALSE))</f>
        <v>0.29113924050632911</v>
      </c>
      <c r="F64" s="812">
        <f>VLOOKUP(A64,'1819 Revised Bands'!$A$117:$R$134,14,(FALSE))</f>
        <v>3.7974683544303799E-2</v>
      </c>
      <c r="G64" s="812">
        <f>VLOOKUP(A64,'1819 Revised Bands'!$A$117:$R$134,6,(FALSE))</f>
        <v>0.10126582278481013</v>
      </c>
      <c r="H64" s="812">
        <f>VLOOKUP(A64,'1819 Revised Bands'!$A$117:$R$134,12,(FALSE))</f>
        <v>0.189873417721519</v>
      </c>
      <c r="I64" s="812">
        <f>VLOOKUP(A64,'1819 Revised Bands'!$A$117:$R$134,16,(FALSE))</f>
        <v>0.12658227848101267</v>
      </c>
      <c r="J64" s="812">
        <f>VLOOKUP(A64,'1819 Revised Bands'!$A$117:$R$134,18,(FALSE))</f>
        <v>0.189873417721519</v>
      </c>
      <c r="K64" s="523">
        <v>0</v>
      </c>
      <c r="L64" s="524">
        <v>66</v>
      </c>
      <c r="M64" s="233">
        <f t="shared" si="14"/>
        <v>66</v>
      </c>
      <c r="N64" s="42">
        <f t="shared" si="12"/>
        <v>0</v>
      </c>
      <c r="O64" s="813">
        <f t="shared" si="15"/>
        <v>501047.01218811079</v>
      </c>
      <c r="P64" s="813">
        <f t="shared" si="13"/>
        <v>3852.4367088607596</v>
      </c>
      <c r="Q64" s="813">
        <f t="shared" si="16"/>
        <v>504899.44889697153</v>
      </c>
      <c r="R64" s="724">
        <f t="shared" si="17"/>
        <v>385000</v>
      </c>
      <c r="S64" s="724">
        <f>(VLOOKUP(A64,'1819 Funding Detail'!$A$4:$AN$23,40,FALSE)*7/12)*M64</f>
        <v>353148.94195690844</v>
      </c>
      <c r="T64" s="42"/>
      <c r="U64" s="42">
        <f t="shared" si="18"/>
        <v>164571.05774014283</v>
      </c>
      <c r="V64" s="42"/>
    </row>
    <row r="65" spans="1:23" x14ac:dyDescent="0.25">
      <c r="A65" s="131">
        <v>9257021</v>
      </c>
      <c r="B65" s="38" t="s">
        <v>78</v>
      </c>
      <c r="C65" s="39">
        <v>5</v>
      </c>
      <c r="D65" s="812">
        <f>VLOOKUP(A65,'1819 Revised Bands'!$A$117:$R$134,10,(FALSE))</f>
        <v>0.29677419354838708</v>
      </c>
      <c r="E65" s="812">
        <f>VLOOKUP(A65,'1819 Revised Bands'!$A$117:$R$134,8,(FALSE))</f>
        <v>0.29677419354838708</v>
      </c>
      <c r="F65" s="812">
        <f>VLOOKUP(A65,'1819 Revised Bands'!$A$117:$R$134,14,(FALSE))</f>
        <v>0.12258064516129032</v>
      </c>
      <c r="G65" s="812">
        <f>VLOOKUP(A65,'1819 Revised Bands'!$A$117:$R$134,6,(FALSE))</f>
        <v>3.870967741935484E-2</v>
      </c>
      <c r="H65" s="812">
        <f>VLOOKUP(A65,'1819 Revised Bands'!$A$117:$R$134,12,(FALSE))</f>
        <v>9.0322580645161285E-2</v>
      </c>
      <c r="I65" s="812">
        <f>VLOOKUP(A65,'1819 Revised Bands'!$A$117:$R$134,16,(FALSE))</f>
        <v>0.14193548387096774</v>
      </c>
      <c r="J65" s="812">
        <f>VLOOKUP(A65,'1819 Revised Bands'!$A$117:$R$134,18,(FALSE))</f>
        <v>1.2903225806451613E-2</v>
      </c>
      <c r="K65" s="233">
        <v>0</v>
      </c>
      <c r="L65" s="524">
        <v>155</v>
      </c>
      <c r="M65" s="233">
        <f t="shared" si="14"/>
        <v>155</v>
      </c>
      <c r="N65" s="42">
        <f t="shared" si="12"/>
        <v>0</v>
      </c>
      <c r="O65" s="813">
        <f t="shared" si="15"/>
        <v>842700.40862085251</v>
      </c>
      <c r="P65" s="813">
        <f t="shared" si="13"/>
        <v>29204.583333333336</v>
      </c>
      <c r="Q65" s="813">
        <f t="shared" si="16"/>
        <v>871904.99195418588</v>
      </c>
      <c r="R65" s="724">
        <f t="shared" si="17"/>
        <v>904166.66666666674</v>
      </c>
      <c r="S65" s="724">
        <f>(VLOOKUP(A65,'1819 Funding Detail'!$A$4:$AN$23,40,FALSE)*7/12)*M65</f>
        <v>289249.90478430723</v>
      </c>
      <c r="T65" s="42"/>
      <c r="U65" s="42">
        <f t="shared" si="18"/>
        <v>26264.875881760163</v>
      </c>
      <c r="V65" s="42"/>
    </row>
    <row r="66" spans="1:23" x14ac:dyDescent="0.25">
      <c r="A66" s="131">
        <v>9257015</v>
      </c>
      <c r="B66" s="38" t="s">
        <v>55</v>
      </c>
      <c r="C66" s="39">
        <v>6</v>
      </c>
      <c r="D66" s="812">
        <f>VLOOKUP(A66,'1819 Revised Bands'!$A$117:$R$134,10,(FALSE))</f>
        <v>0.49808429118773945</v>
      </c>
      <c r="E66" s="812">
        <f>VLOOKUP(A66,'1819 Revised Bands'!$A$117:$R$134,8,(FALSE))</f>
        <v>0.19923371647509577</v>
      </c>
      <c r="F66" s="812">
        <f>VLOOKUP(A66,'1819 Revised Bands'!$A$117:$R$134,14,(FALSE))</f>
        <v>4.2145593869731802E-2</v>
      </c>
      <c r="G66" s="812">
        <f>VLOOKUP(A66,'1819 Revised Bands'!$A$117:$R$134,6,(FALSE))</f>
        <v>3.8314176245210725E-2</v>
      </c>
      <c r="H66" s="812">
        <f>VLOOKUP(A66,'1819 Revised Bands'!$A$117:$R$134,12,(FALSE))</f>
        <v>6.5134099616858232E-2</v>
      </c>
      <c r="I66" s="812">
        <f>VLOOKUP(A66,'1819 Revised Bands'!$A$117:$R$134,16,(FALSE))</f>
        <v>0.13793103448275862</v>
      </c>
      <c r="J66" s="812">
        <f>VLOOKUP(A66,'1819 Revised Bands'!$A$117:$R$134,18,(FALSE))</f>
        <v>1.9157088122605363E-2</v>
      </c>
      <c r="K66" s="233">
        <v>0</v>
      </c>
      <c r="L66" s="524">
        <v>217</v>
      </c>
      <c r="M66" s="233">
        <f t="shared" si="14"/>
        <v>217</v>
      </c>
      <c r="N66" s="42">
        <f t="shared" si="12"/>
        <v>0</v>
      </c>
      <c r="O66" s="813">
        <f t="shared" si="15"/>
        <v>1092001.8318423009</v>
      </c>
      <c r="P66" s="813">
        <f t="shared" si="13"/>
        <v>14057.539910600257</v>
      </c>
      <c r="Q66" s="813">
        <f t="shared" si="16"/>
        <v>1106059.3717529012</v>
      </c>
      <c r="R66" s="724">
        <f t="shared" si="17"/>
        <v>1265833.3333333335</v>
      </c>
      <c r="S66" s="724">
        <f>(VLOOKUP(A66,'1819 Funding Detail'!$A$4:$AN$23,40,FALSE)*7/12)*M66</f>
        <v>150725.06735196384</v>
      </c>
      <c r="T66" s="42"/>
      <c r="U66" s="42">
        <f t="shared" si="18"/>
        <v>54592.701784884623</v>
      </c>
      <c r="V66" s="42"/>
    </row>
    <row r="67" spans="1:23" x14ac:dyDescent="0.25">
      <c r="A67" s="131">
        <v>9257016</v>
      </c>
      <c r="B67" s="38" t="s">
        <v>80</v>
      </c>
      <c r="C67" s="39">
        <v>6</v>
      </c>
      <c r="D67" s="812">
        <f>VLOOKUP(A67,'1819 Revised Bands'!$A$117:$R$134,10,(FALSE))</f>
        <v>0.25170068027210885</v>
      </c>
      <c r="E67" s="812">
        <f>VLOOKUP(A67,'1819 Revised Bands'!$A$117:$R$134,8,(FALSE))</f>
        <v>6.8027210884353748E-2</v>
      </c>
      <c r="F67" s="812">
        <f>VLOOKUP(A67,'1819 Revised Bands'!$A$117:$R$134,14,(FALSE))</f>
        <v>0</v>
      </c>
      <c r="G67" s="812">
        <f>VLOOKUP(A67,'1819 Revised Bands'!$A$117:$R$134,6,(FALSE))</f>
        <v>0.16326530612244897</v>
      </c>
      <c r="H67" s="812">
        <f>VLOOKUP(A67,'1819 Revised Bands'!$A$117:$R$134,12,(FALSE))</f>
        <v>0.25170068027210885</v>
      </c>
      <c r="I67" s="812">
        <f>VLOOKUP(A67,'1819 Revised Bands'!$A$117:$R$134,16,(FALSE))</f>
        <v>6.8027210884353739E-3</v>
      </c>
      <c r="J67" s="812">
        <f>VLOOKUP(A67,'1819 Revised Bands'!$A$117:$R$134,18,(FALSE))</f>
        <v>0.25850340136054423</v>
      </c>
      <c r="K67" s="233">
        <v>0</v>
      </c>
      <c r="L67" s="524">
        <v>83</v>
      </c>
      <c r="M67" s="233">
        <f t="shared" si="14"/>
        <v>83</v>
      </c>
      <c r="N67" s="42">
        <f t="shared" si="12"/>
        <v>0</v>
      </c>
      <c r="O67" s="813">
        <f t="shared" si="15"/>
        <v>660483.98028640065</v>
      </c>
      <c r="P67" s="813">
        <f t="shared" si="13"/>
        <v>0</v>
      </c>
      <c r="Q67" s="813">
        <f t="shared" si="16"/>
        <v>660483.98028640065</v>
      </c>
      <c r="R67" s="724">
        <f t="shared" si="17"/>
        <v>484166.66666666669</v>
      </c>
      <c r="S67" s="724">
        <f>(VLOOKUP(A67,'1819 Funding Detail'!$A$4:$AN$23,40,FALSE)*7/12)*M67</f>
        <v>370377.63326885691</v>
      </c>
      <c r="T67" s="628" t="s">
        <v>402</v>
      </c>
      <c r="U67" s="42">
        <f t="shared" si="18"/>
        <v>281766.7296975223</v>
      </c>
      <c r="V67" s="42"/>
    </row>
    <row r="68" spans="1:23" x14ac:dyDescent="0.25">
      <c r="B68" s="50"/>
      <c r="C68" s="50"/>
      <c r="F68" s="628" t="s">
        <v>402</v>
      </c>
      <c r="I68" s="34"/>
      <c r="J68" s="628" t="s">
        <v>402</v>
      </c>
      <c r="L68" s="760"/>
      <c r="M68" s="628" t="s">
        <v>402</v>
      </c>
      <c r="Q68" s="628" t="s">
        <v>402</v>
      </c>
    </row>
    <row r="69" spans="1:23" ht="13" x14ac:dyDescent="0.3">
      <c r="A69" s="230" t="s">
        <v>292</v>
      </c>
      <c r="B69" s="50"/>
      <c r="C69" s="50"/>
      <c r="I69" s="34"/>
      <c r="J69" s="34"/>
      <c r="K69" s="760"/>
      <c r="L69" s="760"/>
    </row>
    <row r="70" spans="1:23" x14ac:dyDescent="0.25">
      <c r="B70" s="50"/>
      <c r="C70" s="50"/>
      <c r="I70" s="34"/>
      <c r="J70" s="34"/>
      <c r="K70" s="760"/>
      <c r="L70" s="760"/>
      <c r="O70" s="1893" t="s">
        <v>332</v>
      </c>
      <c r="P70" s="1894"/>
    </row>
    <row r="71" spans="1:23" ht="37.5" x14ac:dyDescent="0.25">
      <c r="A71" s="183" t="s">
        <v>201</v>
      </c>
      <c r="B71" s="36" t="s">
        <v>66</v>
      </c>
      <c r="C71" s="39" t="s">
        <v>51</v>
      </c>
      <c r="D71" s="870" t="s">
        <v>789</v>
      </c>
      <c r="E71" s="870" t="s">
        <v>790</v>
      </c>
      <c r="F71" s="870" t="s">
        <v>793</v>
      </c>
      <c r="G71" s="870" t="s">
        <v>791</v>
      </c>
      <c r="H71" s="870" t="s">
        <v>794</v>
      </c>
      <c r="I71" s="870" t="s">
        <v>795</v>
      </c>
      <c r="J71" s="870" t="s">
        <v>792</v>
      </c>
      <c r="K71" s="764" t="s">
        <v>185</v>
      </c>
      <c r="L71" s="764" t="s">
        <v>289</v>
      </c>
      <c r="M71" s="764" t="s">
        <v>392</v>
      </c>
      <c r="N71" s="764" t="s">
        <v>289</v>
      </c>
      <c r="O71" s="764" t="s">
        <v>330</v>
      </c>
      <c r="P71" s="694" t="s">
        <v>341</v>
      </c>
      <c r="Q71" s="764"/>
      <c r="R71" s="764"/>
      <c r="S71" s="764"/>
    </row>
    <row r="72" spans="1:23" x14ac:dyDescent="0.25">
      <c r="A72" s="185">
        <v>9257010</v>
      </c>
      <c r="B72" s="38" t="s">
        <v>67</v>
      </c>
      <c r="C72" s="39">
        <v>4</v>
      </c>
      <c r="D72" s="812">
        <f>VLOOKUP(A72,'1819 Revised Bands'!$A$117:$R$134,10,(FALSE))</f>
        <v>5.7692307692307696E-2</v>
      </c>
      <c r="E72" s="812">
        <f>VLOOKUP(A72,'1819 Revised Bands'!$A$117:$R$134,8,(FALSE))</f>
        <v>0.28846153846153844</v>
      </c>
      <c r="F72" s="812">
        <f>VLOOKUP(A72,'1819 Revised Bands'!$A$117:$R$134,14,(FALSE))</f>
        <v>9.6153846153846159E-2</v>
      </c>
      <c r="G72" s="812">
        <f>VLOOKUP(A72,'1819 Revised Bands'!$A$117:$R$134,6,(FALSE))</f>
        <v>0.11538461538461539</v>
      </c>
      <c r="H72" s="812">
        <f>VLOOKUP(A72,'1819 Revised Bands'!$A$117:$R$134,12,(FALSE))</f>
        <v>3.8461538461538464E-2</v>
      </c>
      <c r="I72" s="812">
        <f>VLOOKUP(A72,'1819 Revised Bands'!$A$117:$R$134,16,(FALSE))</f>
        <v>0.25</v>
      </c>
      <c r="J72" s="812">
        <f>VLOOKUP(A72,'1819 Revised Bands'!$A$117:$R$134,18,(FALSE))</f>
        <v>0.15384615384615385</v>
      </c>
      <c r="K72" s="524">
        <v>11</v>
      </c>
      <c r="L72" s="813">
        <f>((((K72*D72)*$G$92)+((K72*E72)*$G$94)+((K72*F72)*$G$96)+((K72*G72)*$G$98)+((K72*H72)*$G$100)+((K72*I72)*$G$102)+((K72*J72)*$G$104)))*(8/12)</f>
        <v>93290.290335716403</v>
      </c>
      <c r="M72" s="813">
        <f t="shared" ref="M72:M89" si="19">((F72*K72)*$G$106)*(8/12)</f>
        <v>1858.0128205128206</v>
      </c>
      <c r="N72" s="813">
        <f>SUM(L72:M72)</f>
        <v>95148.303156229231</v>
      </c>
      <c r="O72" s="724">
        <f>(K72*(8/12))*10000</f>
        <v>73333.333333333328</v>
      </c>
      <c r="P72" s="724">
        <f>(VLOOKUP(A72,'1819 Funding Detail'!$A$4:$AN$23,40,FALSE)*8/12)*K72</f>
        <v>80970.448989562545</v>
      </c>
      <c r="Q72" s="80"/>
      <c r="R72" s="42"/>
      <c r="S72" s="168"/>
      <c r="T72" s="348"/>
      <c r="U72" s="42">
        <f>SUM(J72*K72*$G$104)*8/12</f>
        <v>25399.000852691152</v>
      </c>
      <c r="V72" s="626" t="s">
        <v>402</v>
      </c>
      <c r="W72" s="625" t="s">
        <v>594</v>
      </c>
    </row>
    <row r="73" spans="1:23" x14ac:dyDescent="0.25">
      <c r="A73" s="185">
        <v>9257005</v>
      </c>
      <c r="B73" s="38" t="s">
        <v>68</v>
      </c>
      <c r="C73" s="39">
        <v>4</v>
      </c>
      <c r="D73" s="812">
        <f>VLOOKUP(A73,'1819 Revised Bands'!$A$117:$R$134,10,(FALSE))</f>
        <v>9.3333333333333338E-2</v>
      </c>
      <c r="E73" s="812">
        <f>VLOOKUP(A73,'1819 Revised Bands'!$A$117:$R$134,8,(FALSE))</f>
        <v>0.22666666666666666</v>
      </c>
      <c r="F73" s="812">
        <f>VLOOKUP(A73,'1819 Revised Bands'!$A$117:$R$134,14,(FALSE))</f>
        <v>0.16</v>
      </c>
      <c r="G73" s="812">
        <f>VLOOKUP(A73,'1819 Revised Bands'!$A$117:$R$134,6,(FALSE))</f>
        <v>0.13333333333333333</v>
      </c>
      <c r="H73" s="812">
        <f>VLOOKUP(A73,'1819 Revised Bands'!$A$117:$R$134,12,(FALSE))</f>
        <v>9.3333333333333338E-2</v>
      </c>
      <c r="I73" s="812">
        <f>VLOOKUP(A73,'1819 Revised Bands'!$A$117:$R$134,16,(FALSE))</f>
        <v>0.2</v>
      </c>
      <c r="J73" s="812">
        <f>VLOOKUP(A73,'1819 Revised Bands'!$A$117:$R$134,18,(FALSE))</f>
        <v>9.3333333333333338E-2</v>
      </c>
      <c r="K73" s="524">
        <v>29</v>
      </c>
      <c r="L73" s="813">
        <f t="shared" ref="L73:L89" si="20">((((K73*D73)*$G$92)+((K73*E73)*$G$94)+((K73*F73)*$G$96)+((K73*G73)*$G$98)+((K73*H73)*$G$100)+((K73*I73)*$G$102)+((K73*J73)*$G$104)))*(8/12)</f>
        <v>234644.30521552023</v>
      </c>
      <c r="M73" s="813">
        <f t="shared" si="19"/>
        <v>8150.9333333333325</v>
      </c>
      <c r="N73" s="813">
        <f>SUM(L73:M73)</f>
        <v>242795.23854885355</v>
      </c>
      <c r="O73" s="724">
        <f t="shared" ref="O73:O89" si="21">(K73*(8/12))*10000</f>
        <v>193333.33333333331</v>
      </c>
      <c r="P73" s="724">
        <f>(VLOOKUP(A73,'1819 Funding Detail'!$A$4:$AN$23,40,FALSE)*8/12)*K73</f>
        <v>168707.76489661357</v>
      </c>
      <c r="Q73" s="80"/>
      <c r="R73" s="42"/>
      <c r="S73" s="168"/>
      <c r="T73" s="348"/>
      <c r="U73" s="42">
        <f t="shared" ref="U73:U89" si="22">SUM(J73*K73*$G$104)*8/12</f>
        <v>40623.008030455727</v>
      </c>
    </row>
    <row r="74" spans="1:23" x14ac:dyDescent="0.25">
      <c r="A74" s="185">
        <v>9257025</v>
      </c>
      <c r="B74" s="38" t="s">
        <v>69</v>
      </c>
      <c r="C74" s="39">
        <v>4</v>
      </c>
      <c r="D74" s="812">
        <f>VLOOKUP(A74,'1819 Revised Bands'!$A$117:$R$134,10,(FALSE))</f>
        <v>0.17910447761194029</v>
      </c>
      <c r="E74" s="812">
        <f>VLOOKUP(A74,'1819 Revised Bands'!$A$117:$R$134,8,(FALSE))</f>
        <v>0.26865671641791045</v>
      </c>
      <c r="F74" s="812">
        <f>VLOOKUP(A74,'1819 Revised Bands'!$A$117:$R$134,14,(FALSE))</f>
        <v>0.14925373134328357</v>
      </c>
      <c r="G74" s="812">
        <f>VLOOKUP(A74,'1819 Revised Bands'!$A$117:$R$134,6,(FALSE))</f>
        <v>4.4776119402985072E-2</v>
      </c>
      <c r="H74" s="812">
        <f>VLOOKUP(A74,'1819 Revised Bands'!$A$117:$R$134,12,(FALSE))</f>
        <v>0.14925373134328357</v>
      </c>
      <c r="I74" s="812">
        <f>VLOOKUP(A74,'1819 Revised Bands'!$A$117:$R$134,16,(FALSE))</f>
        <v>0.11940298507462686</v>
      </c>
      <c r="J74" s="812">
        <f>VLOOKUP(A74,'1819 Revised Bands'!$A$117:$R$134,18,(FALSE))</f>
        <v>8.9552238805970144E-2</v>
      </c>
      <c r="K74" s="524">
        <v>19</v>
      </c>
      <c r="L74" s="813">
        <f t="shared" si="20"/>
        <v>140013.22118090178</v>
      </c>
      <c r="M74" s="813">
        <f t="shared" si="19"/>
        <v>4981.5920398009948</v>
      </c>
      <c r="N74" s="813">
        <f t="shared" ref="N74:N89" si="23">SUM(L74:M74)</f>
        <v>144994.81322070278</v>
      </c>
      <c r="O74" s="724">
        <f t="shared" si="21"/>
        <v>126666.66666666666</v>
      </c>
      <c r="P74" s="724">
        <f>(VLOOKUP(A74,'1819 Funding Detail'!$A$4:$AN$23,40,FALSE)*8/12)*K74</f>
        <v>105235.58232229804</v>
      </c>
      <c r="Q74" s="80"/>
      <c r="R74" s="42"/>
      <c r="S74" s="168"/>
      <c r="T74" s="348"/>
      <c r="U74" s="42">
        <f t="shared" si="22"/>
        <v>25536.851603587707</v>
      </c>
    </row>
    <row r="75" spans="1:23" x14ac:dyDescent="0.25">
      <c r="A75" s="185">
        <v>9257011</v>
      </c>
      <c r="B75" s="38" t="s">
        <v>70</v>
      </c>
      <c r="C75" s="39">
        <v>4</v>
      </c>
      <c r="D75" s="812">
        <f>VLOOKUP(A75,'1819 Revised Bands'!$A$117:$R$134,10,(FALSE))</f>
        <v>0.1111111111111111</v>
      </c>
      <c r="E75" s="812">
        <f>VLOOKUP(A75,'1819 Revised Bands'!$A$117:$R$134,8,(FALSE))</f>
        <v>0.31481481481481483</v>
      </c>
      <c r="F75" s="812">
        <f>VLOOKUP(A75,'1819 Revised Bands'!$A$117:$R$134,14,(FALSE))</f>
        <v>5.5555555555555552E-2</v>
      </c>
      <c r="G75" s="812">
        <f>VLOOKUP(A75,'1819 Revised Bands'!$A$117:$R$134,6,(FALSE))</f>
        <v>0.12962962962962962</v>
      </c>
      <c r="H75" s="812">
        <f>VLOOKUP(A75,'1819 Revised Bands'!$A$117:$R$134,12,(FALSE))</f>
        <v>0.14814814814814814</v>
      </c>
      <c r="I75" s="812">
        <f>VLOOKUP(A75,'1819 Revised Bands'!$A$117:$R$134,16,(FALSE))</f>
        <v>0.12962962962962962</v>
      </c>
      <c r="J75" s="812">
        <f>VLOOKUP(A75,'1819 Revised Bands'!$A$117:$R$134,18,(FALSE))</f>
        <v>0.1111111111111111</v>
      </c>
      <c r="K75" s="524">
        <v>15</v>
      </c>
      <c r="L75" s="813">
        <f t="shared" si="20"/>
        <v>117335.04082413107</v>
      </c>
      <c r="M75" s="813">
        <f t="shared" si="19"/>
        <v>1463.8888888888887</v>
      </c>
      <c r="N75" s="813">
        <f t="shared" si="23"/>
        <v>118798.92971301996</v>
      </c>
      <c r="O75" s="724">
        <f t="shared" si="21"/>
        <v>100000</v>
      </c>
      <c r="P75" s="724">
        <f>(VLOOKUP(A75,'1819 Funding Detail'!$A$4:$AN$23,40,FALSE)*8/12)*K75</f>
        <v>93623.710554819685</v>
      </c>
      <c r="Q75" s="80"/>
      <c r="R75" s="42"/>
      <c r="S75" s="168"/>
      <c r="T75" s="348"/>
      <c r="U75" s="42">
        <f t="shared" si="22"/>
        <v>25014.167506438247</v>
      </c>
    </row>
    <row r="76" spans="1:23" x14ac:dyDescent="0.25">
      <c r="A76" s="185">
        <v>9257024</v>
      </c>
      <c r="B76" s="38" t="s">
        <v>71</v>
      </c>
      <c r="C76" s="39">
        <v>3</v>
      </c>
      <c r="D76" s="812">
        <f>VLOOKUP(A76,'1819 Revised Bands'!$A$117:$R$134,10,(FALSE))</f>
        <v>0.11594202898550725</v>
      </c>
      <c r="E76" s="812">
        <f>VLOOKUP(A76,'1819 Revised Bands'!$A$117:$R$134,8,(FALSE))</f>
        <v>0.34782608695652173</v>
      </c>
      <c r="F76" s="812">
        <f>VLOOKUP(A76,'1819 Revised Bands'!$A$117:$R$134,14,(FALSE))</f>
        <v>5.7971014492753624E-2</v>
      </c>
      <c r="G76" s="812">
        <f>VLOOKUP(A76,'1819 Revised Bands'!$A$117:$R$134,6,(FALSE))</f>
        <v>8.6956521739130432E-2</v>
      </c>
      <c r="H76" s="812">
        <f>VLOOKUP(A76,'1819 Revised Bands'!$A$117:$R$134,12,(FALSE))</f>
        <v>0.15942028985507245</v>
      </c>
      <c r="I76" s="812">
        <f>VLOOKUP(A76,'1819 Revised Bands'!$A$117:$R$134,16,(FALSE))</f>
        <v>0.10144927536231885</v>
      </c>
      <c r="J76" s="812">
        <f>VLOOKUP(A76,'1819 Revised Bands'!$A$117:$R$134,18,(FALSE))</f>
        <v>0.13043478260869565</v>
      </c>
      <c r="K76" s="524">
        <v>11</v>
      </c>
      <c r="L76" s="813">
        <f t="shared" si="20"/>
        <v>84992.77843700684</v>
      </c>
      <c r="M76" s="813">
        <f t="shared" si="19"/>
        <v>1120.1932367149759</v>
      </c>
      <c r="N76" s="813">
        <f t="shared" si="23"/>
        <v>86112.971673721811</v>
      </c>
      <c r="O76" s="724">
        <f t="shared" si="21"/>
        <v>73333.333333333328</v>
      </c>
      <c r="P76" s="724">
        <f>(VLOOKUP(A76,'1819 Funding Detail'!$A$4:$AN$23,40,FALSE)*8/12)*K76</f>
        <v>57663.2298771368</v>
      </c>
      <c r="Q76" s="80"/>
      <c r="R76" s="42"/>
      <c r="S76" s="168"/>
      <c r="T76" s="348"/>
      <c r="U76" s="42">
        <f t="shared" si="22"/>
        <v>21533.935505542493</v>
      </c>
    </row>
    <row r="77" spans="1:23" x14ac:dyDescent="0.25">
      <c r="A77" s="185">
        <v>9257031</v>
      </c>
      <c r="B77" s="38" t="s">
        <v>98</v>
      </c>
      <c r="C77" s="39">
        <v>4</v>
      </c>
      <c r="D77" s="812">
        <f>VLOOKUP(A77,'1819 Revised Bands'!$A$117:$R$134,10,(FALSE))</f>
        <v>0</v>
      </c>
      <c r="E77" s="812">
        <f>VLOOKUP(A77,'1819 Revised Bands'!$A$117:$R$134,8,(FALSE))</f>
        <v>0</v>
      </c>
      <c r="F77" s="812">
        <f>VLOOKUP(A77,'1819 Revised Bands'!$A$117:$R$134,14,(FALSE))</f>
        <v>1</v>
      </c>
      <c r="G77" s="812">
        <f>VLOOKUP(A77,'1819 Revised Bands'!$A$117:$R$134,6,(FALSE))</f>
        <v>0</v>
      </c>
      <c r="H77" s="812">
        <f>VLOOKUP(A77,'1819 Revised Bands'!$A$117:$R$134,12,(FALSE))</f>
        <v>0</v>
      </c>
      <c r="I77" s="812">
        <f>VLOOKUP(A77,'1819 Revised Bands'!$A$117:$R$134,16,(FALSE))</f>
        <v>0</v>
      </c>
      <c r="J77" s="812">
        <f>VLOOKUP(A77,'1819 Revised Bands'!$A$117:$R$134,18,(FALSE))</f>
        <v>0</v>
      </c>
      <c r="K77" s="524">
        <v>0</v>
      </c>
      <c r="L77" s="813">
        <f t="shared" si="20"/>
        <v>0</v>
      </c>
      <c r="M77" s="813">
        <f t="shared" si="19"/>
        <v>0</v>
      </c>
      <c r="N77" s="813">
        <f t="shared" si="23"/>
        <v>0</v>
      </c>
      <c r="O77" s="724">
        <f t="shared" si="21"/>
        <v>0</v>
      </c>
      <c r="P77" s="724">
        <f>(VLOOKUP(A77,'1819 Funding Detail'!$A$4:$AN$23,40,FALSE)*8/12)*K77</f>
        <v>0</v>
      </c>
      <c r="Q77" s="80"/>
      <c r="R77" s="42"/>
      <c r="S77" s="168"/>
      <c r="T77" s="348"/>
      <c r="U77" s="42">
        <f t="shared" si="22"/>
        <v>0</v>
      </c>
    </row>
    <row r="78" spans="1:23" x14ac:dyDescent="0.25">
      <c r="A78" s="185">
        <v>9257033</v>
      </c>
      <c r="B78" s="38" t="s">
        <v>72</v>
      </c>
      <c r="C78" s="39">
        <v>3</v>
      </c>
      <c r="D78" s="812">
        <f>VLOOKUP(A78,'1819 Revised Bands'!$A$117:$R$134,10,(FALSE))</f>
        <v>0.31395348837209303</v>
      </c>
      <c r="E78" s="812">
        <f>VLOOKUP(A78,'1819 Revised Bands'!$A$117:$R$134,8,(FALSE))</f>
        <v>0.19767441860465115</v>
      </c>
      <c r="F78" s="812">
        <f>VLOOKUP(A78,'1819 Revised Bands'!$A$117:$R$134,14,(FALSE))</f>
        <v>0.22093023255813954</v>
      </c>
      <c r="G78" s="812">
        <f>VLOOKUP(A78,'1819 Revised Bands'!$A$117:$R$134,6,(FALSE))</f>
        <v>6.9767441860465115E-2</v>
      </c>
      <c r="H78" s="812">
        <f>VLOOKUP(A78,'1819 Revised Bands'!$A$117:$R$134,12,(FALSE))</f>
        <v>0.10465116279069768</v>
      </c>
      <c r="I78" s="812">
        <f>VLOOKUP(A78,'1819 Revised Bands'!$A$117:$R$134,16,(FALSE))</f>
        <v>9.3023255813953487E-2</v>
      </c>
      <c r="J78" s="812">
        <f>VLOOKUP(A78,'1819 Revised Bands'!$A$117:$R$134,18,(FALSE))</f>
        <v>0</v>
      </c>
      <c r="K78" s="524">
        <v>0</v>
      </c>
      <c r="L78" s="813">
        <f t="shared" si="20"/>
        <v>0</v>
      </c>
      <c r="M78" s="813">
        <f t="shared" si="19"/>
        <v>0</v>
      </c>
      <c r="N78" s="813">
        <f t="shared" si="23"/>
        <v>0</v>
      </c>
      <c r="O78" s="724">
        <f t="shared" si="21"/>
        <v>0</v>
      </c>
      <c r="P78" s="724">
        <f>(VLOOKUP(A78,'1819 Funding Detail'!$A$4:$AN$23,40,FALSE)*8/12)*K78</f>
        <v>0</v>
      </c>
      <c r="Q78" s="80"/>
      <c r="R78" s="42"/>
      <c r="S78" s="168"/>
      <c r="T78" s="348"/>
      <c r="U78" s="42">
        <f t="shared" si="22"/>
        <v>0</v>
      </c>
    </row>
    <row r="79" spans="1:23" x14ac:dyDescent="0.25">
      <c r="A79" s="185">
        <v>9257008</v>
      </c>
      <c r="B79" s="38" t="s">
        <v>73</v>
      </c>
      <c r="C79" s="39">
        <v>4</v>
      </c>
      <c r="D79" s="812">
        <f>VLOOKUP(A79,'1819 Revised Bands'!$A$117:$R$134,10,(FALSE))</f>
        <v>4.3956043956043959E-2</v>
      </c>
      <c r="E79" s="812">
        <f>VLOOKUP(A79,'1819 Revised Bands'!$A$117:$R$134,8,(FALSE))</f>
        <v>0.61538461538461542</v>
      </c>
      <c r="F79" s="812">
        <f>VLOOKUP(A79,'1819 Revised Bands'!$A$117:$R$134,14,(FALSE))</f>
        <v>0.15384615384615385</v>
      </c>
      <c r="G79" s="812">
        <f>VLOOKUP(A79,'1819 Revised Bands'!$A$117:$R$134,6,(FALSE))</f>
        <v>2.197802197802198E-2</v>
      </c>
      <c r="H79" s="812">
        <f>VLOOKUP(A79,'1819 Revised Bands'!$A$117:$R$134,12,(FALSE))</f>
        <v>2.197802197802198E-2</v>
      </c>
      <c r="I79" s="812">
        <f>VLOOKUP(A79,'1819 Revised Bands'!$A$117:$R$134,16,(FALSE))</f>
        <v>0.14285714285714285</v>
      </c>
      <c r="J79" s="812">
        <f>VLOOKUP(A79,'1819 Revised Bands'!$A$117:$R$134,18,(FALSE))</f>
        <v>0</v>
      </c>
      <c r="K79" s="524">
        <v>0</v>
      </c>
      <c r="L79" s="813">
        <f t="shared" si="20"/>
        <v>0</v>
      </c>
      <c r="M79" s="813">
        <f t="shared" si="19"/>
        <v>0</v>
      </c>
      <c r="N79" s="813">
        <f t="shared" si="23"/>
        <v>0</v>
      </c>
      <c r="O79" s="724">
        <f t="shared" si="21"/>
        <v>0</v>
      </c>
      <c r="P79" s="724">
        <f>(VLOOKUP(A79,'1819 Funding Detail'!$A$4:$AN$23,40,FALSE)*8/12)*K79</f>
        <v>0</v>
      </c>
      <c r="Q79" s="80"/>
      <c r="R79" s="42"/>
      <c r="S79" s="168"/>
      <c r="T79" s="348"/>
      <c r="U79" s="42">
        <f t="shared" si="22"/>
        <v>0</v>
      </c>
    </row>
    <row r="80" spans="1:23" x14ac:dyDescent="0.25">
      <c r="A80" s="185">
        <v>9257034</v>
      </c>
      <c r="B80" s="38" t="s">
        <v>74</v>
      </c>
      <c r="C80" s="39">
        <v>5</v>
      </c>
      <c r="D80" s="812">
        <f>VLOOKUP(A80,'1819 Revised Bands'!$A$117:$R$134,10,(FALSE))</f>
        <v>0.42105263157894735</v>
      </c>
      <c r="E80" s="812">
        <f>VLOOKUP(A80,'1819 Revised Bands'!$A$117:$R$134,8,(FALSE))</f>
        <v>0.16666666666666666</v>
      </c>
      <c r="F80" s="812">
        <f>VLOOKUP(A80,'1819 Revised Bands'!$A$117:$R$134,14,(FALSE))</f>
        <v>0.26315789473684209</v>
      </c>
      <c r="G80" s="812">
        <f>VLOOKUP(A80,'1819 Revised Bands'!$A$117:$R$134,6,(FALSE))</f>
        <v>4.3859649122807015E-2</v>
      </c>
      <c r="H80" s="812">
        <f>VLOOKUP(A80,'1819 Revised Bands'!$A$117:$R$134,12,(FALSE))</f>
        <v>3.5087719298245612E-2</v>
      </c>
      <c r="I80" s="812">
        <f>VLOOKUP(A80,'1819 Revised Bands'!$A$117:$R$134,16,(FALSE))</f>
        <v>4.3859649122807015E-2</v>
      </c>
      <c r="J80" s="812">
        <f>VLOOKUP(A80,'1819 Revised Bands'!$A$117:$R$134,18,(FALSE))</f>
        <v>2.6315789473684209E-2</v>
      </c>
      <c r="K80" s="524">
        <v>33</v>
      </c>
      <c r="L80" s="813">
        <f t="shared" si="20"/>
        <v>195140.1090945646</v>
      </c>
      <c r="M80" s="813">
        <f t="shared" si="19"/>
        <v>15255.263157894737</v>
      </c>
      <c r="N80" s="813">
        <f t="shared" si="23"/>
        <v>210395.37225245935</v>
      </c>
      <c r="O80" s="724">
        <f t="shared" si="21"/>
        <v>220000</v>
      </c>
      <c r="P80" s="724">
        <f>(VLOOKUP(A80,'1819 Funding Detail'!$A$4:$AN$23,40,FALSE)*8/12)*K80</f>
        <v>86036.797252459335</v>
      </c>
      <c r="Q80" s="80"/>
      <c r="R80" s="42"/>
      <c r="S80" s="168"/>
      <c r="T80" s="348"/>
      <c r="U80" s="42">
        <f t="shared" si="22"/>
        <v>13033.697805986245</v>
      </c>
    </row>
    <row r="81" spans="1:21" x14ac:dyDescent="0.25">
      <c r="A81" s="185">
        <v>9257002</v>
      </c>
      <c r="B81" s="38" t="s">
        <v>75</v>
      </c>
      <c r="C81" s="39">
        <v>5</v>
      </c>
      <c r="D81" s="812">
        <f>VLOOKUP(A81,'1819 Revised Bands'!$A$117:$R$134,10,(FALSE))</f>
        <v>0.53237410071942448</v>
      </c>
      <c r="E81" s="812">
        <f>VLOOKUP(A81,'1819 Revised Bands'!$A$117:$R$134,8,(FALSE))</f>
        <v>0.12949640287769784</v>
      </c>
      <c r="F81" s="812">
        <f>VLOOKUP(A81,'1819 Revised Bands'!$A$117:$R$134,14,(FALSE))</f>
        <v>0.18705035971223022</v>
      </c>
      <c r="G81" s="812">
        <f>VLOOKUP(A81,'1819 Revised Bands'!$A$117:$R$134,6,(FALSE))</f>
        <v>7.1942446043165471E-3</v>
      </c>
      <c r="H81" s="812">
        <f>VLOOKUP(A81,'1819 Revised Bands'!$A$117:$R$134,12,(FALSE))</f>
        <v>6.4748201438848921E-2</v>
      </c>
      <c r="I81" s="812">
        <f>VLOOKUP(A81,'1819 Revised Bands'!$A$117:$R$134,16,(FALSE))</f>
        <v>7.1942446043165464E-2</v>
      </c>
      <c r="J81" s="812">
        <f>VLOOKUP(A81,'1819 Revised Bands'!$A$117:$R$134,18,(FALSE))</f>
        <v>7.1942446043165471E-3</v>
      </c>
      <c r="K81" s="524">
        <v>0</v>
      </c>
      <c r="L81" s="813">
        <f t="shared" si="20"/>
        <v>0</v>
      </c>
      <c r="M81" s="813">
        <f t="shared" si="19"/>
        <v>0</v>
      </c>
      <c r="N81" s="813">
        <f t="shared" si="23"/>
        <v>0</v>
      </c>
      <c r="O81" s="724">
        <f t="shared" si="21"/>
        <v>0</v>
      </c>
      <c r="P81" s="724">
        <f>(VLOOKUP(A81,'1819 Funding Detail'!$A$4:$AN$23,40,FALSE)*8/12)*K81</f>
        <v>0</v>
      </c>
      <c r="Q81" s="80"/>
      <c r="R81" s="42"/>
      <c r="S81" s="168"/>
      <c r="T81" s="348"/>
      <c r="U81" s="42">
        <f t="shared" si="22"/>
        <v>0</v>
      </c>
    </row>
    <row r="82" spans="1:21" x14ac:dyDescent="0.25">
      <c r="A82" s="185">
        <v>9257009</v>
      </c>
      <c r="B82" s="38" t="s">
        <v>76</v>
      </c>
      <c r="C82" s="39">
        <v>4</v>
      </c>
      <c r="D82" s="812">
        <f>VLOOKUP(A82,'1819 Revised Bands'!$A$117:$R$134,10,(FALSE))</f>
        <v>0.1484375</v>
      </c>
      <c r="E82" s="812">
        <f>VLOOKUP(A82,'1819 Revised Bands'!$A$117:$R$134,8,(FALSE))</f>
        <v>0.46875</v>
      </c>
      <c r="F82" s="812">
        <f>VLOOKUP(A82,'1819 Revised Bands'!$A$117:$R$134,14,(FALSE))</f>
        <v>0.125</v>
      </c>
      <c r="G82" s="812">
        <f>VLOOKUP(A82,'1819 Revised Bands'!$A$117:$R$134,6,(FALSE))</f>
        <v>0</v>
      </c>
      <c r="H82" s="812">
        <f>VLOOKUP(A82,'1819 Revised Bands'!$A$117:$R$134,12,(FALSE))</f>
        <v>3.125E-2</v>
      </c>
      <c r="I82" s="812">
        <f>VLOOKUP(A82,'1819 Revised Bands'!$A$117:$R$134,16,(FALSE))</f>
        <v>0.2265625</v>
      </c>
      <c r="J82" s="812">
        <f>VLOOKUP(A82,'1819 Revised Bands'!$A$117:$R$134,18,(FALSE))</f>
        <v>0</v>
      </c>
      <c r="K82" s="524">
        <v>0</v>
      </c>
      <c r="L82" s="813">
        <f t="shared" si="20"/>
        <v>0</v>
      </c>
      <c r="M82" s="813">
        <f t="shared" si="19"/>
        <v>0</v>
      </c>
      <c r="N82" s="813">
        <f t="shared" si="23"/>
        <v>0</v>
      </c>
      <c r="O82" s="724">
        <f t="shared" si="21"/>
        <v>0</v>
      </c>
      <c r="P82" s="724">
        <f>(VLOOKUP(A82,'1819 Funding Detail'!$A$4:$AN$23,40,FALSE)*8/12)*K82</f>
        <v>0</v>
      </c>
      <c r="Q82" s="80"/>
      <c r="R82" s="42"/>
      <c r="S82" s="168"/>
      <c r="T82" s="348"/>
      <c r="U82" s="42">
        <f t="shared" si="22"/>
        <v>0</v>
      </c>
    </row>
    <row r="83" spans="1:21" x14ac:dyDescent="0.25">
      <c r="A83" s="185">
        <v>9257029</v>
      </c>
      <c r="B83" s="38" t="s">
        <v>99</v>
      </c>
      <c r="C83" s="39">
        <v>3</v>
      </c>
      <c r="D83" s="812">
        <f>VLOOKUP(A83,'1819 Revised Bands'!$A$117:$R$134,10,(FALSE))</f>
        <v>0</v>
      </c>
      <c r="E83" s="812">
        <f>VLOOKUP(A83,'1819 Revised Bands'!$A$117:$R$134,8,(FALSE))</f>
        <v>0</v>
      </c>
      <c r="F83" s="812">
        <f>VLOOKUP(A83,'1819 Revised Bands'!$A$117:$R$134,14,(FALSE))</f>
        <v>1</v>
      </c>
      <c r="G83" s="812">
        <f>VLOOKUP(A83,'1819 Revised Bands'!$A$117:$R$134,6,(FALSE))</f>
        <v>0</v>
      </c>
      <c r="H83" s="812">
        <f>VLOOKUP(A83,'1819 Revised Bands'!$A$117:$R$134,12,(FALSE))</f>
        <v>0</v>
      </c>
      <c r="I83" s="812">
        <f>VLOOKUP(A83,'1819 Revised Bands'!$A$117:$R$134,16,(FALSE))</f>
        <v>0</v>
      </c>
      <c r="J83" s="812">
        <f>VLOOKUP(A83,'1819 Revised Bands'!$A$117:$R$134,18,(FALSE))</f>
        <v>0</v>
      </c>
      <c r="K83" s="524">
        <v>0</v>
      </c>
      <c r="L83" s="813">
        <f t="shared" si="20"/>
        <v>0</v>
      </c>
      <c r="M83" s="813">
        <f t="shared" si="19"/>
        <v>0</v>
      </c>
      <c r="N83" s="813">
        <f t="shared" si="23"/>
        <v>0</v>
      </c>
      <c r="O83" s="724">
        <f t="shared" si="21"/>
        <v>0</v>
      </c>
      <c r="P83" s="724">
        <f>(VLOOKUP(A83,'1819 Funding Detail'!$A$4:$AN$23,40,FALSE)*8/12)*K83</f>
        <v>0</v>
      </c>
      <c r="Q83" s="80"/>
      <c r="R83" s="42"/>
      <c r="S83" s="168"/>
      <c r="T83" s="348"/>
      <c r="U83" s="42">
        <f t="shared" si="22"/>
        <v>0</v>
      </c>
    </row>
    <row r="84" spans="1:21" x14ac:dyDescent="0.25">
      <c r="A84" s="185">
        <v>9257032</v>
      </c>
      <c r="B84" s="38" t="s">
        <v>100</v>
      </c>
      <c r="C84" s="39">
        <v>4</v>
      </c>
      <c r="D84" s="812">
        <f>VLOOKUP(A84,'1819 Revised Bands'!$A$117:$R$134,10,(FALSE))</f>
        <v>0</v>
      </c>
      <c r="E84" s="812">
        <f>VLOOKUP(A84,'1819 Revised Bands'!$A$117:$R$134,8,(FALSE))</f>
        <v>0</v>
      </c>
      <c r="F84" s="812">
        <f>VLOOKUP(A84,'1819 Revised Bands'!$A$117:$R$134,14,(FALSE))</f>
        <v>1</v>
      </c>
      <c r="G84" s="812">
        <f>VLOOKUP(A84,'1819 Revised Bands'!$A$117:$R$134,6,(FALSE))</f>
        <v>0</v>
      </c>
      <c r="H84" s="812">
        <f>VLOOKUP(A84,'1819 Revised Bands'!$A$117:$R$134,12,(FALSE))</f>
        <v>0</v>
      </c>
      <c r="I84" s="812">
        <f>VLOOKUP(A84,'1819 Revised Bands'!$A$117:$R$134,16,(FALSE))</f>
        <v>0</v>
      </c>
      <c r="J84" s="812">
        <f>VLOOKUP(A84,'1819 Revised Bands'!$A$117:$R$134,18,(FALSE))</f>
        <v>0</v>
      </c>
      <c r="K84" s="524">
        <v>0</v>
      </c>
      <c r="L84" s="813">
        <f t="shared" si="20"/>
        <v>0</v>
      </c>
      <c r="M84" s="813">
        <f t="shared" si="19"/>
        <v>0</v>
      </c>
      <c r="N84" s="813">
        <f t="shared" si="23"/>
        <v>0</v>
      </c>
      <c r="O84" s="724">
        <f t="shared" si="21"/>
        <v>0</v>
      </c>
      <c r="P84" s="724">
        <f>(VLOOKUP(A84,'1819 Funding Detail'!$A$4:$AN$23,40,FALSE)*8/12)*K84</f>
        <v>0</v>
      </c>
      <c r="Q84" s="80"/>
      <c r="R84" s="42"/>
      <c r="S84" s="168"/>
      <c r="T84" s="348"/>
      <c r="U84" s="42">
        <f t="shared" si="22"/>
        <v>0</v>
      </c>
    </row>
    <row r="85" spans="1:21" x14ac:dyDescent="0.25">
      <c r="A85" s="185">
        <v>9257030</v>
      </c>
      <c r="B85" s="38" t="s">
        <v>92</v>
      </c>
      <c r="C85" s="39">
        <v>4</v>
      </c>
      <c r="D85" s="812">
        <f>VLOOKUP(A85,'1819 Revised Bands'!$A$117:$R$134,10,(FALSE))</f>
        <v>0</v>
      </c>
      <c r="E85" s="812">
        <f>VLOOKUP(A85,'1819 Revised Bands'!$A$117:$R$134,8,(FALSE))</f>
        <v>0</v>
      </c>
      <c r="F85" s="812">
        <f>VLOOKUP(A85,'1819 Revised Bands'!$A$117:$R$134,14,(FALSE))</f>
        <v>1</v>
      </c>
      <c r="G85" s="812">
        <f>VLOOKUP(A85,'1819 Revised Bands'!$A$117:$R$134,6,(FALSE))</f>
        <v>0</v>
      </c>
      <c r="H85" s="812">
        <f>VLOOKUP(A85,'1819 Revised Bands'!$A$117:$R$134,12,(FALSE))</f>
        <v>0</v>
      </c>
      <c r="I85" s="812">
        <f>VLOOKUP(A85,'1819 Revised Bands'!$A$117:$R$134,16,(FALSE))</f>
        <v>0</v>
      </c>
      <c r="J85" s="812">
        <f>VLOOKUP(A85,'1819 Revised Bands'!$A$117:$R$134,18,(FALSE))</f>
        <v>0</v>
      </c>
      <c r="K85" s="524">
        <v>0</v>
      </c>
      <c r="L85" s="813">
        <f t="shared" si="20"/>
        <v>0</v>
      </c>
      <c r="M85" s="813">
        <f t="shared" si="19"/>
        <v>0</v>
      </c>
      <c r="N85" s="813">
        <f t="shared" si="23"/>
        <v>0</v>
      </c>
      <c r="O85" s="724">
        <f t="shared" si="21"/>
        <v>0</v>
      </c>
      <c r="P85" s="724">
        <f>(VLOOKUP(A85,'1819 Funding Detail'!$A$4:$AN$23,40,FALSE)*8/12)*K85</f>
        <v>0</v>
      </c>
      <c r="Q85" s="80"/>
      <c r="R85" s="42"/>
      <c r="S85" s="168"/>
      <c r="T85" s="348"/>
      <c r="U85" s="42">
        <f t="shared" si="22"/>
        <v>0</v>
      </c>
    </row>
    <row r="86" spans="1:21" x14ac:dyDescent="0.25">
      <c r="A86" s="185">
        <v>9257028</v>
      </c>
      <c r="B86" s="38" t="s">
        <v>77</v>
      </c>
      <c r="C86" s="39">
        <v>5</v>
      </c>
      <c r="D86" s="812">
        <f>VLOOKUP(A86,'1819 Revised Bands'!$A$117:$R$134,10,(FALSE))</f>
        <v>6.3291139240506333E-2</v>
      </c>
      <c r="E86" s="812">
        <f>VLOOKUP(A86,'1819 Revised Bands'!$A$117:$R$134,8,(FALSE))</f>
        <v>0.29113924050632911</v>
      </c>
      <c r="F86" s="812">
        <f>VLOOKUP(A86,'1819 Revised Bands'!$A$117:$R$134,14,(FALSE))</f>
        <v>3.7974683544303799E-2</v>
      </c>
      <c r="G86" s="812">
        <f>VLOOKUP(A86,'1819 Revised Bands'!$A$117:$R$134,6,(FALSE))</f>
        <v>0.10126582278481013</v>
      </c>
      <c r="H86" s="812">
        <f>VLOOKUP(A86,'1819 Revised Bands'!$A$117:$R$134,12,(FALSE))</f>
        <v>0.189873417721519</v>
      </c>
      <c r="I86" s="812">
        <f>VLOOKUP(A86,'1819 Revised Bands'!$A$117:$R$134,16,(FALSE))</f>
        <v>0.12658227848101267</v>
      </c>
      <c r="J86" s="812">
        <f>VLOOKUP(A86,'1819 Revised Bands'!$A$117:$R$134,18,(FALSE))</f>
        <v>0.189873417721519</v>
      </c>
      <c r="K86" s="524">
        <v>14</v>
      </c>
      <c r="L86" s="813">
        <f t="shared" si="20"/>
        <v>121465.9423486329</v>
      </c>
      <c r="M86" s="813">
        <f t="shared" si="19"/>
        <v>933.92405063291153</v>
      </c>
      <c r="N86" s="813">
        <f t="shared" si="23"/>
        <v>122399.86639926581</v>
      </c>
      <c r="O86" s="724">
        <f t="shared" si="21"/>
        <v>93333.333333333328</v>
      </c>
      <c r="P86" s="724">
        <f>(VLOOKUP(A86,'1819 Funding Detail'!$A$4:$AN$23,40,FALSE)*8/12)*K86</f>
        <v>85611.864716826283</v>
      </c>
      <c r="Q86" s="80"/>
      <c r="R86" s="42"/>
      <c r="S86" s="168"/>
      <c r="T86" s="348"/>
      <c r="U86" s="42">
        <f t="shared" si="22"/>
        <v>39896.013997610375</v>
      </c>
    </row>
    <row r="87" spans="1:21" x14ac:dyDescent="0.25">
      <c r="A87" s="185">
        <v>9257021</v>
      </c>
      <c r="B87" s="38" t="s">
        <v>78</v>
      </c>
      <c r="C87" s="39">
        <v>5</v>
      </c>
      <c r="D87" s="812">
        <f>VLOOKUP(A87,'1819 Revised Bands'!$A$117:$R$134,10,(FALSE))</f>
        <v>0.29677419354838708</v>
      </c>
      <c r="E87" s="812">
        <f>VLOOKUP(A87,'1819 Revised Bands'!$A$117:$R$134,8,(FALSE))</f>
        <v>0.29677419354838708</v>
      </c>
      <c r="F87" s="812">
        <f>VLOOKUP(A87,'1819 Revised Bands'!$A$117:$R$134,14,(FALSE))</f>
        <v>0.12258064516129032</v>
      </c>
      <c r="G87" s="812">
        <f>VLOOKUP(A87,'1819 Revised Bands'!$A$117:$R$134,6,(FALSE))</f>
        <v>3.870967741935484E-2</v>
      </c>
      <c r="H87" s="812">
        <f>VLOOKUP(A87,'1819 Revised Bands'!$A$117:$R$134,12,(FALSE))</f>
        <v>9.0322580645161285E-2</v>
      </c>
      <c r="I87" s="812">
        <f>VLOOKUP(A87,'1819 Revised Bands'!$A$117:$R$134,16,(FALSE))</f>
        <v>0.14193548387096774</v>
      </c>
      <c r="J87" s="812">
        <f>VLOOKUP(A87,'1819 Revised Bands'!$A$117:$R$134,18,(FALSE))</f>
        <v>1.2903225806451613E-2</v>
      </c>
      <c r="K87" s="524">
        <v>0</v>
      </c>
      <c r="L87" s="813">
        <f t="shared" si="20"/>
        <v>0</v>
      </c>
      <c r="M87" s="813">
        <f t="shared" si="19"/>
        <v>0</v>
      </c>
      <c r="N87" s="813">
        <f t="shared" si="23"/>
        <v>0</v>
      </c>
      <c r="O87" s="724">
        <f t="shared" si="21"/>
        <v>0</v>
      </c>
      <c r="P87" s="724">
        <f>(VLOOKUP(A87,'1819 Funding Detail'!$A$4:$AN$23,40,FALSE)*8/12)*K87</f>
        <v>0</v>
      </c>
      <c r="Q87" s="80"/>
      <c r="R87" s="42"/>
      <c r="S87" s="168"/>
      <c r="T87" s="348"/>
      <c r="U87" s="42">
        <f t="shared" si="22"/>
        <v>0</v>
      </c>
    </row>
    <row r="88" spans="1:21" x14ac:dyDescent="0.25">
      <c r="A88" s="185">
        <v>9257015</v>
      </c>
      <c r="B88" s="38" t="s">
        <v>55</v>
      </c>
      <c r="C88" s="39">
        <v>6</v>
      </c>
      <c r="D88" s="812">
        <f>VLOOKUP(A88,'1819 Revised Bands'!$A$117:$R$134,10,(FALSE))</f>
        <v>0.49808429118773945</v>
      </c>
      <c r="E88" s="812">
        <f>VLOOKUP(A88,'1819 Revised Bands'!$A$117:$R$134,8,(FALSE))</f>
        <v>0.19923371647509577</v>
      </c>
      <c r="F88" s="812">
        <f>VLOOKUP(A88,'1819 Revised Bands'!$A$117:$R$134,14,(FALSE))</f>
        <v>4.2145593869731802E-2</v>
      </c>
      <c r="G88" s="812">
        <f>VLOOKUP(A88,'1819 Revised Bands'!$A$117:$R$134,6,(FALSE))</f>
        <v>3.8314176245210725E-2</v>
      </c>
      <c r="H88" s="812">
        <f>VLOOKUP(A88,'1819 Revised Bands'!$A$117:$R$134,12,(FALSE))</f>
        <v>6.5134099616858232E-2</v>
      </c>
      <c r="I88" s="812">
        <f>VLOOKUP(A88,'1819 Revised Bands'!$A$117:$R$134,16,(FALSE))</f>
        <v>0.13793103448275862</v>
      </c>
      <c r="J88" s="812">
        <f>VLOOKUP(A88,'1819 Revised Bands'!$A$117:$R$134,18,(FALSE))</f>
        <v>1.9157088122605363E-2</v>
      </c>
      <c r="K88" s="524">
        <v>24</v>
      </c>
      <c r="L88" s="813">
        <f t="shared" si="20"/>
        <v>138027.88131252257</v>
      </c>
      <c r="M88" s="813">
        <f t="shared" si="19"/>
        <v>1776.8582375478929</v>
      </c>
      <c r="N88" s="813">
        <f t="shared" si="23"/>
        <v>139804.73955007046</v>
      </c>
      <c r="O88" s="724">
        <f t="shared" si="21"/>
        <v>160000</v>
      </c>
      <c r="P88" s="724">
        <f>(VLOOKUP(A88,'1819 Funding Detail'!$A$4:$AN$23,40,FALSE)*8/12)*K88</f>
        <v>19051.489750873639</v>
      </c>
      <c r="Q88" s="80"/>
      <c r="R88" s="42"/>
      <c r="S88" s="168"/>
      <c r="T88" s="348"/>
      <c r="U88" s="42">
        <f t="shared" si="22"/>
        <v>6900.4600017760686</v>
      </c>
    </row>
    <row r="89" spans="1:21" x14ac:dyDescent="0.25">
      <c r="A89" s="185">
        <v>9257016</v>
      </c>
      <c r="B89" s="38" t="s">
        <v>80</v>
      </c>
      <c r="C89" s="39">
        <v>6</v>
      </c>
      <c r="D89" s="812">
        <f>VLOOKUP(A89,'1819 Revised Bands'!$A$117:$R$134,10,(FALSE))</f>
        <v>0.25170068027210885</v>
      </c>
      <c r="E89" s="812">
        <f>VLOOKUP(A89,'1819 Revised Bands'!$A$117:$R$134,8,(FALSE))</f>
        <v>6.8027210884353748E-2</v>
      </c>
      <c r="F89" s="812">
        <f>VLOOKUP(A89,'1819 Revised Bands'!$A$117:$R$134,14,(FALSE))</f>
        <v>0</v>
      </c>
      <c r="G89" s="812">
        <f>VLOOKUP(A89,'1819 Revised Bands'!$A$117:$R$134,6,(FALSE))</f>
        <v>0.16326530612244897</v>
      </c>
      <c r="H89" s="812">
        <f>VLOOKUP(A89,'1819 Revised Bands'!$A$117:$R$134,12,(FALSE))</f>
        <v>0.25170068027210885</v>
      </c>
      <c r="I89" s="812">
        <f>VLOOKUP(A89,'1819 Revised Bands'!$A$117:$R$134,16,(FALSE))</f>
        <v>6.8027210884353739E-3</v>
      </c>
      <c r="J89" s="812">
        <f>VLOOKUP(A89,'1819 Revised Bands'!$A$117:$R$134,18,(FALSE))</f>
        <v>0.25850340136054423</v>
      </c>
      <c r="K89" s="524">
        <v>57</v>
      </c>
      <c r="L89" s="813">
        <f t="shared" si="20"/>
        <v>518383.29605955025</v>
      </c>
      <c r="M89" s="813">
        <f t="shared" si="19"/>
        <v>0</v>
      </c>
      <c r="N89" s="813">
        <f t="shared" si="23"/>
        <v>518383.29605955025</v>
      </c>
      <c r="O89" s="724">
        <f t="shared" si="21"/>
        <v>380000</v>
      </c>
      <c r="P89" s="724">
        <f>(VLOOKUP(A89,'1819 Funding Detail'!$A$4:$AN$23,40,FALSE)*8/12)*K89</f>
        <v>290692.25605955033</v>
      </c>
      <c r="Q89" s="628" t="s">
        <v>402</v>
      </c>
      <c r="R89" s="42"/>
      <c r="S89" s="168"/>
      <c r="T89" s="348"/>
      <c r="U89" s="42">
        <f t="shared" si="22"/>
        <v>221145.66048549081</v>
      </c>
    </row>
    <row r="90" spans="1:21" x14ac:dyDescent="0.25">
      <c r="B90" s="50"/>
      <c r="C90" s="50"/>
      <c r="F90" s="628" t="s">
        <v>402</v>
      </c>
      <c r="H90" s="760"/>
      <c r="I90" s="628" t="s">
        <v>402</v>
      </c>
      <c r="J90" s="34"/>
    </row>
    <row r="91" spans="1:21" x14ac:dyDescent="0.25">
      <c r="C91" s="40"/>
      <c r="U91" s="42">
        <f>SUM(U6:U89)</f>
        <v>2255451.1488439254</v>
      </c>
    </row>
    <row r="92" spans="1:21" x14ac:dyDescent="0.25">
      <c r="C92" s="556"/>
      <c r="D92" s="52"/>
      <c r="E92" s="526" t="s">
        <v>787</v>
      </c>
      <c r="G92" s="533">
        <f>'[16]Band Descriptors'!$F$11</f>
        <v>5740.9218150011166</v>
      </c>
      <c r="H92" s="53"/>
      <c r="I92" s="53"/>
      <c r="J92" s="53"/>
      <c r="K92" s="53"/>
      <c r="L92" s="53"/>
      <c r="M92" s="53"/>
      <c r="N92" s="53"/>
      <c r="O92" s="53"/>
      <c r="P92" s="53"/>
      <c r="Q92" s="53"/>
    </row>
    <row r="93" spans="1:21" x14ac:dyDescent="0.25">
      <c r="C93" s="556"/>
      <c r="D93" s="52"/>
      <c r="G93" s="42"/>
      <c r="H93" s="53"/>
      <c r="I93" s="53"/>
      <c r="J93" s="53"/>
      <c r="K93" s="53"/>
      <c r="L93" s="53"/>
      <c r="M93" s="53"/>
      <c r="N93" s="53"/>
      <c r="O93" s="53"/>
      <c r="P93" s="53"/>
      <c r="Q93" s="53"/>
    </row>
    <row r="94" spans="1:21" x14ac:dyDescent="0.25">
      <c r="C94" s="556"/>
      <c r="D94" s="52"/>
      <c r="E94" s="526" t="s">
        <v>786</v>
      </c>
      <c r="G94" s="533">
        <f>'[16]Band Descriptors'!$F$8</f>
        <v>6829.0826228613796</v>
      </c>
      <c r="H94" s="53"/>
      <c r="I94" s="53"/>
      <c r="J94" s="53"/>
      <c r="K94" s="53"/>
      <c r="L94" s="53"/>
      <c r="M94" s="53"/>
      <c r="N94" s="53"/>
      <c r="O94" s="53"/>
      <c r="P94" s="53"/>
      <c r="Q94" s="53"/>
    </row>
    <row r="95" spans="1:21" x14ac:dyDescent="0.25">
      <c r="C95" s="556"/>
      <c r="D95" s="52"/>
      <c r="G95" s="42"/>
      <c r="H95" s="53"/>
      <c r="I95" s="847"/>
      <c r="J95" s="53"/>
      <c r="K95" s="53"/>
      <c r="L95" s="53"/>
      <c r="M95" s="53"/>
      <c r="N95" s="53"/>
      <c r="O95" s="53"/>
      <c r="P95" s="53"/>
      <c r="Q95" s="53"/>
    </row>
    <row r="96" spans="1:21" x14ac:dyDescent="0.25">
      <c r="C96" s="556"/>
      <c r="D96" s="52"/>
      <c r="E96" s="526" t="s">
        <v>796</v>
      </c>
      <c r="G96" s="533">
        <f>'[16]Band Descriptors'!$F$17</f>
        <v>11263.412317184524</v>
      </c>
      <c r="H96" s="53"/>
      <c r="I96" s="847"/>
      <c r="J96" s="53"/>
      <c r="K96" s="53"/>
      <c r="L96" s="53"/>
      <c r="M96" s="53"/>
      <c r="N96" s="53"/>
      <c r="O96" s="53"/>
      <c r="P96" s="53"/>
      <c r="Q96" s="53"/>
    </row>
    <row r="97" spans="1:49" x14ac:dyDescent="0.25">
      <c r="C97" s="556"/>
      <c r="D97" s="52"/>
      <c r="G97" s="42"/>
      <c r="H97" s="53"/>
      <c r="I97" s="847"/>
      <c r="J97" s="53"/>
      <c r="K97" s="53"/>
      <c r="L97" s="53"/>
      <c r="M97" s="53"/>
      <c r="N97" s="53"/>
      <c r="O97" s="53"/>
      <c r="P97" s="53"/>
      <c r="Q97" s="53"/>
    </row>
    <row r="98" spans="1:49" x14ac:dyDescent="0.25">
      <c r="C98" s="556"/>
      <c r="D98" s="52"/>
      <c r="E98" s="526" t="s">
        <v>785</v>
      </c>
      <c r="G98" s="533">
        <f>'[16]Band Descriptors'!$F$5</f>
        <v>14004.235952555704</v>
      </c>
      <c r="H98" s="53"/>
      <c r="I98" s="847"/>
      <c r="J98" s="53"/>
      <c r="K98" s="53"/>
      <c r="L98" s="53"/>
      <c r="M98" s="53"/>
      <c r="N98" s="53"/>
      <c r="O98" s="53"/>
      <c r="P98" s="53"/>
      <c r="Q98" s="53"/>
    </row>
    <row r="99" spans="1:49" x14ac:dyDescent="0.25">
      <c r="C99" s="556"/>
      <c r="D99" s="52"/>
      <c r="G99" s="42"/>
      <c r="H99" s="53"/>
      <c r="I99" s="847"/>
      <c r="J99" s="53"/>
      <c r="K99" s="53"/>
      <c r="L99" s="53"/>
      <c r="M99" s="53"/>
      <c r="N99" s="53"/>
      <c r="O99" s="53"/>
      <c r="P99" s="53"/>
      <c r="Q99" s="53"/>
    </row>
    <row r="100" spans="1:49" x14ac:dyDescent="0.25">
      <c r="C100" s="556"/>
      <c r="D100" s="52"/>
      <c r="E100" s="526" t="s">
        <v>797</v>
      </c>
      <c r="G100" s="533">
        <f>'[16]Band Descriptors'!$F$14</f>
        <v>14004.235952555704</v>
      </c>
      <c r="H100" s="53"/>
      <c r="I100" s="847"/>
      <c r="J100" s="53"/>
      <c r="K100" s="53"/>
      <c r="L100" s="53"/>
      <c r="M100" s="53"/>
      <c r="N100" s="53"/>
      <c r="O100" s="53"/>
      <c r="P100" s="53"/>
      <c r="Q100" s="53"/>
    </row>
    <row r="101" spans="1:49" x14ac:dyDescent="0.25">
      <c r="C101" s="556"/>
      <c r="D101" s="52"/>
      <c r="G101" s="42"/>
      <c r="H101" s="53"/>
      <c r="I101" s="847"/>
      <c r="J101" s="53"/>
      <c r="K101" s="53"/>
      <c r="L101" s="53"/>
      <c r="M101" s="53"/>
      <c r="N101" s="53"/>
      <c r="O101" s="53"/>
      <c r="P101" s="53"/>
      <c r="Q101" s="53"/>
    </row>
    <row r="102" spans="1:49" x14ac:dyDescent="0.25">
      <c r="C102" s="556"/>
      <c r="D102" s="52"/>
      <c r="E102" s="526" t="s">
        <v>798</v>
      </c>
      <c r="G102" s="530">
        <f>'[16]Band Descriptors'!$F$22</f>
        <v>14877.000599571715</v>
      </c>
      <c r="H102" s="53"/>
      <c r="I102" s="847"/>
      <c r="J102" s="53"/>
      <c r="K102" s="53"/>
      <c r="L102" s="53"/>
      <c r="M102" s="53"/>
      <c r="N102" s="53"/>
      <c r="O102" s="53"/>
      <c r="P102" s="53"/>
      <c r="Q102" s="53"/>
    </row>
    <row r="103" spans="1:49" x14ac:dyDescent="0.25">
      <c r="C103" s="556"/>
      <c r="D103" s="52"/>
      <c r="G103" s="42"/>
      <c r="H103" s="53"/>
      <c r="I103" s="847"/>
      <c r="J103" s="53"/>
      <c r="K103" s="53"/>
      <c r="L103" s="53"/>
      <c r="M103" s="53"/>
      <c r="N103" s="53"/>
      <c r="O103" s="53"/>
      <c r="P103" s="53"/>
      <c r="Q103" s="53"/>
    </row>
    <row r="104" spans="1:49" x14ac:dyDescent="0.25">
      <c r="C104" s="556"/>
      <c r="D104" s="52"/>
      <c r="E104" s="526" t="s">
        <v>788</v>
      </c>
      <c r="G104" s="533">
        <f>'[16]Band Descriptors'!$F$24</f>
        <v>22512.750755794426</v>
      </c>
      <c r="H104" s="53"/>
      <c r="I104" s="847"/>
      <c r="J104" s="53"/>
      <c r="K104" s="53"/>
      <c r="L104" s="53"/>
      <c r="M104" s="53"/>
      <c r="N104" s="53"/>
      <c r="O104" s="53"/>
      <c r="P104" s="53"/>
      <c r="Q104" s="53"/>
    </row>
    <row r="105" spans="1:49" ht="14" x14ac:dyDescent="0.3">
      <c r="B105" s="55"/>
      <c r="C105" s="811"/>
      <c r="D105" s="57"/>
      <c r="E105" s="58"/>
      <c r="H105" s="66"/>
      <c r="I105" s="847"/>
      <c r="J105" s="53"/>
      <c r="K105" s="66"/>
      <c r="L105" s="66"/>
      <c r="M105" s="66"/>
      <c r="N105" s="66"/>
      <c r="O105" s="66"/>
      <c r="P105" s="66"/>
      <c r="Q105" s="66"/>
    </row>
    <row r="106" spans="1:49" ht="14" x14ac:dyDescent="0.3">
      <c r="B106" s="59"/>
      <c r="C106" s="811"/>
      <c r="E106" s="526" t="s">
        <v>799</v>
      </c>
      <c r="G106" s="42">
        <v>2635</v>
      </c>
      <c r="H106" s="53"/>
      <c r="I106" s="847"/>
      <c r="J106" s="53"/>
      <c r="K106" s="53"/>
      <c r="L106" s="53"/>
      <c r="M106" s="53"/>
      <c r="N106" s="53"/>
      <c r="O106" s="53"/>
      <c r="P106" s="53"/>
      <c r="Q106" s="53"/>
    </row>
    <row r="107" spans="1:49" x14ac:dyDescent="0.25">
      <c r="C107" s="40"/>
      <c r="I107" s="847"/>
      <c r="AT107" s="1945" t="s">
        <v>698</v>
      </c>
      <c r="AU107" s="1945"/>
    </row>
    <row r="108" spans="1:49" x14ac:dyDescent="0.25">
      <c r="C108" s="40"/>
    </row>
    <row r="109" spans="1:49" ht="12.75" customHeight="1" x14ac:dyDescent="0.25">
      <c r="C109" s="40"/>
      <c r="AQ109" s="2011" t="s">
        <v>685</v>
      </c>
      <c r="AR109" s="2011"/>
      <c r="AT109" s="2011" t="s">
        <v>685</v>
      </c>
      <c r="AU109" s="2011"/>
    </row>
    <row r="110" spans="1:49" ht="12.75" customHeight="1" x14ac:dyDescent="0.3">
      <c r="C110" s="40"/>
      <c r="D110" s="1896" t="s">
        <v>397</v>
      </c>
      <c r="E110" s="1897"/>
      <c r="F110" s="1898"/>
      <c r="G110" s="1896" t="s">
        <v>397</v>
      </c>
      <c r="H110" s="1897"/>
      <c r="I110" s="1898"/>
      <c r="J110" s="1896" t="s">
        <v>185</v>
      </c>
      <c r="K110" s="1897"/>
      <c r="L110" s="1898"/>
      <c r="M110" s="390" t="s">
        <v>399</v>
      </c>
      <c r="N110" s="1896" t="s">
        <v>397</v>
      </c>
      <c r="O110" s="1897"/>
      <c r="P110" s="1898"/>
      <c r="Q110" s="1896" t="s">
        <v>185</v>
      </c>
      <c r="R110" s="1897"/>
      <c r="S110" s="1898"/>
      <c r="T110" s="390" t="s">
        <v>399</v>
      </c>
      <c r="U110" s="965" t="s">
        <v>399</v>
      </c>
      <c r="V110" s="392"/>
      <c r="W110" s="393"/>
      <c r="AL110" s="1891" t="s">
        <v>467</v>
      </c>
      <c r="AO110" s="1946" t="s">
        <v>699</v>
      </c>
      <c r="AP110" s="800"/>
      <c r="AQ110" s="1946" t="s">
        <v>684</v>
      </c>
      <c r="AT110" s="1946" t="s">
        <v>696</v>
      </c>
    </row>
    <row r="111" spans="1:49" ht="41.25" customHeight="1" x14ac:dyDescent="0.3">
      <c r="A111" s="388" t="s">
        <v>201</v>
      </c>
      <c r="B111" s="389" t="s">
        <v>66</v>
      </c>
      <c r="C111" s="39" t="s">
        <v>51</v>
      </c>
      <c r="D111" s="765" t="str">
        <f t="shared" ref="D111:D129" si="24">N5</f>
        <v>Assessment Funding (Apr-Aug)</v>
      </c>
      <c r="E111" s="766" t="str">
        <f t="shared" ref="E111:E129" si="25">N49</f>
        <v>Assessment Funding (Sept-Mar)</v>
      </c>
      <c r="F111" s="762" t="s">
        <v>393</v>
      </c>
      <c r="G111" s="766" t="str">
        <f t="shared" ref="G111:G129" si="26">O5</f>
        <v>Pre-16 Funding (Apr-Aug)</v>
      </c>
      <c r="H111" s="765" t="str">
        <f t="shared" ref="H111:H129" si="27">O49</f>
        <v>Pre-16 Funding (Sept-Mar)</v>
      </c>
      <c r="I111" s="762" t="s">
        <v>394</v>
      </c>
      <c r="J111" s="765" t="str">
        <f t="shared" ref="J111:J129" si="28">L27</f>
        <v>Post-16 Funding (Apr-Jul)</v>
      </c>
      <c r="K111" s="766" t="str">
        <f t="shared" ref="K111:K129" si="29">L71</f>
        <v>Post-16 Funding (Aug-Mar)</v>
      </c>
      <c r="L111" s="762" t="s">
        <v>395</v>
      </c>
      <c r="M111" s="762" t="s">
        <v>295</v>
      </c>
      <c r="N111" s="766" t="str">
        <f t="shared" ref="N111:N129" si="30">P5</f>
        <v>Additionality Funding (Apr-Aug)</v>
      </c>
      <c r="O111" s="766" t="str">
        <f t="shared" ref="O111:O129" si="31">P49</f>
        <v>Additionality Funding (Sept-Mar)</v>
      </c>
      <c r="P111" s="762" t="s">
        <v>396</v>
      </c>
      <c r="Q111" s="766" t="str">
        <f t="shared" ref="Q111:Q129" si="32">M27</f>
        <v>Additionality Funding (Apr-Jul)</v>
      </c>
      <c r="R111" s="765" t="str">
        <f t="shared" ref="R111:R129" si="33">M71</f>
        <v>Additionality Funding (Aug-Mar)</v>
      </c>
      <c r="S111" s="762" t="s">
        <v>396</v>
      </c>
      <c r="T111" s="762" t="s">
        <v>401</v>
      </c>
      <c r="U111" s="964" t="s">
        <v>103</v>
      </c>
      <c r="V111" s="766" t="s">
        <v>398</v>
      </c>
      <c r="W111" s="394" t="s">
        <v>261</v>
      </c>
      <c r="X111" s="36"/>
      <c r="Y111" s="766" t="s">
        <v>328</v>
      </c>
      <c r="Z111" s="766" t="s">
        <v>330</v>
      </c>
      <c r="AA111" s="762" t="s">
        <v>331</v>
      </c>
      <c r="AB111" s="690" t="s">
        <v>103</v>
      </c>
      <c r="AC111" s="766" t="s">
        <v>310</v>
      </c>
      <c r="AD111" s="766" t="s">
        <v>335</v>
      </c>
      <c r="AE111" s="766" t="s">
        <v>343</v>
      </c>
      <c r="AF111" s="762" t="s">
        <v>465</v>
      </c>
      <c r="AG111" s="766" t="s">
        <v>342</v>
      </c>
      <c r="AH111" s="766" t="s">
        <v>344</v>
      </c>
      <c r="AI111" s="762" t="s">
        <v>466</v>
      </c>
      <c r="AJ111" s="762" t="s">
        <v>345</v>
      </c>
      <c r="AK111" s="389"/>
      <c r="AL111" s="1892"/>
      <c r="AO111" s="1955"/>
      <c r="AP111" s="801"/>
      <c r="AQ111" s="1946"/>
      <c r="AR111" s="526" t="s">
        <v>104</v>
      </c>
      <c r="AT111" s="1946"/>
      <c r="AU111" s="526" t="s">
        <v>104</v>
      </c>
    </row>
    <row r="112" spans="1:49" ht="13" x14ac:dyDescent="0.3">
      <c r="A112" s="185">
        <v>9257010</v>
      </c>
      <c r="B112" s="38" t="s">
        <v>67</v>
      </c>
      <c r="C112" s="39">
        <v>4</v>
      </c>
      <c r="D112" s="767">
        <f t="shared" si="24"/>
        <v>0</v>
      </c>
      <c r="E112" s="767">
        <f t="shared" si="25"/>
        <v>0</v>
      </c>
      <c r="F112" s="156">
        <f>SUM(D112:E112)</f>
        <v>0</v>
      </c>
      <c r="G112" s="767">
        <f t="shared" si="26"/>
        <v>249127.47987378816</v>
      </c>
      <c r="H112" s="767">
        <f t="shared" si="27"/>
        <v>348778.47182330344</v>
      </c>
      <c r="I112" s="156">
        <f>SUM(G112:H112)</f>
        <v>597905.95169709157</v>
      </c>
      <c r="J112" s="767">
        <f t="shared" si="28"/>
        <v>21202.338712662819</v>
      </c>
      <c r="K112" s="767">
        <f t="shared" si="29"/>
        <v>93290.290335716403</v>
      </c>
      <c r="L112" s="156">
        <f>SUM(J112:K112)</f>
        <v>114492.62904837923</v>
      </c>
      <c r="M112" s="156">
        <f>I112+L112</f>
        <v>712398.58074547083</v>
      </c>
      <c r="N112" s="767">
        <f t="shared" si="30"/>
        <v>4961.7387820512822</v>
      </c>
      <c r="O112" s="767">
        <f t="shared" si="31"/>
        <v>6946.4342948717949</v>
      </c>
      <c r="P112" s="156">
        <f>SUM(N112:O112)</f>
        <v>11908.173076923078</v>
      </c>
      <c r="Q112" s="767">
        <f t="shared" si="32"/>
        <v>422.27564102564099</v>
      </c>
      <c r="R112" s="767">
        <f t="shared" si="33"/>
        <v>1858.0128205128206</v>
      </c>
      <c r="S112" s="156">
        <f>SUM(Q112:R112)</f>
        <v>2280.2884615384614</v>
      </c>
      <c r="T112" s="156">
        <f>P112+S112</f>
        <v>14188.461538461539</v>
      </c>
      <c r="U112" s="156">
        <f>F112+I112+L112+P112+S112</f>
        <v>726587.04228393245</v>
      </c>
      <c r="V112" s="334">
        <f t="shared" ref="V112:V129" si="34">(M6*(5/12))+(M50*(7/12))+(K28*(4/12))+(K72*(8/12))</f>
        <v>56</v>
      </c>
      <c r="W112" s="947">
        <f>U112/V112</f>
        <v>12974.76861221308</v>
      </c>
      <c r="X112" s="36"/>
      <c r="Y112" s="94">
        <f t="shared" ref="Y112:Y129" si="35">R6+R50</f>
        <v>470000</v>
      </c>
      <c r="Z112" s="767">
        <f t="shared" ref="Z112:Z129" si="36">O28+O72</f>
        <v>90000</v>
      </c>
      <c r="AA112" s="767">
        <f>Y112+Z112</f>
        <v>560000</v>
      </c>
      <c r="AB112" s="767">
        <f>VLOOKUP(A112,'1819 Funding Detail'!$A$4:$AN$23,35,FALSE)</f>
        <v>1178319.7922839322</v>
      </c>
      <c r="AC112" s="767">
        <f>AB112-AA112</f>
        <v>618319.79228393221</v>
      </c>
      <c r="AD112" s="767">
        <f t="shared" ref="AD112:AD129" si="37">S6</f>
        <v>216227.9035516727</v>
      </c>
      <c r="AE112" s="767">
        <f t="shared" ref="AE112:AE129" si="38">S50</f>
        <v>302719.06497234182</v>
      </c>
      <c r="AF112" s="767">
        <f>AD112+AE112</f>
        <v>518946.96852401452</v>
      </c>
      <c r="AG112" s="767">
        <f t="shared" ref="AG112:AG129" si="39">P28</f>
        <v>18402.374770355123</v>
      </c>
      <c r="AH112" s="767">
        <f t="shared" ref="AH112:AH129" si="40">P72</f>
        <v>80970.448989562545</v>
      </c>
      <c r="AI112" s="767">
        <f>AG112+AH112</f>
        <v>99372.823759917665</v>
      </c>
      <c r="AJ112" s="767">
        <f>AF112+AI112</f>
        <v>618319.79228393221</v>
      </c>
      <c r="AK112" s="134"/>
      <c r="AL112" s="726">
        <f>AA112+AF112+AI112</f>
        <v>1178319.7922839322</v>
      </c>
      <c r="AM112" s="125" t="s">
        <v>402</v>
      </c>
      <c r="AN112" s="627" t="s">
        <v>402</v>
      </c>
      <c r="AO112" s="42">
        <f>W112</f>
        <v>12974.76861221308</v>
      </c>
      <c r="AP112" s="42"/>
      <c r="AQ112" s="42">
        <f>VLOOKUP(A112,'Band Calculations 1718'!$A$107:$W$125,23,(FALSE))</f>
        <v>9991.0948916011566</v>
      </c>
      <c r="AR112" s="42">
        <f>W112-AQ112</f>
        <v>2983.6737206119233</v>
      </c>
      <c r="AT112" s="42">
        <f>VLOOKUP(A112,'Band Calculations - Rebase'!$A$109:$W$127,23,(FALSE))</f>
        <v>11652.177704089083</v>
      </c>
      <c r="AU112" s="42">
        <f>W112-AT112</f>
        <v>1322.590908123997</v>
      </c>
      <c r="AV112" s="814"/>
      <c r="AW112" s="2012" t="s">
        <v>697</v>
      </c>
    </row>
    <row r="113" spans="1:49" ht="13" x14ac:dyDescent="0.3">
      <c r="A113" s="185">
        <v>9257005</v>
      </c>
      <c r="B113" s="38" t="s">
        <v>68</v>
      </c>
      <c r="C113" s="39">
        <v>4</v>
      </c>
      <c r="D113" s="767">
        <f t="shared" si="24"/>
        <v>0</v>
      </c>
      <c r="E113" s="767">
        <f t="shared" si="25"/>
        <v>0</v>
      </c>
      <c r="F113" s="156">
        <f t="shared" ref="F113:F129" si="41">SUM(D113:E113)</f>
        <v>0</v>
      </c>
      <c r="G113" s="767">
        <f t="shared" si="26"/>
        <v>227564.52014436229</v>
      </c>
      <c r="H113" s="767">
        <f t="shared" si="27"/>
        <v>304430.75805979141</v>
      </c>
      <c r="I113" s="156">
        <f t="shared" ref="I113:I129" si="42">SUM(G113:H113)</f>
        <v>531995.27820415376</v>
      </c>
      <c r="J113" s="767">
        <f t="shared" si="28"/>
        <v>121367.74407699321</v>
      </c>
      <c r="K113" s="767">
        <f t="shared" si="29"/>
        <v>234644.30521552023</v>
      </c>
      <c r="L113" s="156">
        <f t="shared" ref="L113:L129" si="43">SUM(J113:K113)</f>
        <v>356012.04929251346</v>
      </c>
      <c r="M113" s="156">
        <f t="shared" ref="M113:M128" si="44">I113+L113</f>
        <v>888007.32749666716</v>
      </c>
      <c r="N113" s="767">
        <f t="shared" si="30"/>
        <v>7905</v>
      </c>
      <c r="O113" s="767">
        <f t="shared" si="31"/>
        <v>10575.133333333333</v>
      </c>
      <c r="P113" s="156">
        <f t="shared" ref="P113:P129" si="45">SUM(N113:O113)</f>
        <v>18480.133333333331</v>
      </c>
      <c r="Q113" s="767">
        <f t="shared" si="32"/>
        <v>4216</v>
      </c>
      <c r="R113" s="767">
        <f t="shared" si="33"/>
        <v>8150.9333333333325</v>
      </c>
      <c r="S113" s="156">
        <f t="shared" ref="S113:S129" si="46">SUM(Q113:R113)</f>
        <v>12366.933333333332</v>
      </c>
      <c r="T113" s="156">
        <f t="shared" ref="T113:T129" si="47">P113+S113</f>
        <v>30847.066666666666</v>
      </c>
      <c r="U113" s="156">
        <f t="shared" ref="U113:U129" si="48">F113+I113+L113+P113+S113</f>
        <v>918854.39416333381</v>
      </c>
      <c r="V113" s="334">
        <f t="shared" si="34"/>
        <v>73.166666666666671</v>
      </c>
      <c r="W113" s="767">
        <f t="shared" ref="W113:W129" si="49">U113/V113</f>
        <v>12558.374407699323</v>
      </c>
      <c r="X113" s="36"/>
      <c r="Y113" s="94">
        <f t="shared" si="35"/>
        <v>438333.33333333337</v>
      </c>
      <c r="Z113" s="767">
        <f t="shared" si="36"/>
        <v>293333.33333333331</v>
      </c>
      <c r="AA113" s="767">
        <f t="shared" ref="AA113:AA129" si="50">Y113+Z113</f>
        <v>731666.66666666674</v>
      </c>
      <c r="AB113" s="971">
        <f>VLOOKUP(A113,'1819 Funding Detail'!$A$4:$AN$23,35,FALSE)</f>
        <v>1370138.2941633337</v>
      </c>
      <c r="AC113" s="767">
        <f t="shared" ref="AC113:AC129" si="51">AB113-AA113</f>
        <v>638471.62749666697</v>
      </c>
      <c r="AD113" s="767">
        <f t="shared" si="37"/>
        <v>163617.44440404332</v>
      </c>
      <c r="AE113" s="767">
        <f t="shared" si="38"/>
        <v>218883.78118052022</v>
      </c>
      <c r="AF113" s="767">
        <f t="shared" ref="AF113:AF129" si="52">AD113+AE113</f>
        <v>382501.22558456357</v>
      </c>
      <c r="AG113" s="767">
        <f t="shared" si="39"/>
        <v>87262.637015489774</v>
      </c>
      <c r="AH113" s="767">
        <f t="shared" si="40"/>
        <v>168707.76489661357</v>
      </c>
      <c r="AI113" s="767">
        <f t="shared" ref="AI113:AI129" si="53">AG113+AH113</f>
        <v>255970.40191210335</v>
      </c>
      <c r="AJ113" s="767">
        <f t="shared" ref="AJ113:AJ129" si="54">AF113+AI113</f>
        <v>638471.62749666697</v>
      </c>
      <c r="AK113" s="134"/>
      <c r="AL113" s="726">
        <f t="shared" ref="AL113:AL129" si="55">AA113+AF113+AI113</f>
        <v>1370138.2941633337</v>
      </c>
      <c r="AM113" s="125" t="s">
        <v>402</v>
      </c>
      <c r="AN113" s="627" t="s">
        <v>402</v>
      </c>
      <c r="AO113" s="42">
        <f t="shared" ref="AO113:AO129" si="56">W113</f>
        <v>12558.374407699323</v>
      </c>
      <c r="AP113" s="42"/>
      <c r="AQ113" s="42">
        <f>VLOOKUP(A113,'Band Calculations 1718'!$A$107:$W$125,23,(FALSE))</f>
        <v>9737.6409510925641</v>
      </c>
      <c r="AR113" s="42">
        <f t="shared" ref="AR113:AR129" si="57">W113-AQ113</f>
        <v>2820.7334566067584</v>
      </c>
      <c r="AT113" s="42">
        <f>VLOOKUP(A113,'Band Calculations - Rebase'!$A$109:$W$127,23,(FALSE))</f>
        <v>10717.42026627099</v>
      </c>
      <c r="AU113" s="42">
        <f t="shared" ref="AU113:AU129" si="58">W113-AT113</f>
        <v>1840.9541414283322</v>
      </c>
      <c r="AV113" s="814"/>
      <c r="AW113" s="2012"/>
    </row>
    <row r="114" spans="1:49" ht="13" x14ac:dyDescent="0.3">
      <c r="A114" s="185">
        <v>9257025</v>
      </c>
      <c r="B114" s="38" t="s">
        <v>69</v>
      </c>
      <c r="C114" s="39">
        <v>4</v>
      </c>
      <c r="D114" s="767">
        <f t="shared" si="24"/>
        <v>0</v>
      </c>
      <c r="E114" s="767">
        <f t="shared" si="25"/>
        <v>0</v>
      </c>
      <c r="F114" s="156">
        <f>SUM(D114:E114)</f>
        <v>0</v>
      </c>
      <c r="G114" s="767">
        <f t="shared" si="26"/>
        <v>216467.80906257842</v>
      </c>
      <c r="H114" s="767">
        <f t="shared" si="27"/>
        <v>315950.8872700613</v>
      </c>
      <c r="I114" s="156">
        <f t="shared" si="42"/>
        <v>532418.69633263978</v>
      </c>
      <c r="J114" s="767">
        <f t="shared" si="28"/>
        <v>58952.935234063902</v>
      </c>
      <c r="K114" s="767">
        <f t="shared" si="29"/>
        <v>140013.22118090178</v>
      </c>
      <c r="L114" s="156">
        <f t="shared" si="43"/>
        <v>198966.15641496569</v>
      </c>
      <c r="M114" s="156">
        <f t="shared" si="44"/>
        <v>731384.85274760542</v>
      </c>
      <c r="N114" s="767">
        <f t="shared" si="30"/>
        <v>7701.8034825870645</v>
      </c>
      <c r="O114" s="767">
        <f t="shared" si="31"/>
        <v>11241.355721393034</v>
      </c>
      <c r="P114" s="156">
        <f t="shared" si="45"/>
        <v>18943.1592039801</v>
      </c>
      <c r="Q114" s="767">
        <f t="shared" si="32"/>
        <v>2097.5124378109449</v>
      </c>
      <c r="R114" s="767">
        <f t="shared" si="33"/>
        <v>4981.5920398009948</v>
      </c>
      <c r="S114" s="156">
        <f t="shared" si="46"/>
        <v>7079.1044776119397</v>
      </c>
      <c r="T114" s="156">
        <f t="shared" si="47"/>
        <v>26022.263681592041</v>
      </c>
      <c r="U114" s="156">
        <f t="shared" si="48"/>
        <v>757407.11642919749</v>
      </c>
      <c r="V114" s="334">
        <f t="shared" si="34"/>
        <v>66.166666666666671</v>
      </c>
      <c r="W114" s="767">
        <f t="shared" si="49"/>
        <v>11446.958938476535</v>
      </c>
      <c r="X114" s="36"/>
      <c r="Y114" s="94">
        <f t="shared" si="35"/>
        <v>481666.66666666674</v>
      </c>
      <c r="Z114" s="767">
        <f t="shared" si="36"/>
        <v>180000</v>
      </c>
      <c r="AA114" s="767">
        <f t="shared" si="50"/>
        <v>661666.66666666674</v>
      </c>
      <c r="AB114" s="971">
        <f>VLOOKUP(A114,'1819 Funding Detail'!$A$4:$AN$23,35,FALSE)</f>
        <v>1211384.1164291974</v>
      </c>
      <c r="AC114" s="767">
        <f t="shared" si="51"/>
        <v>549717.44976253062</v>
      </c>
      <c r="AD114" s="767">
        <f t="shared" si="37"/>
        <v>162699.74898513185</v>
      </c>
      <c r="AE114" s="767">
        <f t="shared" si="38"/>
        <v>237472.39958255418</v>
      </c>
      <c r="AF114" s="767">
        <f t="shared" si="52"/>
        <v>400172.14856768603</v>
      </c>
      <c r="AG114" s="767">
        <f t="shared" si="39"/>
        <v>44309.718872546546</v>
      </c>
      <c r="AH114" s="767">
        <f t="shared" si="40"/>
        <v>105235.58232229804</v>
      </c>
      <c r="AI114" s="767">
        <f t="shared" si="53"/>
        <v>149545.30119484459</v>
      </c>
      <c r="AJ114" s="767">
        <f t="shared" si="54"/>
        <v>549717.44976253062</v>
      </c>
      <c r="AK114" s="134"/>
      <c r="AL114" s="726">
        <f t="shared" si="55"/>
        <v>1211384.1164291974</v>
      </c>
      <c r="AM114" s="125" t="s">
        <v>402</v>
      </c>
      <c r="AN114" s="627" t="s">
        <v>402</v>
      </c>
      <c r="AO114" s="42">
        <f t="shared" si="56"/>
        <v>11446.958938476535</v>
      </c>
      <c r="AP114" s="42"/>
      <c r="AQ114" s="42">
        <f>VLOOKUP(A114,'Band Calculations 1718'!$A$107:$W$125,23,(FALSE))</f>
        <v>10128.233980342673</v>
      </c>
      <c r="AR114" s="42">
        <f t="shared" si="57"/>
        <v>1318.7249581338619</v>
      </c>
      <c r="AT114" s="42">
        <f>VLOOKUP(A114,'Band Calculations - Rebase'!$A$109:$W$127,23,(FALSE))</f>
        <v>11126.205484397093</v>
      </c>
      <c r="AU114" s="816">
        <f t="shared" si="58"/>
        <v>320.75345407944224</v>
      </c>
      <c r="AV114" s="814"/>
      <c r="AW114" s="2012"/>
    </row>
    <row r="115" spans="1:49" ht="13" x14ac:dyDescent="0.3">
      <c r="A115" s="185">
        <v>9257011</v>
      </c>
      <c r="B115" s="38" t="s">
        <v>70</v>
      </c>
      <c r="C115" s="39">
        <v>4</v>
      </c>
      <c r="D115" s="767">
        <f t="shared" si="24"/>
        <v>0</v>
      </c>
      <c r="E115" s="767">
        <f t="shared" si="25"/>
        <v>0</v>
      </c>
      <c r="F115" s="156">
        <f t="shared" si="41"/>
        <v>0</v>
      </c>
      <c r="G115" s="767">
        <f t="shared" si="26"/>
        <v>200447.3614078906</v>
      </c>
      <c r="H115" s="767">
        <f t="shared" si="27"/>
        <v>301159.93811526976</v>
      </c>
      <c r="I115" s="156">
        <f t="shared" si="42"/>
        <v>501607.29952316033</v>
      </c>
      <c r="J115" s="767">
        <f t="shared" si="28"/>
        <v>54756.352384594502</v>
      </c>
      <c r="K115" s="767">
        <f t="shared" si="29"/>
        <v>117335.04082413107</v>
      </c>
      <c r="L115" s="156">
        <f t="shared" si="43"/>
        <v>172091.39320872555</v>
      </c>
      <c r="M115" s="156">
        <f t="shared" si="44"/>
        <v>673698.69273188594</v>
      </c>
      <c r="N115" s="767">
        <f t="shared" si="30"/>
        <v>2500.8101851851852</v>
      </c>
      <c r="O115" s="767">
        <f t="shared" si="31"/>
        <v>3757.3148148148148</v>
      </c>
      <c r="P115" s="156">
        <f t="shared" si="45"/>
        <v>6258.125</v>
      </c>
      <c r="Q115" s="767">
        <f t="shared" si="32"/>
        <v>683.14814814814804</v>
      </c>
      <c r="R115" s="767">
        <f t="shared" si="33"/>
        <v>1463.8888888888887</v>
      </c>
      <c r="S115" s="156">
        <f t="shared" si="46"/>
        <v>2147.0370370370365</v>
      </c>
      <c r="T115" s="156">
        <f t="shared" si="47"/>
        <v>8405.1620370370365</v>
      </c>
      <c r="U115" s="156">
        <f t="shared" si="48"/>
        <v>682103.85476892302</v>
      </c>
      <c r="V115" s="334">
        <f t="shared" si="34"/>
        <v>57.416666666666664</v>
      </c>
      <c r="W115" s="767">
        <f t="shared" si="49"/>
        <v>11879.892971301997</v>
      </c>
      <c r="X115" s="36"/>
      <c r="Y115" s="94">
        <f t="shared" si="35"/>
        <v>427500</v>
      </c>
      <c r="Z115" s="767">
        <f t="shared" si="36"/>
        <v>146666.66666666666</v>
      </c>
      <c r="AA115" s="767">
        <f t="shared" si="50"/>
        <v>574166.66666666663</v>
      </c>
      <c r="AB115" s="971">
        <f>VLOOKUP(A115,'1819 Funding Detail'!$A$4:$AN$23,35,FALSE)</f>
        <v>1111722.804768923</v>
      </c>
      <c r="AC115" s="767">
        <f t="shared" si="51"/>
        <v>537556.13810225634</v>
      </c>
      <c r="AD115" s="767">
        <f t="shared" si="37"/>
        <v>159940.50553115029</v>
      </c>
      <c r="AE115" s="767">
        <f t="shared" si="38"/>
        <v>240300.85709070385</v>
      </c>
      <c r="AF115" s="767">
        <f t="shared" si="52"/>
        <v>400241.36262185418</v>
      </c>
      <c r="AG115" s="767">
        <f t="shared" si="39"/>
        <v>43691.064925582519</v>
      </c>
      <c r="AH115" s="767">
        <f t="shared" si="40"/>
        <v>93623.710554819685</v>
      </c>
      <c r="AI115" s="767">
        <f t="shared" si="53"/>
        <v>137314.7754804022</v>
      </c>
      <c r="AJ115" s="767">
        <f t="shared" si="54"/>
        <v>537556.13810225634</v>
      </c>
      <c r="AK115" s="134"/>
      <c r="AL115" s="726">
        <f t="shared" si="55"/>
        <v>1111722.804768923</v>
      </c>
      <c r="AM115" s="125" t="s">
        <v>402</v>
      </c>
      <c r="AN115" s="627" t="s">
        <v>402</v>
      </c>
      <c r="AO115" s="42">
        <f t="shared" si="56"/>
        <v>11879.892971301997</v>
      </c>
      <c r="AP115" s="42"/>
      <c r="AQ115" s="42">
        <f>VLOOKUP(A115,'Band Calculations 1718'!$A$107:$W$125,23,(FALSE))</f>
        <v>10268.67930679802</v>
      </c>
      <c r="AR115" s="42">
        <f t="shared" si="57"/>
        <v>1611.2136645039773</v>
      </c>
      <c r="AT115" s="42">
        <f>VLOOKUP(A115,'Band Calculations - Rebase'!$A$109:$W$127,23,(FALSE))</f>
        <v>11433.494344038008</v>
      </c>
      <c r="AU115" s="816">
        <f t="shared" si="58"/>
        <v>446.3986272639886</v>
      </c>
      <c r="AV115" s="814"/>
      <c r="AW115" s="2012"/>
    </row>
    <row r="116" spans="1:49" ht="13" x14ac:dyDescent="0.3">
      <c r="A116" s="185">
        <v>9257024</v>
      </c>
      <c r="B116" s="38" t="s">
        <v>71</v>
      </c>
      <c r="C116" s="39">
        <v>3</v>
      </c>
      <c r="D116" s="767">
        <f t="shared" si="24"/>
        <v>0</v>
      </c>
      <c r="E116" s="767">
        <f t="shared" si="25"/>
        <v>0</v>
      </c>
      <c r="F116" s="156">
        <f t="shared" si="41"/>
        <v>0</v>
      </c>
      <c r="G116" s="767">
        <f t="shared" si="26"/>
        <v>280089.83803104534</v>
      </c>
      <c r="H116" s="767">
        <f t="shared" si="27"/>
        <v>459733.66518199159</v>
      </c>
      <c r="I116" s="156">
        <f t="shared" si="42"/>
        <v>739823.50321303692</v>
      </c>
      <c r="J116" s="767">
        <f t="shared" si="28"/>
        <v>42496.38921850342</v>
      </c>
      <c r="K116" s="767">
        <f t="shared" si="29"/>
        <v>84992.77843700684</v>
      </c>
      <c r="L116" s="156">
        <f t="shared" si="43"/>
        <v>127489.16765551026</v>
      </c>
      <c r="M116" s="156">
        <f t="shared" si="44"/>
        <v>867312.67086854717</v>
      </c>
      <c r="N116" s="767">
        <f t="shared" si="30"/>
        <v>3691.5458937198068</v>
      </c>
      <c r="O116" s="767">
        <f t="shared" si="31"/>
        <v>6059.2270531400973</v>
      </c>
      <c r="P116" s="156">
        <f t="shared" si="45"/>
        <v>9750.7729468599046</v>
      </c>
      <c r="Q116" s="767">
        <f t="shared" si="32"/>
        <v>560.09661835748796</v>
      </c>
      <c r="R116" s="767">
        <f t="shared" si="33"/>
        <v>1120.1932367149759</v>
      </c>
      <c r="S116" s="156">
        <f t="shared" si="46"/>
        <v>1680.289855072464</v>
      </c>
      <c r="T116" s="156">
        <f t="shared" si="47"/>
        <v>11431.062801932369</v>
      </c>
      <c r="U116" s="156">
        <f t="shared" si="48"/>
        <v>878743.73367047962</v>
      </c>
      <c r="V116" s="334">
        <f t="shared" si="34"/>
        <v>74.833333333333343</v>
      </c>
      <c r="W116" s="767">
        <f t="shared" si="49"/>
        <v>11742.677955507521</v>
      </c>
      <c r="X116" s="36"/>
      <c r="Y116" s="94">
        <f t="shared" si="35"/>
        <v>638333.33333333337</v>
      </c>
      <c r="Z116" s="767">
        <f t="shared" si="36"/>
        <v>110000</v>
      </c>
      <c r="AA116" s="767">
        <f t="shared" si="50"/>
        <v>748333.33333333337</v>
      </c>
      <c r="AB116" s="971">
        <f>VLOOKUP(A116,'1819 Funding Detail'!$A$4:$AN$23,35,FALSE)</f>
        <v>1336760.3836704795</v>
      </c>
      <c r="AC116" s="767">
        <f t="shared" si="51"/>
        <v>588427.05033714615</v>
      </c>
      <c r="AD116" s="767">
        <f t="shared" si="37"/>
        <v>190026.55300420083</v>
      </c>
      <c r="AE116" s="767">
        <f t="shared" si="38"/>
        <v>311905.65251723997</v>
      </c>
      <c r="AF116" s="767">
        <f t="shared" si="52"/>
        <v>501932.20552144083</v>
      </c>
      <c r="AG116" s="767">
        <f t="shared" si="39"/>
        <v>28831.6149385684</v>
      </c>
      <c r="AH116" s="767">
        <f t="shared" si="40"/>
        <v>57663.2298771368</v>
      </c>
      <c r="AI116" s="767">
        <f t="shared" si="53"/>
        <v>86494.844815705204</v>
      </c>
      <c r="AJ116" s="767">
        <f t="shared" si="54"/>
        <v>588427.05033714604</v>
      </c>
      <c r="AK116" s="134"/>
      <c r="AL116" s="726">
        <f t="shared" si="55"/>
        <v>1336760.3836704793</v>
      </c>
      <c r="AM116" s="125" t="s">
        <v>402</v>
      </c>
      <c r="AN116" s="627" t="s">
        <v>402</v>
      </c>
      <c r="AO116" s="42">
        <f t="shared" si="56"/>
        <v>11742.677955507521</v>
      </c>
      <c r="AP116" s="42"/>
      <c r="AQ116" s="42">
        <f>VLOOKUP(A116,'Band Calculations 1718'!$A$107:$W$125,23,(FALSE))</f>
        <v>9289.4498761949271</v>
      </c>
      <c r="AR116" s="42">
        <f t="shared" si="57"/>
        <v>2453.2280793125938</v>
      </c>
      <c r="AT116" s="42">
        <f>VLOOKUP(A116,'Band Calculations - Rebase'!$A$109:$W$127,23,(FALSE))</f>
        <v>10753.400292648294</v>
      </c>
      <c r="AU116" s="42">
        <f t="shared" si="58"/>
        <v>989.27766285922735</v>
      </c>
      <c r="AV116" s="814"/>
      <c r="AW116" s="2012"/>
    </row>
    <row r="117" spans="1:49" ht="13" x14ac:dyDescent="0.3">
      <c r="A117" s="185">
        <v>9257031</v>
      </c>
      <c r="B117" s="38" t="s">
        <v>98</v>
      </c>
      <c r="C117" s="39">
        <v>4</v>
      </c>
      <c r="D117" s="767">
        <f t="shared" si="24"/>
        <v>0</v>
      </c>
      <c r="E117" s="767">
        <f t="shared" si="25"/>
        <v>0</v>
      </c>
      <c r="F117" s="156">
        <f t="shared" si="41"/>
        <v>0</v>
      </c>
      <c r="G117" s="767">
        <f t="shared" si="26"/>
        <v>328516.19258454861</v>
      </c>
      <c r="H117" s="767">
        <f t="shared" si="27"/>
        <v>473063.31732175004</v>
      </c>
      <c r="I117" s="156">
        <f t="shared" si="42"/>
        <v>801579.50990629871</v>
      </c>
      <c r="J117" s="767">
        <f t="shared" si="28"/>
        <v>0</v>
      </c>
      <c r="K117" s="767">
        <f t="shared" si="29"/>
        <v>0</v>
      </c>
      <c r="L117" s="156">
        <f t="shared" si="43"/>
        <v>0</v>
      </c>
      <c r="M117" s="156">
        <f t="shared" si="44"/>
        <v>801579.50990629871</v>
      </c>
      <c r="N117" s="767">
        <f t="shared" si="30"/>
        <v>76854.166666666672</v>
      </c>
      <c r="O117" s="767">
        <f t="shared" si="31"/>
        <v>110670</v>
      </c>
      <c r="P117" s="156">
        <f t="shared" si="45"/>
        <v>187524.16666666669</v>
      </c>
      <c r="Q117" s="767">
        <f t="shared" si="32"/>
        <v>0</v>
      </c>
      <c r="R117" s="767">
        <f t="shared" si="33"/>
        <v>0</v>
      </c>
      <c r="S117" s="156">
        <f t="shared" si="46"/>
        <v>0</v>
      </c>
      <c r="T117" s="156">
        <f t="shared" si="47"/>
        <v>187524.16666666669</v>
      </c>
      <c r="U117" s="156">
        <f t="shared" si="48"/>
        <v>989103.67657296546</v>
      </c>
      <c r="V117" s="334">
        <f t="shared" si="34"/>
        <v>71.166666666666671</v>
      </c>
      <c r="W117" s="767">
        <f t="shared" si="49"/>
        <v>13898.412317184526</v>
      </c>
      <c r="X117" s="36"/>
      <c r="Y117" s="94">
        <f t="shared" si="35"/>
        <v>711666.66666666674</v>
      </c>
      <c r="Z117" s="767">
        <f t="shared" si="36"/>
        <v>0</v>
      </c>
      <c r="AA117" s="767">
        <f t="shared" si="50"/>
        <v>711666.66666666674</v>
      </c>
      <c r="AB117" s="971">
        <f>VLOOKUP(A117,'1819 Funding Detail'!$A$4:$AN$23,35,FALSE)</f>
        <v>1446382.5499139221</v>
      </c>
      <c r="AC117" s="767">
        <f t="shared" si="51"/>
        <v>734715.88324725535</v>
      </c>
      <c r="AD117" s="767">
        <f t="shared" si="37"/>
        <v>301113.06690461282</v>
      </c>
      <c r="AE117" s="767">
        <f t="shared" si="38"/>
        <v>433602.81634264247</v>
      </c>
      <c r="AF117" s="767">
        <f t="shared" si="52"/>
        <v>734715.88324725535</v>
      </c>
      <c r="AG117" s="767">
        <f t="shared" si="39"/>
        <v>0</v>
      </c>
      <c r="AH117" s="767">
        <f t="shared" si="40"/>
        <v>0</v>
      </c>
      <c r="AI117" s="767">
        <f t="shared" si="53"/>
        <v>0</v>
      </c>
      <c r="AJ117" s="767">
        <f t="shared" si="54"/>
        <v>734715.88324725535</v>
      </c>
      <c r="AK117" s="134"/>
      <c r="AL117" s="726">
        <f t="shared" si="55"/>
        <v>1446382.5499139221</v>
      </c>
      <c r="AM117" s="125" t="s">
        <v>402</v>
      </c>
      <c r="AN117" s="627" t="s">
        <v>402</v>
      </c>
      <c r="AO117" s="42">
        <f t="shared" si="56"/>
        <v>13898.412317184526</v>
      </c>
      <c r="AP117" s="42"/>
      <c r="AQ117" s="42">
        <f>VLOOKUP(A117,'Band Calculations 1718'!$A$107:$W$125,23,(FALSE))</f>
        <v>14327.068527263833</v>
      </c>
      <c r="AR117" s="42">
        <f t="shared" si="57"/>
        <v>-428.65621007930713</v>
      </c>
      <c r="AT117" s="42">
        <f>VLOOKUP(A117,'Band Calculations - Rebase'!$A$109:$W$127,23,(FALSE))</f>
        <v>14327.068527263833</v>
      </c>
      <c r="AU117" s="42">
        <f t="shared" si="58"/>
        <v>-428.65621007930713</v>
      </c>
      <c r="AV117" s="814"/>
      <c r="AW117" s="2012"/>
    </row>
    <row r="118" spans="1:49" ht="13" x14ac:dyDescent="0.3">
      <c r="A118" s="185">
        <v>9257033</v>
      </c>
      <c r="B118" s="38" t="s">
        <v>72</v>
      </c>
      <c r="C118" s="39">
        <v>3</v>
      </c>
      <c r="D118" s="767">
        <f t="shared" si="24"/>
        <v>0</v>
      </c>
      <c r="E118" s="767">
        <f t="shared" si="25"/>
        <v>0</v>
      </c>
      <c r="F118" s="156">
        <f t="shared" si="41"/>
        <v>0</v>
      </c>
      <c r="G118" s="767">
        <f t="shared" si="26"/>
        <v>335298.50821188255</v>
      </c>
      <c r="H118" s="767">
        <f t="shared" si="27"/>
        <v>513598.42081396596</v>
      </c>
      <c r="I118" s="156">
        <f t="shared" si="42"/>
        <v>848896.92902584851</v>
      </c>
      <c r="J118" s="767">
        <f t="shared" si="28"/>
        <v>0</v>
      </c>
      <c r="K118" s="767">
        <f t="shared" si="29"/>
        <v>0</v>
      </c>
      <c r="L118" s="156">
        <f t="shared" si="43"/>
        <v>0</v>
      </c>
      <c r="M118" s="156">
        <f t="shared" si="44"/>
        <v>848896.92902584851</v>
      </c>
      <c r="N118" s="767">
        <f t="shared" si="30"/>
        <v>20617.853682170546</v>
      </c>
      <c r="O118" s="767">
        <f t="shared" si="31"/>
        <v>31581.700581395351</v>
      </c>
      <c r="P118" s="156">
        <f t="shared" si="45"/>
        <v>52199.554263565893</v>
      </c>
      <c r="Q118" s="767">
        <f t="shared" si="32"/>
        <v>0</v>
      </c>
      <c r="R118" s="767">
        <f t="shared" si="33"/>
        <v>0</v>
      </c>
      <c r="S118" s="156">
        <f t="shared" si="46"/>
        <v>0</v>
      </c>
      <c r="T118" s="156">
        <f t="shared" si="47"/>
        <v>52199.554263565893</v>
      </c>
      <c r="U118" s="156">
        <f t="shared" si="48"/>
        <v>901096.48328941443</v>
      </c>
      <c r="V118" s="334">
        <f t="shared" si="34"/>
        <v>89.666666666666671</v>
      </c>
      <c r="W118" s="767">
        <f t="shared" si="49"/>
        <v>10049.403159361498</v>
      </c>
      <c r="X118" s="36"/>
      <c r="Y118" s="94">
        <f t="shared" si="35"/>
        <v>896666.66666666674</v>
      </c>
      <c r="Z118" s="767">
        <f t="shared" si="36"/>
        <v>0</v>
      </c>
      <c r="AA118" s="767">
        <f t="shared" si="50"/>
        <v>896666.66666666674</v>
      </c>
      <c r="AB118" s="971">
        <f>VLOOKUP(A118,'1819 Funding Detail'!$A$4:$AN$23,35,FALSE)</f>
        <v>1364050.4832894143</v>
      </c>
      <c r="AC118" s="767">
        <f t="shared" si="51"/>
        <v>467383.81662274757</v>
      </c>
      <c r="AD118" s="767">
        <f t="shared" si="37"/>
        <v>184607.92013444955</v>
      </c>
      <c r="AE118" s="767">
        <f t="shared" si="38"/>
        <v>282775.89648829802</v>
      </c>
      <c r="AF118" s="767">
        <f t="shared" si="52"/>
        <v>467383.81662274757</v>
      </c>
      <c r="AG118" s="767">
        <f t="shared" si="39"/>
        <v>0</v>
      </c>
      <c r="AH118" s="767">
        <f t="shared" si="40"/>
        <v>0</v>
      </c>
      <c r="AI118" s="767">
        <f t="shared" si="53"/>
        <v>0</v>
      </c>
      <c r="AJ118" s="767">
        <f t="shared" si="54"/>
        <v>467383.81662274757</v>
      </c>
      <c r="AK118" s="134"/>
      <c r="AL118" s="726">
        <f t="shared" si="55"/>
        <v>1364050.4832894143</v>
      </c>
      <c r="AM118" s="125" t="s">
        <v>402</v>
      </c>
      <c r="AN118" s="627" t="s">
        <v>402</v>
      </c>
      <c r="AO118" s="42">
        <f t="shared" si="56"/>
        <v>10049.403159361498</v>
      </c>
      <c r="AP118" s="42"/>
      <c r="AQ118" s="42">
        <f>VLOOKUP(A118,'Band Calculations 1718'!$A$107:$W$125,23,(FALSE))</f>
        <v>9853.3189773154299</v>
      </c>
      <c r="AR118" s="816">
        <f t="shared" si="57"/>
        <v>196.08418204606824</v>
      </c>
      <c r="AT118" s="42">
        <f>VLOOKUP(A118,'Band Calculations - Rebase'!$A$109:$W$127,23,(FALSE))</f>
        <v>9853.3189773154299</v>
      </c>
      <c r="AU118" s="816">
        <f t="shared" si="58"/>
        <v>196.08418204606824</v>
      </c>
      <c r="AV118" s="814"/>
      <c r="AW118" s="2012"/>
    </row>
    <row r="119" spans="1:49" ht="13" x14ac:dyDescent="0.3">
      <c r="A119" s="185">
        <v>9257008</v>
      </c>
      <c r="B119" s="38" t="s">
        <v>73</v>
      </c>
      <c r="C119" s="39">
        <v>4</v>
      </c>
      <c r="D119" s="767">
        <f t="shared" si="24"/>
        <v>0</v>
      </c>
      <c r="E119" s="767">
        <f t="shared" si="25"/>
        <v>0</v>
      </c>
      <c r="F119" s="156">
        <f t="shared" si="41"/>
        <v>0</v>
      </c>
      <c r="G119" s="767">
        <f t="shared" si="26"/>
        <v>334820.62013137911</v>
      </c>
      <c r="H119" s="767">
        <f t="shared" si="27"/>
        <v>494790.47197192715</v>
      </c>
      <c r="I119" s="156">
        <f t="shared" si="42"/>
        <v>829611.0921033062</v>
      </c>
      <c r="J119" s="767">
        <f t="shared" si="28"/>
        <v>0</v>
      </c>
      <c r="K119" s="767">
        <f t="shared" si="29"/>
        <v>0</v>
      </c>
      <c r="L119" s="156">
        <f t="shared" si="43"/>
        <v>0</v>
      </c>
      <c r="M119" s="156">
        <f t="shared" si="44"/>
        <v>829611.0921033062</v>
      </c>
      <c r="N119" s="767">
        <f t="shared" si="30"/>
        <v>15201.923076923076</v>
      </c>
      <c r="O119" s="767">
        <f t="shared" si="31"/>
        <v>22465.064102564109</v>
      </c>
      <c r="P119" s="156">
        <f t="shared" si="45"/>
        <v>37666.987179487187</v>
      </c>
      <c r="Q119" s="767">
        <f t="shared" si="32"/>
        <v>0</v>
      </c>
      <c r="R119" s="767">
        <f t="shared" si="33"/>
        <v>0</v>
      </c>
      <c r="S119" s="156">
        <f t="shared" si="46"/>
        <v>0</v>
      </c>
      <c r="T119" s="156">
        <f t="shared" si="47"/>
        <v>37666.987179487187</v>
      </c>
      <c r="U119" s="156">
        <f t="shared" si="48"/>
        <v>867278.07928279345</v>
      </c>
      <c r="V119" s="334">
        <f t="shared" si="34"/>
        <v>92.916666666666671</v>
      </c>
      <c r="W119" s="767">
        <f t="shared" si="49"/>
        <v>9333.9344855547279</v>
      </c>
      <c r="X119" s="36"/>
      <c r="Y119" s="94">
        <f t="shared" si="35"/>
        <v>929166.66666666674</v>
      </c>
      <c r="Z119" s="767">
        <f t="shared" si="36"/>
        <v>0</v>
      </c>
      <c r="AA119" s="767">
        <f t="shared" si="50"/>
        <v>929166.66666666674</v>
      </c>
      <c r="AB119" s="971">
        <f>VLOOKUP(A119,'1819 Funding Detail'!$A$4:$AN$23,35,FALSE)</f>
        <v>1327538.9792827934</v>
      </c>
      <c r="AC119" s="767">
        <f t="shared" si="51"/>
        <v>398372.31261612661</v>
      </c>
      <c r="AD119" s="767">
        <f t="shared" si="37"/>
        <v>160778.0633876744</v>
      </c>
      <c r="AE119" s="767">
        <f t="shared" si="38"/>
        <v>237594.24922845216</v>
      </c>
      <c r="AF119" s="767">
        <f t="shared" si="52"/>
        <v>398372.31261612655</v>
      </c>
      <c r="AG119" s="767">
        <f t="shared" si="39"/>
        <v>0</v>
      </c>
      <c r="AH119" s="767">
        <f t="shared" si="40"/>
        <v>0</v>
      </c>
      <c r="AI119" s="767">
        <f t="shared" si="53"/>
        <v>0</v>
      </c>
      <c r="AJ119" s="767">
        <f t="shared" si="54"/>
        <v>398372.31261612655</v>
      </c>
      <c r="AK119" s="134"/>
      <c r="AL119" s="726">
        <f t="shared" si="55"/>
        <v>1327538.9792827934</v>
      </c>
      <c r="AM119" s="125" t="s">
        <v>402</v>
      </c>
      <c r="AN119" s="627" t="s">
        <v>402</v>
      </c>
      <c r="AO119" s="42">
        <f t="shared" si="56"/>
        <v>9333.9344855547279</v>
      </c>
      <c r="AP119" s="42"/>
      <c r="AQ119" s="42">
        <f>VLOOKUP(A119,'Band Calculations 1718'!$A$107:$W$125,23,(FALSE))</f>
        <v>8745.392390460469</v>
      </c>
      <c r="AR119" s="42">
        <f t="shared" si="57"/>
        <v>588.54209509425891</v>
      </c>
      <c r="AT119" s="42">
        <f>VLOOKUP(A119,'Band Calculations - Rebase'!$A$109:$W$127,23,(FALSE))</f>
        <v>8745.392390460469</v>
      </c>
      <c r="AU119" s="42">
        <f t="shared" si="58"/>
        <v>588.54209509425891</v>
      </c>
      <c r="AV119" s="814"/>
      <c r="AW119" s="2012"/>
    </row>
    <row r="120" spans="1:49" ht="13" x14ac:dyDescent="0.3">
      <c r="A120" s="185">
        <v>9257034</v>
      </c>
      <c r="B120" s="38" t="s">
        <v>74</v>
      </c>
      <c r="C120" s="39">
        <v>5</v>
      </c>
      <c r="D120" s="767">
        <f t="shared" si="24"/>
        <v>0</v>
      </c>
      <c r="E120" s="767">
        <f t="shared" si="25"/>
        <v>0</v>
      </c>
      <c r="F120" s="156">
        <f t="shared" si="41"/>
        <v>0</v>
      </c>
      <c r="G120" s="767">
        <f t="shared" si="26"/>
        <v>303058.50276049814</v>
      </c>
      <c r="H120" s="767">
        <f t="shared" si="27"/>
        <v>403585.22562739509</v>
      </c>
      <c r="I120" s="156">
        <f t="shared" si="42"/>
        <v>706643.72838789318</v>
      </c>
      <c r="J120" s="767">
        <f t="shared" si="28"/>
        <v>103483.39118651157</v>
      </c>
      <c r="K120" s="767">
        <f t="shared" si="29"/>
        <v>195140.1090945646</v>
      </c>
      <c r="L120" s="156">
        <f t="shared" si="43"/>
        <v>298623.50028107618</v>
      </c>
      <c r="M120" s="156">
        <f t="shared" si="44"/>
        <v>1005267.2286689694</v>
      </c>
      <c r="N120" s="767">
        <f t="shared" si="30"/>
        <v>23691.885964912282</v>
      </c>
      <c r="O120" s="767">
        <f t="shared" si="31"/>
        <v>31550.65789473684</v>
      </c>
      <c r="P120" s="156">
        <f t="shared" si="45"/>
        <v>55242.543859649122</v>
      </c>
      <c r="Q120" s="767">
        <f t="shared" si="32"/>
        <v>8089.9122807017529</v>
      </c>
      <c r="R120" s="767">
        <f t="shared" si="33"/>
        <v>15255.263157894737</v>
      </c>
      <c r="S120" s="156">
        <f t="shared" si="46"/>
        <v>23345.175438596489</v>
      </c>
      <c r="T120" s="156">
        <f t="shared" si="47"/>
        <v>78587.719298245618</v>
      </c>
      <c r="U120" s="156">
        <f t="shared" si="48"/>
        <v>1083854.947967215</v>
      </c>
      <c r="V120" s="334">
        <f t="shared" si="34"/>
        <v>113.33333333333334</v>
      </c>
      <c r="W120" s="767">
        <f t="shared" si="49"/>
        <v>9563.4260114754252</v>
      </c>
      <c r="X120" s="36"/>
      <c r="Y120" s="94">
        <f t="shared" si="35"/>
        <v>796666.66666666674</v>
      </c>
      <c r="Z120" s="767">
        <f t="shared" si="36"/>
        <v>336666.66666666663</v>
      </c>
      <c r="AA120" s="767">
        <f t="shared" si="50"/>
        <v>1133333.3333333335</v>
      </c>
      <c r="AB120" s="971">
        <f>VLOOKUP(A120,'1819 Funding Detail'!$A$4:$AN$23,35,FALSE)</f>
        <v>1576553.197967215</v>
      </c>
      <c r="AC120" s="767">
        <f t="shared" si="51"/>
        <v>443219.86463388149</v>
      </c>
      <c r="AD120" s="767">
        <f t="shared" si="37"/>
        <v>133617.75330874368</v>
      </c>
      <c r="AE120" s="767">
        <f t="shared" si="38"/>
        <v>177939.73977213184</v>
      </c>
      <c r="AF120" s="767">
        <f t="shared" si="52"/>
        <v>311557.49308087549</v>
      </c>
      <c r="AG120" s="767">
        <f t="shared" si="39"/>
        <v>45625.574300546614</v>
      </c>
      <c r="AH120" s="767">
        <f t="shared" si="40"/>
        <v>86036.797252459335</v>
      </c>
      <c r="AI120" s="767">
        <f t="shared" si="53"/>
        <v>131662.37155300594</v>
      </c>
      <c r="AJ120" s="767">
        <f t="shared" si="54"/>
        <v>443219.86463388143</v>
      </c>
      <c r="AK120" s="134"/>
      <c r="AL120" s="726">
        <f t="shared" si="55"/>
        <v>1576553.1979672147</v>
      </c>
      <c r="AM120" s="125" t="s">
        <v>402</v>
      </c>
      <c r="AN120" s="627" t="s">
        <v>402</v>
      </c>
      <c r="AO120" s="42">
        <f t="shared" si="56"/>
        <v>9563.4260114754252</v>
      </c>
      <c r="AP120" s="42"/>
      <c r="AQ120" s="42">
        <f>VLOOKUP(A120,'Band Calculations 1718'!$A$107:$W$125,23,(FALSE))</f>
        <v>8682.1328193541576</v>
      </c>
      <c r="AR120" s="42">
        <f t="shared" si="57"/>
        <v>881.29319212126757</v>
      </c>
      <c r="AT120" s="42">
        <f>VLOOKUP(A120,'Band Calculations - Rebase'!$A$109:$W$127,23,(FALSE))</f>
        <v>8945.7875194442186</v>
      </c>
      <c r="AU120" s="42">
        <f t="shared" si="58"/>
        <v>617.63849203120662</v>
      </c>
      <c r="AV120" s="814"/>
      <c r="AW120" s="2012"/>
    </row>
    <row r="121" spans="1:49" ht="13" x14ac:dyDescent="0.3">
      <c r="A121" s="185">
        <v>9257002</v>
      </c>
      <c r="B121" s="38" t="s">
        <v>75</v>
      </c>
      <c r="C121" s="39">
        <v>5</v>
      </c>
      <c r="D121" s="767">
        <f t="shared" si="24"/>
        <v>0</v>
      </c>
      <c r="E121" s="767">
        <f t="shared" si="25"/>
        <v>0</v>
      </c>
      <c r="F121" s="156">
        <f t="shared" si="41"/>
        <v>0</v>
      </c>
      <c r="G121" s="767">
        <f t="shared" si="26"/>
        <v>490328.01679392811</v>
      </c>
      <c r="H121" s="767">
        <f t="shared" si="27"/>
        <v>696127.66327926703</v>
      </c>
      <c r="I121" s="156">
        <f t="shared" si="42"/>
        <v>1186455.6800731951</v>
      </c>
      <c r="J121" s="767">
        <f t="shared" si="28"/>
        <v>0</v>
      </c>
      <c r="K121" s="767">
        <f t="shared" si="29"/>
        <v>0</v>
      </c>
      <c r="L121" s="156">
        <f t="shared" si="43"/>
        <v>0</v>
      </c>
      <c r="M121" s="156">
        <f t="shared" si="44"/>
        <v>1186455.6800731951</v>
      </c>
      <c r="N121" s="767">
        <f t="shared" si="30"/>
        <v>29161.930455635498</v>
      </c>
      <c r="O121" s="767">
        <f t="shared" si="31"/>
        <v>41401.726618705041</v>
      </c>
      <c r="P121" s="156">
        <f t="shared" si="45"/>
        <v>70563.657074340532</v>
      </c>
      <c r="Q121" s="767">
        <f t="shared" si="32"/>
        <v>0</v>
      </c>
      <c r="R121" s="767">
        <f t="shared" si="33"/>
        <v>0</v>
      </c>
      <c r="S121" s="156">
        <f t="shared" si="46"/>
        <v>0</v>
      </c>
      <c r="T121" s="156">
        <f t="shared" si="47"/>
        <v>70563.657074340532</v>
      </c>
      <c r="U121" s="156">
        <f t="shared" si="48"/>
        <v>1257019.3371475358</v>
      </c>
      <c r="V121" s="334">
        <f t="shared" si="34"/>
        <v>143.16666666666669</v>
      </c>
      <c r="W121" s="767">
        <f t="shared" si="49"/>
        <v>8780.1117844996661</v>
      </c>
      <c r="X121" s="36"/>
      <c r="Y121" s="94">
        <f t="shared" si="35"/>
        <v>1431666.6666666667</v>
      </c>
      <c r="Z121" s="767">
        <f t="shared" si="36"/>
        <v>0</v>
      </c>
      <c r="AA121" s="767">
        <f t="shared" si="50"/>
        <v>1431666.6666666667</v>
      </c>
      <c r="AB121" s="971">
        <f>VLOOKUP(A121,'1819 Funding Detail'!$A$4:$AN$23,35,FALSE)</f>
        <v>1780808.3871475358</v>
      </c>
      <c r="AC121" s="767">
        <f t="shared" si="51"/>
        <v>349141.72048086906</v>
      </c>
      <c r="AD121" s="767">
        <f t="shared" si="37"/>
        <v>144290.23372608674</v>
      </c>
      <c r="AE121" s="767">
        <f t="shared" si="38"/>
        <v>204851.48675478229</v>
      </c>
      <c r="AF121" s="767">
        <f t="shared" si="52"/>
        <v>349141.72048086906</v>
      </c>
      <c r="AG121" s="767">
        <f t="shared" si="39"/>
        <v>0</v>
      </c>
      <c r="AH121" s="767">
        <f t="shared" si="40"/>
        <v>0</v>
      </c>
      <c r="AI121" s="767">
        <f t="shared" si="53"/>
        <v>0</v>
      </c>
      <c r="AJ121" s="767">
        <f t="shared" si="54"/>
        <v>349141.72048086906</v>
      </c>
      <c r="AK121" s="134"/>
      <c r="AL121" s="726">
        <f t="shared" si="55"/>
        <v>1780808.3871475358</v>
      </c>
      <c r="AM121" s="125" t="s">
        <v>402</v>
      </c>
      <c r="AN121" s="627" t="s">
        <v>402</v>
      </c>
      <c r="AO121" s="42">
        <f t="shared" si="56"/>
        <v>8780.1117844996661</v>
      </c>
      <c r="AP121" s="42"/>
      <c r="AQ121" s="42">
        <f>VLOOKUP(A121,'Band Calculations 1718'!$A$107:$W$125,23,(FALSE))</f>
        <v>7480.8820134065591</v>
      </c>
      <c r="AR121" s="42">
        <f t="shared" si="57"/>
        <v>1299.229771093107</v>
      </c>
      <c r="AT121" s="42">
        <f>VLOOKUP(A121,'Band Calculations - Rebase'!$A$109:$W$127,23,(FALSE))</f>
        <v>7558.3444916912022</v>
      </c>
      <c r="AU121" s="42">
        <f t="shared" si="58"/>
        <v>1221.7672928084639</v>
      </c>
      <c r="AV121" s="814"/>
      <c r="AW121" s="2012"/>
    </row>
    <row r="122" spans="1:49" ht="13" x14ac:dyDescent="0.3">
      <c r="A122" s="185">
        <v>9257009</v>
      </c>
      <c r="B122" s="38" t="s">
        <v>76</v>
      </c>
      <c r="C122" s="39">
        <v>4</v>
      </c>
      <c r="D122" s="767">
        <f t="shared" si="24"/>
        <v>0</v>
      </c>
      <c r="E122" s="767">
        <f t="shared" si="25"/>
        <v>0</v>
      </c>
      <c r="F122" s="156">
        <f t="shared" si="41"/>
        <v>0</v>
      </c>
      <c r="G122" s="767">
        <f t="shared" si="26"/>
        <v>498231.85835514392</v>
      </c>
      <c r="H122" s="767">
        <f t="shared" si="27"/>
        <v>719153.2715172699</v>
      </c>
      <c r="I122" s="156">
        <f t="shared" si="42"/>
        <v>1217385.1298724138</v>
      </c>
      <c r="J122" s="767">
        <f t="shared" si="28"/>
        <v>0</v>
      </c>
      <c r="K122" s="767">
        <f t="shared" si="29"/>
        <v>0</v>
      </c>
      <c r="L122" s="156">
        <f t="shared" si="43"/>
        <v>0</v>
      </c>
      <c r="M122" s="156">
        <f t="shared" si="44"/>
        <v>1217385.1298724138</v>
      </c>
      <c r="N122" s="767">
        <f t="shared" si="30"/>
        <v>17703.90625</v>
      </c>
      <c r="O122" s="767">
        <f t="shared" si="31"/>
        <v>25554.010416666668</v>
      </c>
      <c r="P122" s="156">
        <f t="shared" si="45"/>
        <v>43257.916666666672</v>
      </c>
      <c r="Q122" s="767">
        <f t="shared" si="32"/>
        <v>0</v>
      </c>
      <c r="R122" s="767">
        <f t="shared" si="33"/>
        <v>0</v>
      </c>
      <c r="S122" s="156">
        <f t="shared" si="46"/>
        <v>0</v>
      </c>
      <c r="T122" s="156">
        <f t="shared" si="47"/>
        <v>43257.916666666672</v>
      </c>
      <c r="U122" s="156">
        <f t="shared" si="48"/>
        <v>1260643.0465390806</v>
      </c>
      <c r="V122" s="334">
        <f t="shared" si="34"/>
        <v>131.33333333333334</v>
      </c>
      <c r="W122" s="767">
        <f t="shared" si="49"/>
        <v>9598.8049228864002</v>
      </c>
      <c r="X122" s="36"/>
      <c r="Y122" s="94">
        <f t="shared" si="35"/>
        <v>1313333.3333333335</v>
      </c>
      <c r="Z122" s="767">
        <f t="shared" si="36"/>
        <v>0</v>
      </c>
      <c r="AA122" s="767">
        <f t="shared" si="50"/>
        <v>1313333.3333333335</v>
      </c>
      <c r="AB122" s="971">
        <f>VLOOKUP(A122,'1819 Funding Detail'!$A$4:$AN$23,35,FALSE)</f>
        <v>1774557.3965390807</v>
      </c>
      <c r="AC122" s="767">
        <f t="shared" si="51"/>
        <v>461224.06320574717</v>
      </c>
      <c r="AD122" s="767">
        <f t="shared" si="37"/>
        <v>188762.38627392572</v>
      </c>
      <c r="AE122" s="767">
        <f t="shared" si="38"/>
        <v>272461.67693182145</v>
      </c>
      <c r="AF122" s="767">
        <f t="shared" si="52"/>
        <v>461224.06320574717</v>
      </c>
      <c r="AG122" s="767">
        <f t="shared" si="39"/>
        <v>0</v>
      </c>
      <c r="AH122" s="767">
        <f t="shared" si="40"/>
        <v>0</v>
      </c>
      <c r="AI122" s="767">
        <f t="shared" si="53"/>
        <v>0</v>
      </c>
      <c r="AJ122" s="767">
        <f t="shared" si="54"/>
        <v>461224.06320574717</v>
      </c>
      <c r="AK122" s="134"/>
      <c r="AL122" s="726">
        <f t="shared" si="55"/>
        <v>1774557.3965390807</v>
      </c>
      <c r="AM122" s="125" t="s">
        <v>402</v>
      </c>
      <c r="AN122" s="627" t="s">
        <v>402</v>
      </c>
      <c r="AO122" s="42">
        <f t="shared" si="56"/>
        <v>9598.8049228864002</v>
      </c>
      <c r="AP122" s="42"/>
      <c r="AQ122" s="42">
        <f>VLOOKUP(A122,'Band Calculations 1718'!$A$107:$W$125,23,(FALSE))</f>
        <v>7608.4838508549019</v>
      </c>
      <c r="AR122" s="42">
        <f t="shared" si="57"/>
        <v>1990.3210720314983</v>
      </c>
      <c r="AT122" s="42">
        <f>VLOOKUP(A122,'Band Calculations - Rebase'!$A$109:$W$127,23,(FALSE))</f>
        <v>7608.4838508549019</v>
      </c>
      <c r="AU122" s="816">
        <f t="shared" si="58"/>
        <v>1990.3210720314983</v>
      </c>
      <c r="AV122" s="814"/>
      <c r="AW122" s="2012"/>
    </row>
    <row r="123" spans="1:49" ht="13" x14ac:dyDescent="0.3">
      <c r="A123" s="185">
        <v>9257029</v>
      </c>
      <c r="B123" s="38" t="s">
        <v>99</v>
      </c>
      <c r="C123" s="39">
        <v>3</v>
      </c>
      <c r="D123" s="767">
        <f t="shared" si="24"/>
        <v>0</v>
      </c>
      <c r="E123" s="767">
        <f t="shared" si="25"/>
        <v>0</v>
      </c>
      <c r="F123" s="156">
        <f t="shared" si="41"/>
        <v>0</v>
      </c>
      <c r="G123" s="767">
        <f t="shared" si="26"/>
        <v>201802.80401622274</v>
      </c>
      <c r="H123" s="767">
        <f t="shared" si="27"/>
        <v>269383.27791932988</v>
      </c>
      <c r="I123" s="156">
        <f t="shared" si="42"/>
        <v>471186.08193555265</v>
      </c>
      <c r="J123" s="767">
        <f t="shared" si="28"/>
        <v>0</v>
      </c>
      <c r="K123" s="767">
        <f t="shared" si="29"/>
        <v>0</v>
      </c>
      <c r="L123" s="156">
        <f t="shared" si="43"/>
        <v>0</v>
      </c>
      <c r="M123" s="156">
        <f t="shared" si="44"/>
        <v>471186.08193555265</v>
      </c>
      <c r="N123" s="767">
        <f t="shared" si="30"/>
        <v>47210.416666666672</v>
      </c>
      <c r="O123" s="767">
        <f t="shared" si="31"/>
        <v>63020.416666666672</v>
      </c>
      <c r="P123" s="156">
        <f t="shared" si="45"/>
        <v>110230.83333333334</v>
      </c>
      <c r="Q123" s="767">
        <f t="shared" si="32"/>
        <v>0</v>
      </c>
      <c r="R123" s="767">
        <f t="shared" si="33"/>
        <v>0</v>
      </c>
      <c r="S123" s="156">
        <f t="shared" si="46"/>
        <v>0</v>
      </c>
      <c r="T123" s="156">
        <f t="shared" si="47"/>
        <v>110230.83333333334</v>
      </c>
      <c r="U123" s="156">
        <f t="shared" si="48"/>
        <v>581416.91526888602</v>
      </c>
      <c r="V123" s="334">
        <f t="shared" si="34"/>
        <v>41.833333333333336</v>
      </c>
      <c r="W123" s="767">
        <f t="shared" si="49"/>
        <v>13898.412317184526</v>
      </c>
      <c r="X123" s="36"/>
      <c r="Y123" s="94">
        <f t="shared" si="35"/>
        <v>418333.33333333337</v>
      </c>
      <c r="Z123" s="767">
        <f t="shared" si="36"/>
        <v>0</v>
      </c>
      <c r="AA123" s="767">
        <f t="shared" si="50"/>
        <v>418333.33333333337</v>
      </c>
      <c r="AB123" s="971">
        <f>VLOOKUP(A123,'1819 Funding Detail'!$A$4:$AN$23,35,FALSE)</f>
        <v>944664.37622972182</v>
      </c>
      <c r="AC123" s="767">
        <f t="shared" si="51"/>
        <v>526331.04289638845</v>
      </c>
      <c r="AD123" s="767">
        <f t="shared" si="37"/>
        <v>225420.66578231775</v>
      </c>
      <c r="AE123" s="767">
        <f t="shared" si="38"/>
        <v>300910.3771140707</v>
      </c>
      <c r="AF123" s="767">
        <f t="shared" si="52"/>
        <v>526331.04289638845</v>
      </c>
      <c r="AG123" s="767">
        <f t="shared" si="39"/>
        <v>0</v>
      </c>
      <c r="AH123" s="767">
        <f t="shared" si="40"/>
        <v>0</v>
      </c>
      <c r="AI123" s="767">
        <f t="shared" si="53"/>
        <v>0</v>
      </c>
      <c r="AJ123" s="767">
        <f t="shared" si="54"/>
        <v>526331.04289638845</v>
      </c>
      <c r="AK123" s="134"/>
      <c r="AL123" s="726">
        <f t="shared" si="55"/>
        <v>944664.37622972182</v>
      </c>
      <c r="AM123" s="125" t="s">
        <v>402</v>
      </c>
      <c r="AN123" s="627" t="s">
        <v>402</v>
      </c>
      <c r="AO123" s="42">
        <f t="shared" si="56"/>
        <v>13898.412317184526</v>
      </c>
      <c r="AP123" s="42"/>
      <c r="AQ123" s="42">
        <f>VLOOKUP(A123,'Band Calculations 1718'!$A$107:$W$125,23,(FALSE))</f>
        <v>14327.068527263833</v>
      </c>
      <c r="AR123" s="42">
        <f t="shared" si="57"/>
        <v>-428.65621007930713</v>
      </c>
      <c r="AT123" s="42">
        <f>VLOOKUP(A123,'Band Calculations - Rebase'!$A$109:$W$127,23,(FALSE))</f>
        <v>14327.068527263833</v>
      </c>
      <c r="AU123" s="42">
        <f t="shared" si="58"/>
        <v>-428.65621007930713</v>
      </c>
      <c r="AV123" s="814"/>
      <c r="AW123" s="2012"/>
    </row>
    <row r="124" spans="1:49" ht="13" x14ac:dyDescent="0.3">
      <c r="A124" s="185">
        <v>9257032</v>
      </c>
      <c r="B124" s="38" t="s">
        <v>100</v>
      </c>
      <c r="C124" s="39">
        <v>4</v>
      </c>
      <c r="D124" s="767">
        <f t="shared" si="24"/>
        <v>0</v>
      </c>
      <c r="E124" s="767">
        <f t="shared" si="25"/>
        <v>0</v>
      </c>
      <c r="F124" s="156">
        <f t="shared" si="41"/>
        <v>0</v>
      </c>
      <c r="G124" s="767">
        <f t="shared" si="26"/>
        <v>281585.3079296131</v>
      </c>
      <c r="H124" s="767">
        <f t="shared" si="27"/>
        <v>473063.31732175004</v>
      </c>
      <c r="I124" s="156">
        <f t="shared" si="42"/>
        <v>754648.62525136315</v>
      </c>
      <c r="J124" s="767">
        <f t="shared" si="28"/>
        <v>0</v>
      </c>
      <c r="K124" s="767">
        <f t="shared" si="29"/>
        <v>0</v>
      </c>
      <c r="L124" s="156">
        <f t="shared" si="43"/>
        <v>0</v>
      </c>
      <c r="M124" s="156">
        <f t="shared" si="44"/>
        <v>754648.62525136315</v>
      </c>
      <c r="N124" s="767">
        <f t="shared" si="30"/>
        <v>65875</v>
      </c>
      <c r="O124" s="767">
        <f t="shared" si="31"/>
        <v>110670</v>
      </c>
      <c r="P124" s="156">
        <f t="shared" si="45"/>
        <v>176545</v>
      </c>
      <c r="Q124" s="767">
        <f t="shared" si="32"/>
        <v>0</v>
      </c>
      <c r="R124" s="767">
        <f t="shared" si="33"/>
        <v>0</v>
      </c>
      <c r="S124" s="156">
        <f t="shared" si="46"/>
        <v>0</v>
      </c>
      <c r="T124" s="156">
        <f t="shared" si="47"/>
        <v>176545</v>
      </c>
      <c r="U124" s="156">
        <f t="shared" si="48"/>
        <v>931193.62525136315</v>
      </c>
      <c r="V124" s="334">
        <f t="shared" si="34"/>
        <v>67</v>
      </c>
      <c r="W124" s="767">
        <f t="shared" si="49"/>
        <v>13898.412317184524</v>
      </c>
      <c r="X124" s="36"/>
      <c r="Y124" s="94">
        <f t="shared" si="35"/>
        <v>670000</v>
      </c>
      <c r="Z124" s="767">
        <f t="shared" si="36"/>
        <v>0</v>
      </c>
      <c r="AA124" s="767">
        <f t="shared" si="50"/>
        <v>670000</v>
      </c>
      <c r="AB124" s="971">
        <f>VLOOKUP(A124,'1819 Funding Detail'!$A$4:$AN$23,35,FALSE)</f>
        <v>1385780.5546326621</v>
      </c>
      <c r="AC124" s="767">
        <f t="shared" si="51"/>
        <v>715780.5546326621</v>
      </c>
      <c r="AD124" s="767">
        <f t="shared" si="37"/>
        <v>267082.29650472465</v>
      </c>
      <c r="AE124" s="767">
        <f t="shared" si="38"/>
        <v>448698.25812793744</v>
      </c>
      <c r="AF124" s="767">
        <f t="shared" si="52"/>
        <v>715780.5546326621</v>
      </c>
      <c r="AG124" s="767">
        <f t="shared" si="39"/>
        <v>0</v>
      </c>
      <c r="AH124" s="767">
        <f t="shared" si="40"/>
        <v>0</v>
      </c>
      <c r="AI124" s="767">
        <f t="shared" si="53"/>
        <v>0</v>
      </c>
      <c r="AJ124" s="767">
        <f t="shared" si="54"/>
        <v>715780.5546326621</v>
      </c>
      <c r="AK124" s="134"/>
      <c r="AL124" s="726">
        <f t="shared" si="55"/>
        <v>1385780.5546326621</v>
      </c>
      <c r="AM124" s="125" t="s">
        <v>402</v>
      </c>
      <c r="AN124" s="627" t="s">
        <v>402</v>
      </c>
      <c r="AO124" s="42">
        <f t="shared" si="56"/>
        <v>13898.412317184524</v>
      </c>
      <c r="AP124" s="42"/>
      <c r="AQ124" s="42">
        <f>VLOOKUP(A124,'Band Calculations 1718'!$A$107:$W$125,23,(FALSE))</f>
        <v>14327.068527263833</v>
      </c>
      <c r="AR124" s="42">
        <f t="shared" si="57"/>
        <v>-428.65621007930895</v>
      </c>
      <c r="AT124" s="42">
        <f>VLOOKUP(A124,'Band Calculations - Rebase'!$A$109:$W$127,23,(FALSE))</f>
        <v>14327.068527263833</v>
      </c>
      <c r="AU124" s="42">
        <f t="shared" si="58"/>
        <v>-428.65621007930895</v>
      </c>
      <c r="AV124" s="814"/>
      <c r="AW124" s="2012"/>
    </row>
    <row r="125" spans="1:49" ht="13" x14ac:dyDescent="0.3">
      <c r="A125" s="185">
        <v>9257030</v>
      </c>
      <c r="B125" s="38" t="s">
        <v>92</v>
      </c>
      <c r="C125" s="39">
        <v>4</v>
      </c>
      <c r="D125" s="767">
        <f t="shared" si="24"/>
        <v>0</v>
      </c>
      <c r="E125" s="767">
        <f t="shared" si="25"/>
        <v>0</v>
      </c>
      <c r="F125" s="156">
        <f t="shared" si="41"/>
        <v>0</v>
      </c>
      <c r="G125" s="767">
        <f t="shared" si="26"/>
        <v>328516.19258454861</v>
      </c>
      <c r="H125" s="767">
        <f t="shared" si="27"/>
        <v>459922.66961836809</v>
      </c>
      <c r="I125" s="156">
        <f t="shared" si="42"/>
        <v>788438.86220291676</v>
      </c>
      <c r="J125" s="767">
        <f t="shared" si="28"/>
        <v>0</v>
      </c>
      <c r="K125" s="767">
        <f t="shared" si="29"/>
        <v>0</v>
      </c>
      <c r="L125" s="156">
        <f t="shared" si="43"/>
        <v>0</v>
      </c>
      <c r="M125" s="156">
        <f t="shared" si="44"/>
        <v>788438.86220291676</v>
      </c>
      <c r="N125" s="767">
        <f t="shared" si="30"/>
        <v>76854.166666666672</v>
      </c>
      <c r="O125" s="767">
        <f t="shared" si="31"/>
        <v>107595.83333333334</v>
      </c>
      <c r="P125" s="156">
        <f t="shared" si="45"/>
        <v>184450</v>
      </c>
      <c r="Q125" s="767">
        <f t="shared" si="32"/>
        <v>0</v>
      </c>
      <c r="R125" s="767">
        <f t="shared" si="33"/>
        <v>0</v>
      </c>
      <c r="S125" s="156">
        <f t="shared" si="46"/>
        <v>0</v>
      </c>
      <c r="T125" s="156">
        <f t="shared" si="47"/>
        <v>184450</v>
      </c>
      <c r="U125" s="156">
        <f t="shared" si="48"/>
        <v>972888.86220291676</v>
      </c>
      <c r="V125" s="334">
        <f t="shared" si="34"/>
        <v>70</v>
      </c>
      <c r="W125" s="767">
        <f t="shared" si="49"/>
        <v>13898.412317184526</v>
      </c>
      <c r="X125" s="36"/>
      <c r="Y125" s="94">
        <f t="shared" si="35"/>
        <v>700000</v>
      </c>
      <c r="Z125" s="767">
        <f t="shared" si="36"/>
        <v>0</v>
      </c>
      <c r="AA125" s="767">
        <f t="shared" si="50"/>
        <v>700000</v>
      </c>
      <c r="AB125" s="971">
        <f>VLOOKUP(A125,'1819 Funding Detail'!$A$4:$AN$23,35,FALSE)</f>
        <v>1439314.2248390857</v>
      </c>
      <c r="AC125" s="767">
        <f t="shared" si="51"/>
        <v>739314.22483908571</v>
      </c>
      <c r="AD125" s="767">
        <f t="shared" si="37"/>
        <v>308047.5936829524</v>
      </c>
      <c r="AE125" s="767">
        <f t="shared" si="38"/>
        <v>431266.63115613337</v>
      </c>
      <c r="AF125" s="767">
        <f t="shared" si="52"/>
        <v>739314.22483908571</v>
      </c>
      <c r="AG125" s="767">
        <f t="shared" si="39"/>
        <v>0</v>
      </c>
      <c r="AH125" s="767">
        <f t="shared" si="40"/>
        <v>0</v>
      </c>
      <c r="AI125" s="767">
        <f t="shared" si="53"/>
        <v>0</v>
      </c>
      <c r="AJ125" s="767">
        <f t="shared" si="54"/>
        <v>739314.22483908571</v>
      </c>
      <c r="AK125" s="134"/>
      <c r="AL125" s="726">
        <f t="shared" si="55"/>
        <v>1439314.2248390857</v>
      </c>
      <c r="AM125" s="125" t="s">
        <v>402</v>
      </c>
      <c r="AN125" s="627" t="s">
        <v>402</v>
      </c>
      <c r="AO125" s="42">
        <f t="shared" si="56"/>
        <v>13898.412317184526</v>
      </c>
      <c r="AP125" s="42"/>
      <c r="AQ125" s="42">
        <f>VLOOKUP(A125,'Band Calculations 1718'!$A$107:$W$125,23,(FALSE))</f>
        <v>14327.068527263831</v>
      </c>
      <c r="AR125" s="42">
        <f t="shared" si="57"/>
        <v>-428.65621007930531</v>
      </c>
      <c r="AT125" s="42">
        <f>VLOOKUP(A125,'Band Calculations - Rebase'!$A$109:$W$127,23,(FALSE))</f>
        <v>14327.068527263831</v>
      </c>
      <c r="AU125" s="42">
        <f t="shared" si="58"/>
        <v>-428.65621007930531</v>
      </c>
      <c r="AV125" s="814"/>
      <c r="AW125" s="2012"/>
    </row>
    <row r="126" spans="1:49" ht="13" x14ac:dyDescent="0.3">
      <c r="A126" s="185">
        <v>9257028</v>
      </c>
      <c r="B126" s="38" t="s">
        <v>77</v>
      </c>
      <c r="C126" s="39">
        <v>5</v>
      </c>
      <c r="D126" s="767">
        <f t="shared" si="24"/>
        <v>0</v>
      </c>
      <c r="E126" s="767">
        <f t="shared" si="25"/>
        <v>0</v>
      </c>
      <c r="F126" s="156">
        <f t="shared" si="41"/>
        <v>0</v>
      </c>
      <c r="G126" s="767">
        <f t="shared" si="26"/>
        <v>330777.78943154495</v>
      </c>
      <c r="H126" s="767">
        <f t="shared" si="27"/>
        <v>501047.01218811079</v>
      </c>
      <c r="I126" s="156">
        <f t="shared" si="42"/>
        <v>831824.80161965569</v>
      </c>
      <c r="J126" s="767">
        <f t="shared" si="28"/>
        <v>78085.248652692593</v>
      </c>
      <c r="K126" s="767">
        <f t="shared" si="29"/>
        <v>121465.9423486329</v>
      </c>
      <c r="L126" s="156">
        <f t="shared" si="43"/>
        <v>199551.1910013255</v>
      </c>
      <c r="M126" s="156">
        <f t="shared" si="44"/>
        <v>1031375.9926209812</v>
      </c>
      <c r="N126" s="767">
        <f t="shared" si="30"/>
        <v>2543.2753164556962</v>
      </c>
      <c r="O126" s="767">
        <f t="shared" si="31"/>
        <v>3852.4367088607596</v>
      </c>
      <c r="P126" s="156">
        <f t="shared" si="45"/>
        <v>6395.7120253164558</v>
      </c>
      <c r="Q126" s="767">
        <f t="shared" si="32"/>
        <v>600.37974683544303</v>
      </c>
      <c r="R126" s="767">
        <f t="shared" si="33"/>
        <v>933.92405063291153</v>
      </c>
      <c r="S126" s="156">
        <f t="shared" si="46"/>
        <v>1534.3037974683546</v>
      </c>
      <c r="T126" s="156">
        <f t="shared" si="47"/>
        <v>7930.0158227848106</v>
      </c>
      <c r="U126" s="156">
        <f t="shared" si="48"/>
        <v>1039306.0084437659</v>
      </c>
      <c r="V126" s="334">
        <f t="shared" si="34"/>
        <v>79.25</v>
      </c>
      <c r="W126" s="767">
        <f t="shared" si="49"/>
        <v>13114.271399921337</v>
      </c>
      <c r="X126" s="36"/>
      <c r="Y126" s="94">
        <f t="shared" si="35"/>
        <v>639166.66666666674</v>
      </c>
      <c r="Z126" s="767">
        <f t="shared" si="36"/>
        <v>153333.33333333331</v>
      </c>
      <c r="AA126" s="767">
        <f t="shared" si="50"/>
        <v>792500</v>
      </c>
      <c r="AB126" s="971">
        <f>VLOOKUP(A126,'1819 Funding Detail'!$A$4:$AN$23,35,FALSE)</f>
        <v>1519436.458443766</v>
      </c>
      <c r="AC126" s="767">
        <f t="shared" si="51"/>
        <v>726936.45844376599</v>
      </c>
      <c r="AD126" s="767">
        <f t="shared" si="37"/>
        <v>233139.4530235001</v>
      </c>
      <c r="AE126" s="767">
        <f t="shared" si="38"/>
        <v>353148.94195690844</v>
      </c>
      <c r="AF126" s="767">
        <f t="shared" si="52"/>
        <v>586288.39498040848</v>
      </c>
      <c r="AG126" s="767">
        <f t="shared" si="39"/>
        <v>55036.198746531176</v>
      </c>
      <c r="AH126" s="767">
        <f t="shared" si="40"/>
        <v>85611.864716826283</v>
      </c>
      <c r="AI126" s="767">
        <f t="shared" si="53"/>
        <v>140648.06346335745</v>
      </c>
      <c r="AJ126" s="767">
        <f t="shared" si="54"/>
        <v>726936.45844376599</v>
      </c>
      <c r="AK126" s="134"/>
      <c r="AL126" s="726">
        <f t="shared" si="55"/>
        <v>1519436.458443766</v>
      </c>
      <c r="AM126" s="125" t="s">
        <v>402</v>
      </c>
      <c r="AN126" s="627" t="s">
        <v>402</v>
      </c>
      <c r="AO126" s="42">
        <f t="shared" si="56"/>
        <v>13114.271399921337</v>
      </c>
      <c r="AP126" s="42"/>
      <c r="AQ126" s="42">
        <f>VLOOKUP(A126,'Band Calculations 1718'!$A$107:$W$125,23,(FALSE))</f>
        <v>10855.270293410516</v>
      </c>
      <c r="AR126" s="42">
        <f t="shared" si="57"/>
        <v>2259.001106510821</v>
      </c>
      <c r="AT126" s="42">
        <f>VLOOKUP(A126,'Band Calculations - Rebase'!$A$109:$W$127,23,(FALSE))</f>
        <v>12945.466165791158</v>
      </c>
      <c r="AU126" s="816">
        <f t="shared" si="58"/>
        <v>168.80523413017909</v>
      </c>
      <c r="AV126" s="814"/>
      <c r="AW126" s="2012"/>
    </row>
    <row r="127" spans="1:49" ht="13" x14ac:dyDescent="0.3">
      <c r="A127" s="185">
        <v>9257021</v>
      </c>
      <c r="B127" s="38" t="s">
        <v>78</v>
      </c>
      <c r="C127" s="39">
        <v>5</v>
      </c>
      <c r="D127" s="767">
        <f t="shared" si="24"/>
        <v>0</v>
      </c>
      <c r="E127" s="767">
        <f t="shared" si="25"/>
        <v>0</v>
      </c>
      <c r="F127" s="156">
        <f t="shared" si="41"/>
        <v>0</v>
      </c>
      <c r="G127" s="767">
        <f t="shared" si="26"/>
        <v>601928.86330060894</v>
      </c>
      <c r="H127" s="767">
        <f t="shared" si="27"/>
        <v>842700.40862085251</v>
      </c>
      <c r="I127" s="156">
        <f t="shared" si="42"/>
        <v>1444629.2719214614</v>
      </c>
      <c r="J127" s="767">
        <f t="shared" si="28"/>
        <v>6213.4592340708014</v>
      </c>
      <c r="K127" s="767">
        <f t="shared" si="29"/>
        <v>0</v>
      </c>
      <c r="L127" s="156">
        <f t="shared" si="43"/>
        <v>6213.4592340708014</v>
      </c>
      <c r="M127" s="156">
        <f t="shared" si="44"/>
        <v>1450842.7311555322</v>
      </c>
      <c r="N127" s="767">
        <f t="shared" si="30"/>
        <v>20860.416666666668</v>
      </c>
      <c r="O127" s="767">
        <f t="shared" si="31"/>
        <v>29204.583333333336</v>
      </c>
      <c r="P127" s="156">
        <f t="shared" si="45"/>
        <v>50065</v>
      </c>
      <c r="Q127" s="767">
        <f t="shared" si="32"/>
        <v>215.33333333333331</v>
      </c>
      <c r="R127" s="767">
        <f t="shared" si="33"/>
        <v>0</v>
      </c>
      <c r="S127" s="156">
        <f t="shared" si="46"/>
        <v>215.33333333333331</v>
      </c>
      <c r="T127" s="156">
        <f t="shared" si="47"/>
        <v>50280.333333333336</v>
      </c>
      <c r="U127" s="156">
        <f t="shared" si="48"/>
        <v>1501123.0644888654</v>
      </c>
      <c r="V127" s="334">
        <f t="shared" si="34"/>
        <v>155.66666666666666</v>
      </c>
      <c r="W127" s="767">
        <f t="shared" si="49"/>
        <v>9643.1888511062025</v>
      </c>
      <c r="X127" s="36"/>
      <c r="Y127" s="94">
        <f t="shared" si="35"/>
        <v>1550000</v>
      </c>
      <c r="Z127" s="767">
        <f t="shared" si="36"/>
        <v>6666.6666666666661</v>
      </c>
      <c r="AA127" s="767">
        <f t="shared" si="50"/>
        <v>1556666.6666666667</v>
      </c>
      <c r="AB127" s="971">
        <f>VLOOKUP(A127,'1819 Funding Detail'!$A$4:$AN$23,35,FALSE)</f>
        <v>2054656.3644888655</v>
      </c>
      <c r="AC127" s="767">
        <f t="shared" si="51"/>
        <v>497989.69782219874</v>
      </c>
      <c r="AD127" s="767">
        <f t="shared" si="37"/>
        <v>206607.07484593373</v>
      </c>
      <c r="AE127" s="767">
        <f t="shared" si="38"/>
        <v>289249.90478430723</v>
      </c>
      <c r="AF127" s="767">
        <f t="shared" si="52"/>
        <v>495856.97963024094</v>
      </c>
      <c r="AG127" s="767">
        <f t="shared" si="39"/>
        <v>2132.7181919580257</v>
      </c>
      <c r="AH127" s="767">
        <f t="shared" si="40"/>
        <v>0</v>
      </c>
      <c r="AI127" s="767">
        <f t="shared" si="53"/>
        <v>2132.7181919580257</v>
      </c>
      <c r="AJ127" s="767">
        <f t="shared" si="54"/>
        <v>497989.69782219897</v>
      </c>
      <c r="AK127" s="134"/>
      <c r="AL127" s="726">
        <f t="shared" si="55"/>
        <v>2054656.3644888657</v>
      </c>
      <c r="AM127" s="125" t="s">
        <v>402</v>
      </c>
      <c r="AN127" s="627" t="s">
        <v>402</v>
      </c>
      <c r="AO127" s="42">
        <f t="shared" si="56"/>
        <v>9643.1888511062025</v>
      </c>
      <c r="AP127" s="42"/>
      <c r="AQ127" s="42">
        <f>VLOOKUP(A127,'Band Calculations 1718'!$A$107:$W$125,23,(FALSE))</f>
        <v>7721.5167598965245</v>
      </c>
      <c r="AR127" s="42">
        <f t="shared" si="57"/>
        <v>1921.672091209678</v>
      </c>
      <c r="AT127" s="42">
        <f>VLOOKUP(A127,'Band Calculations - Rebase'!$A$109:$W$127,23,(FALSE))</f>
        <v>7855.5752872539169</v>
      </c>
      <c r="AU127" s="42">
        <f t="shared" si="58"/>
        <v>1787.6135638522856</v>
      </c>
      <c r="AV127" s="814"/>
      <c r="AW127" s="2012"/>
    </row>
    <row r="128" spans="1:49" ht="13" x14ac:dyDescent="0.3">
      <c r="A128" s="131">
        <v>9257015</v>
      </c>
      <c r="B128" s="38" t="s">
        <v>55</v>
      </c>
      <c r="C128" s="39">
        <v>6</v>
      </c>
      <c r="D128" s="767">
        <f t="shared" si="24"/>
        <v>0</v>
      </c>
      <c r="E128" s="767">
        <f t="shared" si="25"/>
        <v>0</v>
      </c>
      <c r="F128" s="156">
        <f t="shared" si="41"/>
        <v>0</v>
      </c>
      <c r="G128" s="767">
        <f t="shared" si="26"/>
        <v>837512.92567233753</v>
      </c>
      <c r="H128" s="767">
        <f t="shared" si="27"/>
        <v>1092001.8318423009</v>
      </c>
      <c r="I128" s="156">
        <f t="shared" si="42"/>
        <v>1929514.7575146384</v>
      </c>
      <c r="J128" s="767">
        <f t="shared" si="28"/>
        <v>80516.264098971486</v>
      </c>
      <c r="K128" s="767">
        <f t="shared" si="29"/>
        <v>138027.88131252257</v>
      </c>
      <c r="L128" s="156">
        <f t="shared" si="43"/>
        <v>218544.14541149407</v>
      </c>
      <c r="M128" s="156">
        <f t="shared" si="44"/>
        <v>2148058.9029261325</v>
      </c>
      <c r="N128" s="767">
        <f t="shared" si="30"/>
        <v>10781.45753512133</v>
      </c>
      <c r="O128" s="767">
        <f t="shared" si="31"/>
        <v>14057.539910600257</v>
      </c>
      <c r="P128" s="156">
        <f t="shared" si="45"/>
        <v>24838.997445721587</v>
      </c>
      <c r="Q128" s="767">
        <f t="shared" si="32"/>
        <v>1036.500638569604</v>
      </c>
      <c r="R128" s="767">
        <f t="shared" si="33"/>
        <v>1776.8582375478929</v>
      </c>
      <c r="S128" s="156">
        <f t="shared" si="46"/>
        <v>2813.3588761174969</v>
      </c>
      <c r="T128" s="156">
        <f t="shared" si="47"/>
        <v>27652.356321839085</v>
      </c>
      <c r="U128" s="156">
        <f t="shared" si="48"/>
        <v>2175711.2592479717</v>
      </c>
      <c r="V128" s="334">
        <f t="shared" si="34"/>
        <v>249.00000000000003</v>
      </c>
      <c r="W128" s="767">
        <f t="shared" si="49"/>
        <v>8737.7962218794037</v>
      </c>
      <c r="X128" s="36"/>
      <c r="Y128" s="94">
        <f t="shared" si="35"/>
        <v>2236666.666666667</v>
      </c>
      <c r="Z128" s="767">
        <f t="shared" si="36"/>
        <v>253333.33333333331</v>
      </c>
      <c r="AA128" s="767">
        <f t="shared" si="50"/>
        <v>2490000.0000000005</v>
      </c>
      <c r="AB128" s="971">
        <f>VLOOKUP(A128,'1819 Funding Detail'!$A$4:$AN$23,35,FALSE)</f>
        <v>2786488.8092479715</v>
      </c>
      <c r="AC128" s="767">
        <f t="shared" si="51"/>
        <v>296488.80924797105</v>
      </c>
      <c r="AD128" s="767">
        <f t="shared" si="37"/>
        <v>115598.88312379058</v>
      </c>
      <c r="AE128" s="767">
        <f t="shared" si="38"/>
        <v>150725.06735196384</v>
      </c>
      <c r="AF128" s="767">
        <f t="shared" si="52"/>
        <v>266323.95047575445</v>
      </c>
      <c r="AG128" s="767">
        <f t="shared" si="39"/>
        <v>11113.369021342956</v>
      </c>
      <c r="AH128" s="767">
        <f t="shared" si="40"/>
        <v>19051.489750873639</v>
      </c>
      <c r="AI128" s="767">
        <f t="shared" si="53"/>
        <v>30164.858772216598</v>
      </c>
      <c r="AJ128" s="767">
        <f t="shared" si="54"/>
        <v>296488.80924797105</v>
      </c>
      <c r="AK128" s="134"/>
      <c r="AL128" s="726">
        <f t="shared" si="55"/>
        <v>2786488.8092479715</v>
      </c>
      <c r="AM128" s="125" t="s">
        <v>402</v>
      </c>
      <c r="AN128" s="627" t="s">
        <v>402</v>
      </c>
      <c r="AO128" s="42">
        <f t="shared" si="56"/>
        <v>8737.7962218794037</v>
      </c>
      <c r="AP128" s="42"/>
      <c r="AQ128" s="42">
        <f>VLOOKUP(A128,'Band Calculations 1718'!$A$107:$W$125,23,(FALSE))</f>
        <v>7340.1394392567681</v>
      </c>
      <c r="AR128" s="42">
        <f t="shared" si="57"/>
        <v>1397.6567826226355</v>
      </c>
      <c r="AT128" s="42">
        <f>VLOOKUP(A128,'Band Calculations - Rebase'!$A$109:$W$127,23,(FALSE))</f>
        <v>7533.3183553732788</v>
      </c>
      <c r="AU128" s="42">
        <f t="shared" si="58"/>
        <v>1204.4778665061249</v>
      </c>
      <c r="AV128" s="814"/>
      <c r="AW128" s="2012"/>
    </row>
    <row r="129" spans="1:49" ht="13" x14ac:dyDescent="0.3">
      <c r="A129" s="185">
        <v>9257016</v>
      </c>
      <c r="B129" s="38" t="s">
        <v>80</v>
      </c>
      <c r="C129" s="39">
        <v>6</v>
      </c>
      <c r="D129" s="767">
        <f t="shared" si="24"/>
        <v>0</v>
      </c>
      <c r="E129" s="767">
        <f t="shared" si="25"/>
        <v>0</v>
      </c>
      <c r="F129" s="156">
        <f t="shared" si="41"/>
        <v>0</v>
      </c>
      <c r="G129" s="767">
        <f t="shared" si="26"/>
        <v>505878.43584758753</v>
      </c>
      <c r="H129" s="767">
        <f t="shared" si="27"/>
        <v>660483.98028640065</v>
      </c>
      <c r="I129" s="156">
        <f t="shared" si="42"/>
        <v>1166362.4161339882</v>
      </c>
      <c r="J129" s="767">
        <f t="shared" si="28"/>
        <v>259191.64802977513</v>
      </c>
      <c r="K129" s="767">
        <f t="shared" si="29"/>
        <v>518383.29605955025</v>
      </c>
      <c r="L129" s="156">
        <f t="shared" si="43"/>
        <v>777574.94408932538</v>
      </c>
      <c r="M129" s="156">
        <f>I129+L129</f>
        <v>1943937.3602233136</v>
      </c>
      <c r="N129" s="767">
        <f t="shared" si="30"/>
        <v>0</v>
      </c>
      <c r="O129" s="767">
        <f t="shared" si="31"/>
        <v>0</v>
      </c>
      <c r="P129" s="156">
        <f t="shared" si="45"/>
        <v>0</v>
      </c>
      <c r="Q129" s="767">
        <f t="shared" si="32"/>
        <v>0</v>
      </c>
      <c r="R129" s="767">
        <f t="shared" si="33"/>
        <v>0</v>
      </c>
      <c r="S129" s="156">
        <f t="shared" si="46"/>
        <v>0</v>
      </c>
      <c r="T129" s="156">
        <f t="shared" si="47"/>
        <v>0</v>
      </c>
      <c r="U129" s="156">
        <f t="shared" si="48"/>
        <v>1943937.3602233136</v>
      </c>
      <c r="V129" s="334">
        <f t="shared" si="34"/>
        <v>142.5</v>
      </c>
      <c r="W129" s="767">
        <f t="shared" si="49"/>
        <v>13641.66568577764</v>
      </c>
      <c r="X129" s="36"/>
      <c r="Y129" s="94">
        <f t="shared" si="35"/>
        <v>855000</v>
      </c>
      <c r="Z129" s="767">
        <f t="shared" si="36"/>
        <v>570000</v>
      </c>
      <c r="AA129" s="767">
        <f t="shared" si="50"/>
        <v>1425000</v>
      </c>
      <c r="AB129" s="971">
        <f>VLOOKUP(A129,'1819 Funding Detail'!$A$4:$AN$23,35,FALSE)</f>
        <v>2515095.9602233139</v>
      </c>
      <c r="AC129" s="767">
        <f t="shared" si="51"/>
        <v>1090095.9602233139</v>
      </c>
      <c r="AD129" s="767">
        <f t="shared" si="37"/>
        <v>283679.94286513136</v>
      </c>
      <c r="AE129" s="767">
        <f t="shared" si="38"/>
        <v>370377.63326885691</v>
      </c>
      <c r="AF129" s="767">
        <f t="shared" si="52"/>
        <v>654057.57613398833</v>
      </c>
      <c r="AG129" s="767">
        <f t="shared" si="39"/>
        <v>145346.12802977517</v>
      </c>
      <c r="AH129" s="767">
        <f t="shared" si="40"/>
        <v>290692.25605955033</v>
      </c>
      <c r="AI129" s="767">
        <f t="shared" si="53"/>
        <v>436038.3840893255</v>
      </c>
      <c r="AJ129" s="767">
        <f t="shared" si="54"/>
        <v>1090095.9602233139</v>
      </c>
      <c r="AK129" s="134"/>
      <c r="AL129" s="726">
        <f t="shared" si="55"/>
        <v>2515095.9602233139</v>
      </c>
      <c r="AM129" s="125" t="s">
        <v>402</v>
      </c>
      <c r="AN129" s="627" t="s">
        <v>402</v>
      </c>
      <c r="AO129" s="42">
        <f t="shared" si="56"/>
        <v>13641.66568577764</v>
      </c>
      <c r="AP129" s="42"/>
      <c r="AQ129" s="42">
        <f>VLOOKUP(A129,'Band Calculations 1718'!$A$107:$W$125,23,(FALSE))</f>
        <v>10118.068418370316</v>
      </c>
      <c r="AR129" s="42">
        <f t="shared" si="57"/>
        <v>3523.5972674073237</v>
      </c>
      <c r="AT129" s="42">
        <f>VLOOKUP(A129,'Band Calculations - Rebase'!$A$109:$W$127,23,(FALSE))</f>
        <v>12795.397962767993</v>
      </c>
      <c r="AU129" s="816">
        <f t="shared" si="58"/>
        <v>846.26772300964694</v>
      </c>
      <c r="AV129" s="814"/>
      <c r="AW129" s="2012"/>
    </row>
    <row r="130" spans="1:49" x14ac:dyDescent="0.25">
      <c r="C130" s="40"/>
      <c r="V130" s="347"/>
    </row>
    <row r="131" spans="1:49" ht="13" thickBot="1" x14ac:dyDescent="0.3">
      <c r="C131" s="40"/>
      <c r="D131" s="70">
        <f>SUM(D112:D129)</f>
        <v>0</v>
      </c>
      <c r="E131" s="70">
        <f t="shared" ref="E131:S131" si="59">SUM(E112:E129)</f>
        <v>0</v>
      </c>
      <c r="F131" s="70">
        <f t="shared" si="59"/>
        <v>0</v>
      </c>
      <c r="G131" s="70">
        <f t="shared" si="59"/>
        <v>6551953.0261395089</v>
      </c>
      <c r="H131" s="70">
        <f t="shared" si="59"/>
        <v>9328974.5887791067</v>
      </c>
      <c r="I131" s="70">
        <f t="shared" si="59"/>
        <v>15880927.614918616</v>
      </c>
      <c r="J131" s="70">
        <f t="shared" si="59"/>
        <v>826265.77082883939</v>
      </c>
      <c r="K131" s="70">
        <f t="shared" si="59"/>
        <v>1643292.8648085466</v>
      </c>
      <c r="L131" s="70">
        <f t="shared" si="59"/>
        <v>2469558.6356373858</v>
      </c>
      <c r="M131" s="70">
        <f>SUM(M112:M129)</f>
        <v>18350486.250555996</v>
      </c>
      <c r="N131" s="70">
        <f t="shared" si="59"/>
        <v>434117.29729142849</v>
      </c>
      <c r="O131" s="70">
        <f t="shared" si="59"/>
        <v>630203.43478441564</v>
      </c>
      <c r="P131" s="70">
        <f t="shared" si="59"/>
        <v>1064320.732075844</v>
      </c>
      <c r="Q131" s="70">
        <f t="shared" si="59"/>
        <v>17921.158844782352</v>
      </c>
      <c r="R131" s="70">
        <f t="shared" si="59"/>
        <v>35540.66576532655</v>
      </c>
      <c r="S131" s="70">
        <f t="shared" si="59"/>
        <v>53461.82461010891</v>
      </c>
      <c r="T131" s="70">
        <f>SUM(T112:T129)</f>
        <v>1117782.5566859529</v>
      </c>
      <c r="U131" s="70">
        <f>SUM(U112:U129)</f>
        <v>19468268.80724195</v>
      </c>
      <c r="V131" s="250">
        <f>SUM(V112:V129)</f>
        <v>1774.416666666667</v>
      </c>
      <c r="W131" s="70">
        <f>AVERAGE(W112:W129)</f>
        <v>11592.162482022157</v>
      </c>
      <c r="Y131" s="730">
        <f>SUM(Y112:Y129)</f>
        <v>15604166.666666668</v>
      </c>
      <c r="Z131" s="730">
        <f t="shared" ref="Z131:AL131" si="60">SUM(Z112:Z129)</f>
        <v>2140000</v>
      </c>
      <c r="AA131" s="729">
        <f t="shared" si="60"/>
        <v>17744166.666666668</v>
      </c>
      <c r="AB131" s="729">
        <f t="shared" si="60"/>
        <v>28123653.133561213</v>
      </c>
      <c r="AC131" s="729">
        <f t="shared" si="60"/>
        <v>10379486.466894545</v>
      </c>
      <c r="AD131" s="729">
        <f t="shared" si="60"/>
        <v>3645257.4890400427</v>
      </c>
      <c r="AE131" s="729">
        <f t="shared" si="60"/>
        <v>5264884.4346216656</v>
      </c>
      <c r="AF131" s="729">
        <f t="shared" si="60"/>
        <v>8910141.9236617088</v>
      </c>
      <c r="AG131" s="729">
        <f t="shared" si="60"/>
        <v>481751.39881269628</v>
      </c>
      <c r="AH131" s="729">
        <f t="shared" si="60"/>
        <v>987593.14442014019</v>
      </c>
      <c r="AI131" s="729">
        <f t="shared" si="60"/>
        <v>1469344.5432328368</v>
      </c>
      <c r="AJ131" s="729">
        <f t="shared" si="60"/>
        <v>10379486.466894543</v>
      </c>
      <c r="AK131" s="642"/>
      <c r="AL131" s="729">
        <f t="shared" si="60"/>
        <v>28123653.133561213</v>
      </c>
    </row>
    <row r="132" spans="1:49" x14ac:dyDescent="0.25">
      <c r="C132" s="40"/>
    </row>
    <row r="133" spans="1:49" x14ac:dyDescent="0.25">
      <c r="D133" s="627" t="s">
        <v>402</v>
      </c>
      <c r="E133" s="627" t="s">
        <v>402</v>
      </c>
      <c r="F133" s="627" t="s">
        <v>402</v>
      </c>
      <c r="G133" s="815" t="s">
        <v>402</v>
      </c>
      <c r="H133" s="815" t="s">
        <v>402</v>
      </c>
      <c r="I133" s="815" t="s">
        <v>402</v>
      </c>
      <c r="J133" s="815" t="s">
        <v>402</v>
      </c>
      <c r="K133" s="815" t="s">
        <v>402</v>
      </c>
      <c r="L133" s="815" t="s">
        <v>402</v>
      </c>
      <c r="M133" s="815" t="s">
        <v>402</v>
      </c>
      <c r="N133" s="815" t="s">
        <v>402</v>
      </c>
      <c r="O133" s="815" t="s">
        <v>402</v>
      </c>
      <c r="P133" s="815" t="s">
        <v>402</v>
      </c>
      <c r="Q133" s="815" t="s">
        <v>402</v>
      </c>
      <c r="R133" s="815" t="s">
        <v>402</v>
      </c>
      <c r="S133" s="815" t="s">
        <v>402</v>
      </c>
      <c r="T133" s="815" t="s">
        <v>402</v>
      </c>
      <c r="U133" s="815" t="s">
        <v>402</v>
      </c>
      <c r="V133" s="627" t="s">
        <v>402</v>
      </c>
      <c r="W133" s="627" t="s">
        <v>402</v>
      </c>
      <c r="Y133" s="627" t="s">
        <v>402</v>
      </c>
      <c r="Z133" s="627" t="s">
        <v>402</v>
      </c>
      <c r="AA133" s="627" t="s">
        <v>402</v>
      </c>
      <c r="AB133" s="627" t="s">
        <v>402</v>
      </c>
      <c r="AC133" s="627" t="s">
        <v>402</v>
      </c>
      <c r="AD133" s="627" t="s">
        <v>402</v>
      </c>
      <c r="AE133" s="627" t="s">
        <v>402</v>
      </c>
      <c r="AF133" s="627" t="s">
        <v>402</v>
      </c>
      <c r="AG133" s="627" t="s">
        <v>402</v>
      </c>
      <c r="AH133" s="627" t="s">
        <v>402</v>
      </c>
      <c r="AI133" s="627" t="s">
        <v>402</v>
      </c>
      <c r="AJ133" s="627" t="s">
        <v>402</v>
      </c>
      <c r="AK133" s="627"/>
      <c r="AL133" s="627" t="s">
        <v>402</v>
      </c>
      <c r="AQ133" s="625" t="s">
        <v>700</v>
      </c>
    </row>
  </sheetData>
  <mergeCells count="17">
    <mergeCell ref="AT107:AU107"/>
    <mergeCell ref="AO110:AO111"/>
    <mergeCell ref="AT109:AU109"/>
    <mergeCell ref="AT110:AT111"/>
    <mergeCell ref="AW112:AW129"/>
    <mergeCell ref="AQ110:AQ111"/>
    <mergeCell ref="D110:F110"/>
    <mergeCell ref="G110:I110"/>
    <mergeCell ref="J110:L110"/>
    <mergeCell ref="N110:P110"/>
    <mergeCell ref="Q110:S110"/>
    <mergeCell ref="AL110:AL111"/>
    <mergeCell ref="P4:Q4"/>
    <mergeCell ref="AQ109:AR109"/>
    <mergeCell ref="O26:P26"/>
    <mergeCell ref="R48:S48"/>
    <mergeCell ref="O70:P70"/>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W198"/>
  <sheetViews>
    <sheetView topLeftCell="A179" workbookViewId="0">
      <pane xSplit="2" topLeftCell="F1" activePane="topRight" state="frozen"/>
      <selection activeCell="A153" sqref="A153"/>
      <selection pane="topRight" activeCell="B182" sqref="B182"/>
    </sheetView>
  </sheetViews>
  <sheetFormatPr defaultColWidth="9.1796875" defaultRowHeight="12.5" x14ac:dyDescent="0.25"/>
  <cols>
    <col min="1" max="1" width="9.1796875" style="6"/>
    <col min="2" max="2" width="33.81640625" style="6" customWidth="1"/>
    <col min="3" max="3" width="9.1796875" style="6" customWidth="1"/>
    <col min="4" max="4" width="9.1796875" style="6"/>
    <col min="5" max="5" width="9.1796875" style="46"/>
    <col min="6" max="8" width="9.54296875" style="46" bestFit="1" customWidth="1"/>
    <col min="9" max="9" width="9" style="46" customWidth="1"/>
    <col min="10" max="11" width="9.54296875" style="46" bestFit="1" customWidth="1"/>
    <col min="12" max="15" width="9.1796875" style="46"/>
    <col min="16" max="16" width="9.1796875" style="6"/>
    <col min="17" max="17" width="10.81640625" style="6" customWidth="1"/>
    <col min="18" max="18" width="9.1796875" style="6"/>
    <col min="19" max="19" width="10" style="6" customWidth="1"/>
    <col min="20" max="22" width="9.1796875" style="6"/>
    <col min="23" max="23" width="10.453125" style="6" customWidth="1"/>
    <col min="24" max="16384" width="9.1796875" style="6"/>
  </cols>
  <sheetData>
    <row r="2" spans="2:17" x14ac:dyDescent="0.25">
      <c r="B2" s="90" t="s">
        <v>117</v>
      </c>
    </row>
    <row r="4" spans="2:17" ht="39" x14ac:dyDescent="0.25">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768" t="s">
        <v>261</v>
      </c>
    </row>
    <row r="5" spans="2:17" ht="12.75" customHeight="1" x14ac:dyDescent="0.25">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5">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5">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5">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5">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5">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5">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5">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5">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5">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5">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5">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5">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5">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5">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5">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5">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5">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5">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3">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5">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5">
      <c r="Q26" s="46"/>
    </row>
    <row r="27" spans="1:23" ht="12.75" customHeight="1" x14ac:dyDescent="0.25">
      <c r="B27" s="1" t="s">
        <v>254</v>
      </c>
      <c r="Q27" s="46"/>
    </row>
    <row r="28" spans="1:23" x14ac:dyDescent="0.25">
      <c r="Q28" s="46"/>
    </row>
    <row r="29" spans="1:23" ht="39" x14ac:dyDescent="0.25">
      <c r="B29" s="95" t="s">
        <v>66</v>
      </c>
      <c r="C29" s="95" t="s">
        <v>118</v>
      </c>
      <c r="D29" s="96" t="s">
        <v>51</v>
      </c>
      <c r="E29" s="97" t="s">
        <v>255</v>
      </c>
      <c r="F29" s="98" t="s">
        <v>265</v>
      </c>
      <c r="G29" s="99" t="s">
        <v>266</v>
      </c>
      <c r="H29" s="98" t="s">
        <v>267</v>
      </c>
      <c r="I29" s="99" t="s">
        <v>257</v>
      </c>
      <c r="J29" s="98" t="s">
        <v>268</v>
      </c>
      <c r="K29" s="99" t="s">
        <v>269</v>
      </c>
      <c r="L29" s="98" t="s">
        <v>270</v>
      </c>
      <c r="M29" s="99" t="s">
        <v>271</v>
      </c>
      <c r="N29" s="747" t="s">
        <v>631</v>
      </c>
      <c r="O29" s="99" t="s">
        <v>682</v>
      </c>
      <c r="P29" s="100" t="s">
        <v>272</v>
      </c>
      <c r="Q29" s="101" t="s">
        <v>273</v>
      </c>
      <c r="S29" s="768" t="s">
        <v>261</v>
      </c>
      <c r="U29" s="224" t="s">
        <v>104</v>
      </c>
      <c r="V29" s="226" t="s">
        <v>262</v>
      </c>
      <c r="W29" s="225" t="s">
        <v>263</v>
      </c>
    </row>
    <row r="30" spans="1:23" x14ac:dyDescent="0.25">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48">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5">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48">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5">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48">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5">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48">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5">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48">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5">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48">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5">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48">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5">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48">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5">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48">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5">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48">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5">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48">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5">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48">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5">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48">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5">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48">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5">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48">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5">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48">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5">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48">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5">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48">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ht="13" x14ac:dyDescent="0.3">
      <c r="B48" s="114" t="s">
        <v>62</v>
      </c>
      <c r="C48" s="114"/>
      <c r="D48" s="114"/>
      <c r="E48" s="115">
        <f>SUM(E30:E47)</f>
        <v>1607</v>
      </c>
      <c r="F48" s="116">
        <f>SUM(F30:F47)</f>
        <v>154</v>
      </c>
      <c r="G48" s="117"/>
      <c r="H48" s="116">
        <f>SUM(H30:H47)</f>
        <v>300</v>
      </c>
      <c r="I48" s="118"/>
      <c r="J48" s="116">
        <f>SUM(J30:J47)</f>
        <v>620</v>
      </c>
      <c r="K48" s="118"/>
      <c r="L48" s="116">
        <f>SUM(L30:L47)</f>
        <v>19</v>
      </c>
      <c r="M48" s="118"/>
      <c r="N48" s="749">
        <f>SUM(N30:N47)</f>
        <v>100</v>
      </c>
      <c r="O48" s="118"/>
      <c r="P48" s="119">
        <f>SUM(P30:P47)</f>
        <v>414</v>
      </c>
      <c r="Q48" s="120"/>
      <c r="V48" s="227"/>
    </row>
    <row r="49" spans="2:23" ht="13" thickBot="1" x14ac:dyDescent="0.3">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1" spans="2:23" hidden="1" x14ac:dyDescent="0.25"/>
    <row r="52" spans="2:23" hidden="1" x14ac:dyDescent="0.25">
      <c r="B52" s="1969" t="s">
        <v>264</v>
      </c>
      <c r="C52" s="1969"/>
      <c r="D52" s="1969"/>
      <c r="E52" s="1969"/>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hidden="1" x14ac:dyDescent="0.25">
      <c r="P53" s="46"/>
    </row>
    <row r="54" spans="2:23" hidden="1" x14ac:dyDescent="0.25">
      <c r="F54" s="219">
        <v>11692.020638096787</v>
      </c>
      <c r="H54" s="219">
        <v>7350.1419469065795</v>
      </c>
      <c r="J54" s="219">
        <v>6243.7244928897762</v>
      </c>
      <c r="L54" s="219">
        <v>11692.020638096787</v>
      </c>
      <c r="N54" s="42">
        <v>22143</v>
      </c>
      <c r="P54" s="219">
        <v>11692.020638096787</v>
      </c>
    </row>
    <row r="55" spans="2:23" hidden="1" x14ac:dyDescent="0.25">
      <c r="P55" s="46"/>
    </row>
    <row r="56" spans="2:23" hidden="1" x14ac:dyDescent="0.25">
      <c r="P56" s="42">
        <v>2635.0478891670464</v>
      </c>
    </row>
    <row r="57" spans="2:23" hidden="1" x14ac:dyDescent="0.25"/>
    <row r="58" spans="2:23" hidden="1" x14ac:dyDescent="0.25">
      <c r="B58" s="1"/>
      <c r="F58" s="672" t="s">
        <v>2</v>
      </c>
      <c r="G58" s="672" t="s">
        <v>3</v>
      </c>
      <c r="H58" s="672" t="s">
        <v>5</v>
      </c>
      <c r="I58" s="672" t="s">
        <v>7</v>
      </c>
      <c r="J58" s="672" t="s">
        <v>8</v>
      </c>
      <c r="K58" s="672" t="s">
        <v>631</v>
      </c>
    </row>
    <row r="59" spans="2:23" hidden="1" x14ac:dyDescent="0.25">
      <c r="B59" s="245"/>
      <c r="F59" s="753">
        <f>'Band Calculations 1718'!D6</f>
        <v>0.40476190476190477</v>
      </c>
      <c r="G59" s="753">
        <f>'Band Calculations 1718'!E6</f>
        <v>0.2857142857142857</v>
      </c>
      <c r="H59" s="753">
        <f>'Band Calculations 1718'!F6</f>
        <v>0.11904761904761904</v>
      </c>
      <c r="I59" s="753">
        <f>'Band Calculations 1718'!G6</f>
        <v>0.11904761904761904</v>
      </c>
      <c r="J59" s="753">
        <f>'Band Calculations 1718'!H6</f>
        <v>7.1428571428571425E-2</v>
      </c>
      <c r="K59" s="753">
        <f>'Band Calculations 1718'!I6</f>
        <v>0</v>
      </c>
      <c r="L59" s="753"/>
    </row>
    <row r="60" spans="2:23" hidden="1" x14ac:dyDescent="0.25">
      <c r="B60" s="754" t="s">
        <v>67</v>
      </c>
      <c r="D60" s="612" t="s">
        <v>686</v>
      </c>
      <c r="E60" s="755">
        <f>'Band Calculations - Rebase'!V110</f>
        <v>50.333333333333343</v>
      </c>
      <c r="F60" s="756">
        <f t="shared" ref="F60:K60" si="17">$E$60*F59</f>
        <v>20.373015873015877</v>
      </c>
      <c r="G60" s="756">
        <f t="shared" si="17"/>
        <v>14.380952380952383</v>
      </c>
      <c r="H60" s="756">
        <f t="shared" si="17"/>
        <v>5.992063492063493</v>
      </c>
      <c r="I60" s="756">
        <f t="shared" si="17"/>
        <v>5.992063492063493</v>
      </c>
      <c r="J60" s="756">
        <f t="shared" si="17"/>
        <v>3.5952380952380958</v>
      </c>
      <c r="K60" s="756">
        <f t="shared" si="17"/>
        <v>0</v>
      </c>
      <c r="L60" s="755"/>
      <c r="M60" s="757"/>
    </row>
    <row r="61" spans="2:23" hidden="1" x14ac:dyDescent="0.25">
      <c r="D61" s="612" t="s">
        <v>687</v>
      </c>
      <c r="E61" s="755">
        <f>E60</f>
        <v>50.333333333333343</v>
      </c>
      <c r="F61" s="756">
        <f>F60-(K61-I60)</f>
        <v>18.365079365079371</v>
      </c>
      <c r="G61" s="756">
        <f>G60</f>
        <v>14.380952380952383</v>
      </c>
      <c r="H61" s="756">
        <f>H60</f>
        <v>5.992063492063493</v>
      </c>
      <c r="I61" s="46">
        <v>0</v>
      </c>
      <c r="J61" s="756">
        <f>J60</f>
        <v>3.5952380952380958</v>
      </c>
      <c r="K61" s="46">
        <v>8</v>
      </c>
      <c r="L61" s="755"/>
      <c r="M61" s="757"/>
    </row>
    <row r="62" spans="2:23" hidden="1" x14ac:dyDescent="0.25">
      <c r="F62" s="222">
        <f t="shared" ref="F62:K62" si="18">F61/$E$61</f>
        <v>0.36486912645853048</v>
      </c>
      <c r="G62" s="222">
        <f t="shared" si="18"/>
        <v>0.2857142857142857</v>
      </c>
      <c r="H62" s="222">
        <f t="shared" si="18"/>
        <v>0.11904761904761904</v>
      </c>
      <c r="I62" s="222">
        <f t="shared" si="18"/>
        <v>0</v>
      </c>
      <c r="J62" s="222">
        <f t="shared" si="18"/>
        <v>7.1428571428571425E-2</v>
      </c>
      <c r="K62" s="222">
        <f t="shared" si="18"/>
        <v>0.15894039735099336</v>
      </c>
      <c r="M62" s="222">
        <f>SUM(F62:K62)</f>
        <v>1</v>
      </c>
    </row>
    <row r="63" spans="2:23" hidden="1" x14ac:dyDescent="0.25"/>
    <row r="64" spans="2:23" hidden="1" x14ac:dyDescent="0.25">
      <c r="F64" s="753">
        <f>'Band Calculations 1718'!D7</f>
        <v>0.13157894736842105</v>
      </c>
      <c r="G64" s="753">
        <f>'Band Calculations 1718'!E7</f>
        <v>0.35526315789473684</v>
      </c>
      <c r="H64" s="753">
        <f>'Band Calculations 1718'!F7</f>
        <v>0.17105263157894737</v>
      </c>
      <c r="I64" s="753">
        <f>'Band Calculations 1718'!G7</f>
        <v>0.14473684210526316</v>
      </c>
      <c r="J64" s="753">
        <f>'Band Calculations 1718'!H7</f>
        <v>0.19736842105263158</v>
      </c>
      <c r="K64" s="753">
        <f>'Band Calculations 1718'!I7</f>
        <v>0</v>
      </c>
    </row>
    <row r="65" spans="2:15" hidden="1" x14ac:dyDescent="0.25">
      <c r="B65" s="102" t="s">
        <v>68</v>
      </c>
      <c r="D65" s="612" t="s">
        <v>686</v>
      </c>
      <c r="E65" s="755">
        <f>SUM('Band Calculations - Rebase'!V111)</f>
        <v>74.666666666666657</v>
      </c>
      <c r="F65" s="756">
        <f t="shared" ref="F65:K65" si="19">$E$65*F64</f>
        <v>9.8245614035087705</v>
      </c>
      <c r="G65" s="756">
        <f t="shared" si="19"/>
        <v>26.526315789473681</v>
      </c>
      <c r="H65" s="756">
        <f t="shared" si="19"/>
        <v>12.771929824561402</v>
      </c>
      <c r="I65" s="756">
        <f t="shared" si="19"/>
        <v>10.807017543859649</v>
      </c>
      <c r="J65" s="756">
        <f t="shared" si="19"/>
        <v>14.736842105263156</v>
      </c>
      <c r="K65" s="756">
        <f t="shared" si="19"/>
        <v>0</v>
      </c>
      <c r="N65" s="6"/>
      <c r="O65" s="6"/>
    </row>
    <row r="66" spans="2:15" hidden="1" x14ac:dyDescent="0.25">
      <c r="D66" s="612" t="s">
        <v>687</v>
      </c>
      <c r="E66" s="755">
        <f>E65</f>
        <v>74.666666666666657</v>
      </c>
      <c r="F66" s="756">
        <f>F65</f>
        <v>9.8245614035087705</v>
      </c>
      <c r="G66" s="756">
        <f>G65</f>
        <v>26.526315789473681</v>
      </c>
      <c r="H66" s="756">
        <f>H65</f>
        <v>12.771929824561402</v>
      </c>
      <c r="I66" s="756">
        <f>I65-K66</f>
        <v>3.807017543859649</v>
      </c>
      <c r="J66" s="756">
        <f>J65</f>
        <v>14.736842105263156</v>
      </c>
      <c r="K66" s="755">
        <f>N31</f>
        <v>7</v>
      </c>
      <c r="N66" s="6"/>
      <c r="O66" s="6"/>
    </row>
    <row r="67" spans="2:15" hidden="1" x14ac:dyDescent="0.25">
      <c r="D67" s="612"/>
      <c r="E67" s="755"/>
      <c r="F67" s="222">
        <f t="shared" ref="F67:K67" si="20">F66/$E$66</f>
        <v>0.13157894736842105</v>
      </c>
      <c r="G67" s="222">
        <f t="shared" si="20"/>
        <v>0.35526315789473684</v>
      </c>
      <c r="H67" s="222">
        <f t="shared" si="20"/>
        <v>0.17105263157894737</v>
      </c>
      <c r="I67" s="222">
        <f t="shared" si="20"/>
        <v>5.0986842105263164E-2</v>
      </c>
      <c r="J67" s="222">
        <f t="shared" si="20"/>
        <v>0.19736842105263158</v>
      </c>
      <c r="K67" s="222">
        <f t="shared" si="20"/>
        <v>9.3750000000000014E-2</v>
      </c>
      <c r="M67" s="222">
        <f>SUM(F67:K67)</f>
        <v>1</v>
      </c>
      <c r="N67" s="6"/>
      <c r="O67" s="6"/>
    </row>
    <row r="68" spans="2:15" hidden="1" x14ac:dyDescent="0.25"/>
    <row r="69" spans="2:15" hidden="1" x14ac:dyDescent="0.25">
      <c r="F69" s="753">
        <f>'Band Calculations 1718'!D8</f>
        <v>0.26415094339622641</v>
      </c>
      <c r="G69" s="753">
        <f>'Band Calculations 1718'!E8</f>
        <v>0.41509433962264153</v>
      </c>
      <c r="H69" s="753">
        <f>'Band Calculations 1718'!F8</f>
        <v>5.6603773584905662E-2</v>
      </c>
      <c r="I69" s="753">
        <f>'Band Calculations 1718'!G8</f>
        <v>5.6603773584905662E-2</v>
      </c>
      <c r="J69" s="753">
        <f>'Band Calculations 1718'!H8</f>
        <v>0.20754716981132076</v>
      </c>
      <c r="K69" s="753">
        <f>'Band Calculations 1718'!I8</f>
        <v>0</v>
      </c>
      <c r="N69" s="6"/>
      <c r="O69" s="6"/>
    </row>
    <row r="70" spans="2:15" hidden="1" x14ac:dyDescent="0.25">
      <c r="B70" s="102" t="s">
        <v>69</v>
      </c>
      <c r="D70" s="612" t="s">
        <v>686</v>
      </c>
      <c r="E70" s="755">
        <f>SUM('Band Calculations - Rebase'!V112)</f>
        <v>62.833333333333336</v>
      </c>
      <c r="F70" s="756">
        <f t="shared" ref="F70:K70" si="21">$E$70*F69</f>
        <v>16.59748427672956</v>
      </c>
      <c r="G70" s="756">
        <f t="shared" si="21"/>
        <v>26.081761006289309</v>
      </c>
      <c r="H70" s="756">
        <f t="shared" si="21"/>
        <v>3.5566037735849059</v>
      </c>
      <c r="I70" s="756">
        <f t="shared" si="21"/>
        <v>3.5566037735849059</v>
      </c>
      <c r="J70" s="756">
        <f t="shared" si="21"/>
        <v>13.040880503144654</v>
      </c>
      <c r="K70" s="756">
        <f t="shared" si="21"/>
        <v>0</v>
      </c>
      <c r="N70" s="6"/>
      <c r="O70" s="6"/>
    </row>
    <row r="71" spans="2:15" hidden="1" x14ac:dyDescent="0.25">
      <c r="D71" s="612" t="s">
        <v>687</v>
      </c>
      <c r="E71" s="755">
        <f>E70</f>
        <v>62.833333333333336</v>
      </c>
      <c r="F71" s="756">
        <f>F70-(K71-I70)</f>
        <v>14.154088050314465</v>
      </c>
      <c r="G71" s="756">
        <f>G70</f>
        <v>26.081761006289309</v>
      </c>
      <c r="H71" s="756">
        <f>H70</f>
        <v>3.5566037735849059</v>
      </c>
      <c r="I71" s="756">
        <v>0</v>
      </c>
      <c r="J71" s="756">
        <f>J70</f>
        <v>13.040880503144654</v>
      </c>
      <c r="K71" s="756">
        <f>N32</f>
        <v>6</v>
      </c>
      <c r="N71" s="6"/>
      <c r="O71" s="6"/>
    </row>
    <row r="72" spans="2:15" hidden="1" x14ac:dyDescent="0.25">
      <c r="F72" s="222">
        <f t="shared" ref="F72:K72" si="22">F71/$E$71</f>
        <v>0.2252640008007607</v>
      </c>
      <c r="G72" s="222">
        <f t="shared" si="22"/>
        <v>0.41509433962264153</v>
      </c>
      <c r="H72" s="222">
        <f t="shared" si="22"/>
        <v>5.6603773584905662E-2</v>
      </c>
      <c r="I72" s="222">
        <f t="shared" si="22"/>
        <v>0</v>
      </c>
      <c r="J72" s="222">
        <f t="shared" si="22"/>
        <v>0.20754716981132076</v>
      </c>
      <c r="K72" s="222">
        <f t="shared" si="22"/>
        <v>9.5490716180371346E-2</v>
      </c>
      <c r="M72" s="222">
        <f>SUM(F72:K72)</f>
        <v>1</v>
      </c>
      <c r="N72" s="6"/>
      <c r="O72" s="6"/>
    </row>
    <row r="73" spans="2:15" hidden="1" x14ac:dyDescent="0.25"/>
    <row r="74" spans="2:15" hidden="1" x14ac:dyDescent="0.25">
      <c r="F74" s="753">
        <f>'Band Calculations 1718'!D9</f>
        <v>0.4</v>
      </c>
      <c r="G74" s="753">
        <f>'Band Calculations 1718'!E9</f>
        <v>0.42222222222222222</v>
      </c>
      <c r="H74" s="753">
        <f>'Band Calculations 1718'!F9</f>
        <v>0</v>
      </c>
      <c r="I74" s="753">
        <f>'Band Calculations 1718'!G9</f>
        <v>2.2222222222222223E-2</v>
      </c>
      <c r="J74" s="753">
        <f>'Band Calculations 1718'!H9</f>
        <v>0.15555555555555556</v>
      </c>
      <c r="K74" s="753">
        <f>'Band Calculations 1718'!I9</f>
        <v>0</v>
      </c>
      <c r="N74" s="6"/>
      <c r="O74" s="6"/>
    </row>
    <row r="75" spans="2:15" hidden="1" x14ac:dyDescent="0.25">
      <c r="B75" s="102" t="s">
        <v>70</v>
      </c>
      <c r="D75" s="612" t="s">
        <v>686</v>
      </c>
      <c r="E75" s="755">
        <f>SUM('Band Calculations - Rebase'!V113)</f>
        <v>53.833333333333329</v>
      </c>
      <c r="F75" s="756">
        <f t="shared" ref="F75:K75" si="23">$E$75*F74</f>
        <v>21.533333333333331</v>
      </c>
      <c r="G75" s="756">
        <f t="shared" si="23"/>
        <v>22.729629629629628</v>
      </c>
      <c r="H75" s="756">
        <f t="shared" si="23"/>
        <v>0</v>
      </c>
      <c r="I75" s="756">
        <f t="shared" si="23"/>
        <v>1.1962962962962962</v>
      </c>
      <c r="J75" s="756">
        <f t="shared" si="23"/>
        <v>8.3740740740740733</v>
      </c>
      <c r="K75" s="756">
        <f t="shared" si="23"/>
        <v>0</v>
      </c>
      <c r="N75" s="6"/>
      <c r="O75" s="6"/>
    </row>
    <row r="76" spans="2:15" hidden="1" x14ac:dyDescent="0.25">
      <c r="D76" s="612" t="s">
        <v>687</v>
      </c>
      <c r="E76" s="755">
        <f>E75</f>
        <v>53.833333333333329</v>
      </c>
      <c r="F76" s="756">
        <f>F75-(K76-I75)</f>
        <v>16.729629629629628</v>
      </c>
      <c r="G76" s="756">
        <f>G75</f>
        <v>22.729629629629628</v>
      </c>
      <c r="H76" s="756">
        <f>H75</f>
        <v>0</v>
      </c>
      <c r="I76" s="756">
        <v>0</v>
      </c>
      <c r="J76" s="756">
        <f>J75</f>
        <v>8.3740740740740733</v>
      </c>
      <c r="K76" s="755">
        <f>N33</f>
        <v>6</v>
      </c>
      <c r="N76" s="6"/>
      <c r="O76" s="6"/>
    </row>
    <row r="77" spans="2:15" hidden="1" x14ac:dyDescent="0.25">
      <c r="F77" s="222">
        <f t="shared" ref="F77:K77" si="24">F76/$E$76</f>
        <v>0.31076711386308908</v>
      </c>
      <c r="G77" s="222">
        <f t="shared" si="24"/>
        <v>0.42222222222222222</v>
      </c>
      <c r="H77" s="222">
        <f t="shared" si="24"/>
        <v>0</v>
      </c>
      <c r="I77" s="222">
        <f t="shared" si="24"/>
        <v>0</v>
      </c>
      <c r="J77" s="222">
        <f t="shared" si="24"/>
        <v>0.15555555555555556</v>
      </c>
      <c r="K77" s="222">
        <f t="shared" si="24"/>
        <v>0.11145510835913314</v>
      </c>
      <c r="M77" s="222">
        <f>SUM(F77:K77)</f>
        <v>1</v>
      </c>
      <c r="N77" s="6"/>
      <c r="O77" s="6"/>
    </row>
    <row r="78" spans="2:15" hidden="1" x14ac:dyDescent="0.25"/>
    <row r="79" spans="2:15" hidden="1" x14ac:dyDescent="0.25">
      <c r="F79" s="753">
        <f>SUM('Band Calculations 1718'!D10)</f>
        <v>0.2</v>
      </c>
      <c r="G79" s="753">
        <f>SUM('Band Calculations 1718'!E10)</f>
        <v>0.5636363636363636</v>
      </c>
      <c r="H79" s="753">
        <f>SUM('Band Calculations 1718'!F10)</f>
        <v>1.8181818181818181E-2</v>
      </c>
      <c r="I79" s="753">
        <f>SUM('Band Calculations 1718'!G10)</f>
        <v>0.16363636363636364</v>
      </c>
      <c r="J79" s="753">
        <f>SUM('Band Calculations 1718'!H10)</f>
        <v>5.4545454545454543E-2</v>
      </c>
      <c r="K79" s="753">
        <f>SUM('Band Calculations 1718'!I10)</f>
        <v>0</v>
      </c>
      <c r="N79" s="6"/>
      <c r="O79" s="6"/>
    </row>
    <row r="80" spans="2:15" hidden="1" x14ac:dyDescent="0.25">
      <c r="B80" s="102" t="s">
        <v>71</v>
      </c>
      <c r="D80" s="612" t="s">
        <v>686</v>
      </c>
      <c r="E80" s="755">
        <f>SUM('Band Calculations - Rebase'!V114)</f>
        <v>64.25</v>
      </c>
      <c r="F80" s="756">
        <f t="shared" ref="F80:K80" si="25">$E$80*F79</f>
        <v>12.850000000000001</v>
      </c>
      <c r="G80" s="756">
        <f t="shared" si="25"/>
        <v>36.213636363636361</v>
      </c>
      <c r="H80" s="756">
        <f t="shared" si="25"/>
        <v>1.1681818181818182</v>
      </c>
      <c r="I80" s="756">
        <f t="shared" si="25"/>
        <v>10.513636363636364</v>
      </c>
      <c r="J80" s="756">
        <f t="shared" si="25"/>
        <v>3.5045454545454544</v>
      </c>
      <c r="K80" s="756">
        <f t="shared" si="25"/>
        <v>0</v>
      </c>
      <c r="N80" s="6"/>
      <c r="O80" s="6"/>
    </row>
    <row r="81" spans="2:15" hidden="1" x14ac:dyDescent="0.25">
      <c r="D81" s="612" t="s">
        <v>687</v>
      </c>
      <c r="E81" s="755">
        <f>E80</f>
        <v>64.25</v>
      </c>
      <c r="F81" s="756">
        <f>F80</f>
        <v>12.850000000000001</v>
      </c>
      <c r="G81" s="756">
        <f>G80</f>
        <v>36.213636363636361</v>
      </c>
      <c r="H81" s="756">
        <f>H80</f>
        <v>1.1681818181818182</v>
      </c>
      <c r="I81" s="756">
        <f>I80-K81</f>
        <v>1.5136363636363637</v>
      </c>
      <c r="J81" s="756">
        <f>J80</f>
        <v>3.5045454545454544</v>
      </c>
      <c r="K81" s="755">
        <f>N34</f>
        <v>9</v>
      </c>
      <c r="N81" s="6"/>
      <c r="O81" s="6"/>
    </row>
    <row r="82" spans="2:15" hidden="1" x14ac:dyDescent="0.25">
      <c r="F82" s="222">
        <f t="shared" ref="F82:K82" si="26">F81/$E$81</f>
        <v>0.2</v>
      </c>
      <c r="G82" s="222">
        <f t="shared" si="26"/>
        <v>0.5636363636363636</v>
      </c>
      <c r="H82" s="222">
        <f t="shared" si="26"/>
        <v>1.8181818181818181E-2</v>
      </c>
      <c r="I82" s="222">
        <f t="shared" si="26"/>
        <v>2.3558542624690485E-2</v>
      </c>
      <c r="J82" s="222">
        <f t="shared" si="26"/>
        <v>5.4545454545454543E-2</v>
      </c>
      <c r="K82" s="222">
        <f t="shared" si="26"/>
        <v>0.14007782101167315</v>
      </c>
      <c r="M82" s="222">
        <f>SUM(F82:K82)</f>
        <v>1</v>
      </c>
      <c r="N82" s="6"/>
      <c r="O82" s="6"/>
    </row>
    <row r="83" spans="2:15" hidden="1" x14ac:dyDescent="0.25"/>
    <row r="84" spans="2:15" hidden="1" x14ac:dyDescent="0.25">
      <c r="F84" s="753">
        <f>'Band Calculations 1718'!D15</f>
        <v>8.4033613445378148E-3</v>
      </c>
      <c r="G84" s="753">
        <f>'Band Calculations 1718'!E15</f>
        <v>0.27731092436974791</v>
      </c>
      <c r="H84" s="753">
        <f>'Band Calculations 1718'!F15</f>
        <v>0.59663865546218486</v>
      </c>
      <c r="I84" s="753">
        <f>'Band Calculations 1718'!G15</f>
        <v>2.5210084033613446E-2</v>
      </c>
      <c r="J84" s="753">
        <f>'Band Calculations 1718'!H15</f>
        <v>9.2436974789915971E-2</v>
      </c>
      <c r="K84" s="753">
        <f>'Band Calculations 1718'!I15</f>
        <v>0</v>
      </c>
      <c r="N84" s="6"/>
      <c r="O84" s="6"/>
    </row>
    <row r="85" spans="2:15" hidden="1" x14ac:dyDescent="0.25">
      <c r="B85" s="102" t="s">
        <v>75</v>
      </c>
      <c r="D85" s="612" t="s">
        <v>686</v>
      </c>
      <c r="E85" s="755">
        <f>'Band Calculations - Rebase'!V119</f>
        <v>134.91666666666669</v>
      </c>
      <c r="F85" s="756">
        <f t="shared" ref="F85:K85" si="27">$E$85*F84</f>
        <v>1.1337535014005604</v>
      </c>
      <c r="G85" s="756">
        <f t="shared" si="27"/>
        <v>37.413865546218496</v>
      </c>
      <c r="H85" s="756">
        <f t="shared" si="27"/>
        <v>80.496498599439789</v>
      </c>
      <c r="I85" s="756">
        <f t="shared" si="27"/>
        <v>3.401260504201681</v>
      </c>
      <c r="J85" s="756">
        <f t="shared" si="27"/>
        <v>12.471288515406165</v>
      </c>
      <c r="K85" s="756">
        <f t="shared" si="27"/>
        <v>0</v>
      </c>
      <c r="N85" s="6"/>
      <c r="O85" s="6"/>
    </row>
    <row r="86" spans="2:15" hidden="1" x14ac:dyDescent="0.25">
      <c r="D86" s="612" t="s">
        <v>687</v>
      </c>
      <c r="E86" s="755">
        <f>E85</f>
        <v>134.91666666666669</v>
      </c>
      <c r="F86" s="756">
        <f>F85</f>
        <v>1.1337535014005604</v>
      </c>
      <c r="G86" s="756">
        <f>G85</f>
        <v>37.413865546218496</v>
      </c>
      <c r="H86" s="756">
        <f>H85</f>
        <v>80.496498599439789</v>
      </c>
      <c r="I86" s="756">
        <f>I85-K86</f>
        <v>2.401260504201681</v>
      </c>
      <c r="J86" s="756">
        <f>J85</f>
        <v>12.471288515406165</v>
      </c>
      <c r="K86" s="755">
        <f>N39</f>
        <v>1</v>
      </c>
      <c r="N86" s="6"/>
      <c r="O86" s="6"/>
    </row>
    <row r="87" spans="2:15" hidden="1" x14ac:dyDescent="0.25">
      <c r="F87" s="222">
        <f t="shared" ref="F87:K87" si="28">F86/$E$86</f>
        <v>8.4033613445378148E-3</v>
      </c>
      <c r="G87" s="222">
        <f t="shared" si="28"/>
        <v>0.27731092436974791</v>
      </c>
      <c r="H87" s="222">
        <f t="shared" si="28"/>
        <v>0.59663865546218486</v>
      </c>
      <c r="I87" s="222">
        <f t="shared" si="28"/>
        <v>1.7798101328239758E-2</v>
      </c>
      <c r="J87" s="222">
        <f t="shared" si="28"/>
        <v>9.2436974789915971E-2</v>
      </c>
      <c r="K87" s="222">
        <f t="shared" si="28"/>
        <v>7.4119827053736867E-3</v>
      </c>
      <c r="M87" s="222">
        <f>SUM(F87:K87)</f>
        <v>1</v>
      </c>
      <c r="N87" s="6"/>
      <c r="O87" s="6"/>
    </row>
    <row r="88" spans="2:15" hidden="1" x14ac:dyDescent="0.25"/>
    <row r="89" spans="2:15" hidden="1" x14ac:dyDescent="0.25">
      <c r="F89" s="753">
        <f>'Band Calculations 1718'!D20</f>
        <v>0.23943661971830985</v>
      </c>
      <c r="G89" s="753">
        <f>'Band Calculations 1718'!E20</f>
        <v>0.3380281690140845</v>
      </c>
      <c r="H89" s="753">
        <f>'Band Calculations 1718'!F20</f>
        <v>0</v>
      </c>
      <c r="I89" s="753">
        <f>'Band Calculations 1718'!G20</f>
        <v>0.18309859154929578</v>
      </c>
      <c r="J89" s="753">
        <f>'Band Calculations 1718'!H20</f>
        <v>0.23943661971830985</v>
      </c>
      <c r="K89" s="753">
        <f>'Band Calculations 1718'!I20</f>
        <v>0</v>
      </c>
      <c r="N89" s="6"/>
      <c r="O89" s="6"/>
    </row>
    <row r="90" spans="2:15" hidden="1" x14ac:dyDescent="0.25">
      <c r="B90" s="102" t="s">
        <v>77</v>
      </c>
      <c r="D90" s="612" t="s">
        <v>686</v>
      </c>
      <c r="E90" s="755">
        <f>'Band Calculations - Rebase'!V124</f>
        <v>75</v>
      </c>
      <c r="F90" s="756">
        <f t="shared" ref="F90:K90" si="29">$E$90*F89</f>
        <v>17.95774647887324</v>
      </c>
      <c r="G90" s="756">
        <f t="shared" si="29"/>
        <v>25.352112676056336</v>
      </c>
      <c r="H90" s="756">
        <f t="shared" si="29"/>
        <v>0</v>
      </c>
      <c r="I90" s="756">
        <f t="shared" si="29"/>
        <v>13.732394366197184</v>
      </c>
      <c r="J90" s="756">
        <f t="shared" si="29"/>
        <v>17.95774647887324</v>
      </c>
      <c r="K90" s="756">
        <f t="shared" si="29"/>
        <v>0</v>
      </c>
      <c r="N90" s="6"/>
      <c r="O90" s="6"/>
    </row>
    <row r="91" spans="2:15" hidden="1" x14ac:dyDescent="0.25">
      <c r="D91" s="612" t="s">
        <v>687</v>
      </c>
      <c r="E91" s="755">
        <f>E90</f>
        <v>75</v>
      </c>
      <c r="F91" s="756">
        <f>F90-(K91-I90)</f>
        <v>16.690140845070424</v>
      </c>
      <c r="G91" s="756">
        <f>G90</f>
        <v>25.352112676056336</v>
      </c>
      <c r="H91" s="756">
        <f>H90</f>
        <v>0</v>
      </c>
      <c r="I91" s="756">
        <v>0</v>
      </c>
      <c r="J91" s="756">
        <f>J90</f>
        <v>17.95774647887324</v>
      </c>
      <c r="K91" s="755">
        <f>N44</f>
        <v>15</v>
      </c>
      <c r="N91" s="6"/>
      <c r="O91" s="6"/>
    </row>
    <row r="92" spans="2:15" hidden="1" x14ac:dyDescent="0.25">
      <c r="F92" s="222">
        <f t="shared" ref="F92:K92" si="30">F91/$E$91</f>
        <v>0.22253521126760564</v>
      </c>
      <c r="G92" s="222">
        <f t="shared" si="30"/>
        <v>0.3380281690140845</v>
      </c>
      <c r="H92" s="222">
        <f t="shared" si="30"/>
        <v>0</v>
      </c>
      <c r="I92" s="222">
        <f t="shared" si="30"/>
        <v>0</v>
      </c>
      <c r="J92" s="222">
        <f t="shared" si="30"/>
        <v>0.23943661971830987</v>
      </c>
      <c r="K92" s="222">
        <f t="shared" si="30"/>
        <v>0.2</v>
      </c>
      <c r="M92" s="222">
        <f>SUM(F92:K92)</f>
        <v>1</v>
      </c>
      <c r="N92" s="6"/>
      <c r="O92" s="6"/>
    </row>
    <row r="93" spans="2:15" hidden="1" x14ac:dyDescent="0.25"/>
    <row r="94" spans="2:15" hidden="1" x14ac:dyDescent="0.25">
      <c r="F94" s="753">
        <f>'Band Calculations 1718'!D21</f>
        <v>0</v>
      </c>
      <c r="G94" s="753">
        <f>'Band Calculations 1718'!E21</f>
        <v>9.8591549295774641E-2</v>
      </c>
      <c r="H94" s="753">
        <f>'Band Calculations 1718'!F21</f>
        <v>0.71830985915492962</v>
      </c>
      <c r="I94" s="753">
        <f>'Band Calculations 1718'!G21</f>
        <v>4.2253521126760563E-2</v>
      </c>
      <c r="J94" s="753">
        <f>'Band Calculations 1718'!H21</f>
        <v>0.14084507042253522</v>
      </c>
      <c r="K94" s="753">
        <f>'Band Calculations 1718'!I21</f>
        <v>0</v>
      </c>
      <c r="N94" s="6"/>
      <c r="O94" s="6"/>
    </row>
    <row r="95" spans="2:15" hidden="1" x14ac:dyDescent="0.25">
      <c r="B95" s="102" t="s">
        <v>78</v>
      </c>
      <c r="D95" s="612" t="s">
        <v>686</v>
      </c>
      <c r="E95" s="755">
        <f>'Band Calculations - Rebase'!V125</f>
        <v>155.91666666666669</v>
      </c>
      <c r="F95" s="756">
        <f t="shared" ref="F95:K95" si="31">$E$95*F94</f>
        <v>0</v>
      </c>
      <c r="G95" s="756">
        <f t="shared" si="31"/>
        <v>15.372065727699532</v>
      </c>
      <c r="H95" s="756">
        <f t="shared" si="31"/>
        <v>111.99647887323945</v>
      </c>
      <c r="I95" s="756">
        <f t="shared" si="31"/>
        <v>6.5880281690140849</v>
      </c>
      <c r="J95" s="756">
        <f t="shared" si="31"/>
        <v>21.960093896713619</v>
      </c>
      <c r="K95" s="756">
        <f t="shared" si="31"/>
        <v>0</v>
      </c>
      <c r="N95" s="6"/>
      <c r="O95" s="6"/>
    </row>
    <row r="96" spans="2:15" hidden="1" x14ac:dyDescent="0.25">
      <c r="B96" s="758"/>
      <c r="D96" s="612" t="s">
        <v>687</v>
      </c>
      <c r="E96" s="755">
        <f>E95</f>
        <v>155.91666666666669</v>
      </c>
      <c r="F96" s="756">
        <f>F95</f>
        <v>0</v>
      </c>
      <c r="G96" s="756">
        <f>G95</f>
        <v>15.372065727699532</v>
      </c>
      <c r="H96" s="756">
        <f>H95</f>
        <v>111.99647887323945</v>
      </c>
      <c r="I96" s="756">
        <f>I95-K96</f>
        <v>4.5880281690140849</v>
      </c>
      <c r="J96" s="756">
        <f>J95</f>
        <v>21.960093896713619</v>
      </c>
      <c r="K96" s="755">
        <f>N45</f>
        <v>2</v>
      </c>
      <c r="N96" s="6"/>
      <c r="O96" s="6"/>
    </row>
    <row r="97" spans="2:13" s="6" customFormat="1" hidden="1" x14ac:dyDescent="0.25">
      <c r="E97" s="46"/>
      <c r="F97" s="222">
        <f t="shared" ref="F97:K97" si="32">F96/$E$96</f>
        <v>0</v>
      </c>
      <c r="G97" s="222">
        <f t="shared" si="32"/>
        <v>9.8591549295774641E-2</v>
      </c>
      <c r="H97" s="222">
        <f t="shared" si="32"/>
        <v>0.71830985915492962</v>
      </c>
      <c r="I97" s="222">
        <f t="shared" si="32"/>
        <v>2.9426156081330312E-2</v>
      </c>
      <c r="J97" s="222">
        <f t="shared" si="32"/>
        <v>0.14084507042253522</v>
      </c>
      <c r="K97" s="222">
        <f t="shared" si="32"/>
        <v>1.282736504543025E-2</v>
      </c>
      <c r="L97" s="46"/>
      <c r="M97" s="222">
        <f>SUM(F97:K97)</f>
        <v>1</v>
      </c>
    </row>
    <row r="98" spans="2:13" s="6" customFormat="1" hidden="1" x14ac:dyDescent="0.25">
      <c r="E98" s="46"/>
      <c r="F98" s="46"/>
      <c r="G98" s="46"/>
      <c r="H98" s="46"/>
      <c r="I98" s="46"/>
      <c r="J98" s="46"/>
      <c r="K98" s="46"/>
      <c r="L98" s="46"/>
      <c r="M98" s="46"/>
    </row>
    <row r="99" spans="2:13" s="6" customFormat="1" hidden="1" x14ac:dyDescent="0.25">
      <c r="E99" s="46"/>
      <c r="F99" s="753">
        <f>'Band Calculations 1718'!D22</f>
        <v>6.0483870967741937E-2</v>
      </c>
      <c r="G99" s="753">
        <f>'Band Calculations 1718'!E22</f>
        <v>0.22177419354838709</v>
      </c>
      <c r="H99" s="753">
        <f>'Band Calculations 1718'!F22</f>
        <v>0.65322580645161288</v>
      </c>
      <c r="I99" s="753">
        <f>'Band Calculations 1718'!G22</f>
        <v>0</v>
      </c>
      <c r="J99" s="753">
        <f>'Band Calculations 1718'!H22</f>
        <v>6.4516129032258063E-2</v>
      </c>
      <c r="K99" s="753">
        <f>'Band Calculations 1718'!I22</f>
        <v>0</v>
      </c>
      <c r="L99" s="46"/>
      <c r="M99" s="46"/>
    </row>
    <row r="100" spans="2:13" s="6" customFormat="1" hidden="1" x14ac:dyDescent="0.25">
      <c r="B100" s="102" t="s">
        <v>55</v>
      </c>
      <c r="D100" s="612" t="s">
        <v>686</v>
      </c>
      <c r="E100" s="755">
        <f>'Band Calculations - Rebase'!V126</f>
        <v>270.50000000000006</v>
      </c>
      <c r="F100" s="756">
        <f t="shared" ref="F100:K100" si="33">$E$100*F99</f>
        <v>16.360887096774196</v>
      </c>
      <c r="G100" s="756">
        <f t="shared" si="33"/>
        <v>59.989919354838719</v>
      </c>
      <c r="H100" s="756">
        <f t="shared" si="33"/>
        <v>176.69758064516131</v>
      </c>
      <c r="I100" s="756">
        <f t="shared" si="33"/>
        <v>0</v>
      </c>
      <c r="J100" s="756">
        <f t="shared" si="33"/>
        <v>17.451612903225811</v>
      </c>
      <c r="K100" s="756">
        <f t="shared" si="33"/>
        <v>0</v>
      </c>
      <c r="L100" s="46"/>
      <c r="M100" s="46"/>
    </row>
    <row r="101" spans="2:13" s="6" customFormat="1" hidden="1" x14ac:dyDescent="0.25">
      <c r="D101" s="612" t="s">
        <v>687</v>
      </c>
      <c r="E101" s="755">
        <f>E100</f>
        <v>270.50000000000006</v>
      </c>
      <c r="F101" s="756">
        <f>F100-(K101-I100)</f>
        <v>11.360887096774196</v>
      </c>
      <c r="G101" s="756">
        <f>G100</f>
        <v>59.989919354838719</v>
      </c>
      <c r="H101" s="756">
        <f>H100</f>
        <v>176.69758064516131</v>
      </c>
      <c r="I101" s="756">
        <f>I100-(N101-L100)</f>
        <v>0</v>
      </c>
      <c r="J101" s="756">
        <f>J100</f>
        <v>17.451612903225811</v>
      </c>
      <c r="K101" s="755">
        <f>N46</f>
        <v>5</v>
      </c>
      <c r="L101" s="46"/>
      <c r="M101" s="46"/>
    </row>
    <row r="102" spans="2:13" s="6" customFormat="1" hidden="1" x14ac:dyDescent="0.25">
      <c r="E102" s="46"/>
      <c r="F102" s="222">
        <f t="shared" ref="F102:K102" si="34">F101/$E$101</f>
        <v>4.1999582612843596E-2</v>
      </c>
      <c r="G102" s="222">
        <f t="shared" si="34"/>
        <v>0.22177419354838709</v>
      </c>
      <c r="H102" s="222">
        <f t="shared" si="34"/>
        <v>0.65322580645161288</v>
      </c>
      <c r="I102" s="222">
        <f t="shared" si="34"/>
        <v>0</v>
      </c>
      <c r="J102" s="222">
        <f t="shared" si="34"/>
        <v>6.4516129032258063E-2</v>
      </c>
      <c r="K102" s="222">
        <f t="shared" si="34"/>
        <v>1.8484288354898331E-2</v>
      </c>
      <c r="L102" s="46"/>
      <c r="M102" s="222">
        <f>SUM(F102:K102)</f>
        <v>1</v>
      </c>
    </row>
    <row r="103" spans="2:13" s="6" customFormat="1" hidden="1" x14ac:dyDescent="0.25">
      <c r="E103" s="46"/>
      <c r="F103" s="46"/>
      <c r="G103" s="46"/>
      <c r="H103" s="46"/>
      <c r="I103" s="46"/>
      <c r="J103" s="46"/>
      <c r="K103" s="46"/>
      <c r="L103" s="46"/>
      <c r="M103" s="46"/>
    </row>
    <row r="104" spans="2:13" s="6" customFormat="1" hidden="1" x14ac:dyDescent="0.25">
      <c r="E104" s="46"/>
      <c r="F104" s="753">
        <f>'Band Calculations 1718'!D23</f>
        <v>0.50370370370370365</v>
      </c>
      <c r="G104" s="753">
        <f>'Band Calculations 1718'!E23</f>
        <v>0</v>
      </c>
      <c r="H104" s="753">
        <f>'Band Calculations 1718'!F23</f>
        <v>0.28888888888888886</v>
      </c>
      <c r="I104" s="753">
        <f>'Band Calculations 1718'!G23</f>
        <v>0.2074074074074074</v>
      </c>
      <c r="J104" s="753">
        <f>'Band Calculations 1718'!H23</f>
        <v>0</v>
      </c>
      <c r="K104" s="753">
        <f>'Band Calculations 1718'!I23</f>
        <v>0</v>
      </c>
      <c r="L104" s="46"/>
      <c r="M104" s="46"/>
    </row>
    <row r="105" spans="2:13" s="6" customFormat="1" hidden="1" x14ac:dyDescent="0.25">
      <c r="B105" s="102" t="s">
        <v>80</v>
      </c>
      <c r="D105" s="612" t="s">
        <v>686</v>
      </c>
      <c r="E105" s="755">
        <f>'Band Calculations - Rebase'!V127</f>
        <v>148.33333333333334</v>
      </c>
      <c r="F105" s="756">
        <f t="shared" ref="F105:K105" si="35">$E$105*F104</f>
        <v>74.716049382716051</v>
      </c>
      <c r="G105" s="756">
        <f t="shared" si="35"/>
        <v>0</v>
      </c>
      <c r="H105" s="756">
        <f t="shared" si="35"/>
        <v>42.851851851851848</v>
      </c>
      <c r="I105" s="756">
        <f t="shared" si="35"/>
        <v>30.765432098765434</v>
      </c>
      <c r="J105" s="756">
        <f t="shared" si="35"/>
        <v>0</v>
      </c>
      <c r="K105" s="756">
        <f t="shared" si="35"/>
        <v>0</v>
      </c>
      <c r="L105" s="46"/>
      <c r="M105" s="46"/>
    </row>
    <row r="106" spans="2:13" s="6" customFormat="1" hidden="1" x14ac:dyDescent="0.25">
      <c r="D106" s="612" t="s">
        <v>687</v>
      </c>
      <c r="E106" s="755">
        <f>E105</f>
        <v>148.33333333333334</v>
      </c>
      <c r="F106" s="756">
        <f>F105-(K106-I105)</f>
        <v>67.481481481481481</v>
      </c>
      <c r="G106" s="756">
        <f>G105</f>
        <v>0</v>
      </c>
      <c r="H106" s="756">
        <f>H105</f>
        <v>42.851851851851848</v>
      </c>
      <c r="I106" s="756">
        <v>0</v>
      </c>
      <c r="J106" s="756">
        <f>J105</f>
        <v>0</v>
      </c>
      <c r="K106" s="755">
        <f>N47</f>
        <v>38</v>
      </c>
      <c r="L106" s="46"/>
      <c r="M106" s="46"/>
    </row>
    <row r="107" spans="2:13" s="6" customFormat="1" hidden="1" x14ac:dyDescent="0.25">
      <c r="E107" s="46"/>
      <c r="F107" s="222">
        <f t="shared" ref="F107:K107" si="36">F106/$E$106</f>
        <v>0.45493133583021222</v>
      </c>
      <c r="G107" s="222">
        <f t="shared" si="36"/>
        <v>0</v>
      </c>
      <c r="H107" s="222">
        <f t="shared" si="36"/>
        <v>0.28888888888888886</v>
      </c>
      <c r="I107" s="222">
        <f t="shared" si="36"/>
        <v>0</v>
      </c>
      <c r="J107" s="222">
        <f t="shared" si="36"/>
        <v>0</v>
      </c>
      <c r="K107" s="222">
        <f t="shared" si="36"/>
        <v>0.25617977528089886</v>
      </c>
      <c r="L107" s="46"/>
      <c r="M107" s="222">
        <f>SUM(F107:K107)</f>
        <v>0.99999999999999989</v>
      </c>
    </row>
    <row r="108" spans="2:13" s="6" customFormat="1" hidden="1" x14ac:dyDescent="0.25">
      <c r="E108" s="46"/>
      <c r="F108" s="222"/>
      <c r="G108" s="222"/>
      <c r="H108" s="222"/>
      <c r="I108" s="222"/>
      <c r="J108" s="222"/>
      <c r="K108" s="222"/>
      <c r="L108" s="46"/>
      <c r="M108" s="222"/>
    </row>
    <row r="109" spans="2:13" s="6" customFormat="1" hidden="1" x14ac:dyDescent="0.25">
      <c r="B109" s="612"/>
      <c r="C109" s="612"/>
      <c r="D109" s="612"/>
      <c r="E109" s="672"/>
      <c r="F109" s="790">
        <f>'Band Calculations 1718'!D14</f>
        <v>7.0866141732283464E-2</v>
      </c>
      <c r="G109" s="790">
        <f>'Band Calculations 1718'!E14</f>
        <v>0.16535433070866143</v>
      </c>
      <c r="H109" s="790">
        <f>'Band Calculations 1718'!F14</f>
        <v>0.51968503937007871</v>
      </c>
      <c r="I109" s="790">
        <f>'Band Calculations 1718'!G14</f>
        <v>3.937007874015748E-2</v>
      </c>
      <c r="J109" s="790">
        <f>'Band Calculations 1718'!H14</f>
        <v>0.20472440944881889</v>
      </c>
      <c r="K109" s="790">
        <f>'Band Calculations 1718'!I14</f>
        <v>0</v>
      </c>
      <c r="L109" s="672"/>
      <c r="M109" s="672"/>
    </row>
    <row r="110" spans="2:13" s="6" customFormat="1" hidden="1" x14ac:dyDescent="0.25">
      <c r="B110" s="791" t="s">
        <v>74</v>
      </c>
      <c r="C110" s="612"/>
      <c r="D110" s="612" t="s">
        <v>686</v>
      </c>
      <c r="E110" s="792">
        <f>'[15]Band Calculations - Rebase'!V118</f>
        <v>118.91666666666667</v>
      </c>
      <c r="F110" s="793">
        <f t="shared" ref="F110:K110" si="37">$E$110*F109</f>
        <v>8.4271653543307092</v>
      </c>
      <c r="G110" s="793">
        <f t="shared" si="37"/>
        <v>19.663385826771655</v>
      </c>
      <c r="H110" s="793">
        <f t="shared" si="37"/>
        <v>61.799212598425193</v>
      </c>
      <c r="I110" s="793">
        <f t="shared" si="37"/>
        <v>4.6817585301837275</v>
      </c>
      <c r="J110" s="793">
        <f t="shared" si="37"/>
        <v>24.34514435695538</v>
      </c>
      <c r="K110" s="793">
        <f t="shared" si="37"/>
        <v>0</v>
      </c>
      <c r="L110" s="672"/>
      <c r="M110" s="672"/>
    </row>
    <row r="111" spans="2:13" s="6" customFormat="1" hidden="1" x14ac:dyDescent="0.25">
      <c r="B111" s="794"/>
      <c r="C111" s="612"/>
      <c r="D111" s="612" t="s">
        <v>687</v>
      </c>
      <c r="E111" s="792">
        <f>E110</f>
        <v>118.91666666666667</v>
      </c>
      <c r="F111" s="793">
        <f>F110</f>
        <v>8.4271653543307092</v>
      </c>
      <c r="G111" s="793">
        <f>G110</f>
        <v>19.663385826771655</v>
      </c>
      <c r="H111" s="793">
        <f>H110</f>
        <v>61.799212598425193</v>
      </c>
      <c r="I111" s="793">
        <f>I110-K111</f>
        <v>1.6817585301837275</v>
      </c>
      <c r="J111" s="793">
        <f>J110</f>
        <v>24.34514435695538</v>
      </c>
      <c r="K111" s="792">
        <f>N38</f>
        <v>3</v>
      </c>
      <c r="L111" s="672"/>
      <c r="M111" s="672"/>
    </row>
    <row r="112" spans="2:13" s="6" customFormat="1" hidden="1" x14ac:dyDescent="0.25">
      <c r="B112" s="612"/>
      <c r="C112" s="612"/>
      <c r="D112" s="612"/>
      <c r="E112" s="672"/>
      <c r="F112" s="795">
        <f t="shared" ref="F112:K112" si="38">F111/$E$111</f>
        <v>7.0866141732283464E-2</v>
      </c>
      <c r="G112" s="795">
        <f t="shared" si="38"/>
        <v>0.16535433070866143</v>
      </c>
      <c r="H112" s="795">
        <f t="shared" si="38"/>
        <v>0.51968503937007871</v>
      </c>
      <c r="I112" s="795">
        <f t="shared" si="38"/>
        <v>1.4142328214579346E-2</v>
      </c>
      <c r="J112" s="795">
        <f t="shared" si="38"/>
        <v>0.20472440944881889</v>
      </c>
      <c r="K112" s="795">
        <f t="shared" si="38"/>
        <v>2.5227750525578133E-2</v>
      </c>
      <c r="L112" s="672"/>
      <c r="M112" s="795">
        <f>SUM(F112:K112)</f>
        <v>1</v>
      </c>
    </row>
    <row r="114" spans="1:20" x14ac:dyDescent="0.25">
      <c r="B114" s="770">
        <v>43191</v>
      </c>
      <c r="C114" s="771"/>
      <c r="D114" s="771"/>
      <c r="E114" s="771"/>
      <c r="F114" s="772"/>
      <c r="G114" s="772"/>
      <c r="H114" s="772"/>
      <c r="I114" s="772"/>
      <c r="J114" s="772"/>
      <c r="K114" s="772"/>
      <c r="L114" s="772"/>
      <c r="M114" s="772"/>
      <c r="N114" s="772"/>
      <c r="O114" s="772"/>
      <c r="P114" s="772"/>
      <c r="Q114" s="772"/>
      <c r="R114" s="772"/>
    </row>
    <row r="115" spans="1:20" x14ac:dyDescent="0.25">
      <c r="B115" s="772"/>
      <c r="C115" s="772"/>
      <c r="D115" s="772"/>
      <c r="E115" s="772"/>
      <c r="F115" s="772"/>
      <c r="G115" s="772"/>
      <c r="H115" s="772">
        <v>8</v>
      </c>
      <c r="I115" s="772">
        <v>9</v>
      </c>
      <c r="J115" s="772">
        <v>10</v>
      </c>
      <c r="K115" s="772">
        <v>11</v>
      </c>
      <c r="L115" s="772">
        <v>12</v>
      </c>
      <c r="M115" s="772">
        <v>13</v>
      </c>
      <c r="N115" s="772">
        <v>14</v>
      </c>
      <c r="O115" s="772">
        <v>15</v>
      </c>
      <c r="P115" s="772">
        <v>16</v>
      </c>
      <c r="Q115" s="772">
        <v>17</v>
      </c>
      <c r="R115" s="772">
        <v>18</v>
      </c>
    </row>
    <row r="116" spans="1:20" ht="31.5" x14ac:dyDescent="0.25">
      <c r="B116" s="773" t="s">
        <v>66</v>
      </c>
      <c r="C116" s="774" t="s">
        <v>51</v>
      </c>
      <c r="D116" s="775" t="s">
        <v>688</v>
      </c>
      <c r="E116" s="776" t="s">
        <v>265</v>
      </c>
      <c r="F116" s="777" t="s">
        <v>266</v>
      </c>
      <c r="G116" s="776" t="s">
        <v>267</v>
      </c>
      <c r="H116" s="777" t="s">
        <v>257</v>
      </c>
      <c r="I116" s="776" t="s">
        <v>268</v>
      </c>
      <c r="J116" s="777" t="s">
        <v>269</v>
      </c>
      <c r="K116" s="776" t="s">
        <v>270</v>
      </c>
      <c r="L116" s="777" t="s">
        <v>271</v>
      </c>
      <c r="M116" s="778" t="s">
        <v>272</v>
      </c>
      <c r="N116" s="779" t="s">
        <v>273</v>
      </c>
      <c r="O116" s="776" t="s">
        <v>689</v>
      </c>
      <c r="P116" s="777" t="s">
        <v>690</v>
      </c>
      <c r="Q116" s="778" t="s">
        <v>631</v>
      </c>
      <c r="R116" s="779" t="s">
        <v>691</v>
      </c>
    </row>
    <row r="117" spans="1:20" x14ac:dyDescent="0.25">
      <c r="A117" s="185">
        <v>9257010</v>
      </c>
      <c r="B117" s="780" t="s">
        <v>67</v>
      </c>
      <c r="C117" s="781">
        <v>3</v>
      </c>
      <c r="D117" s="782">
        <f t="shared" ref="D117:D125" si="39">E117+G117+I117+K117+M117+O117+Q117</f>
        <v>52</v>
      </c>
      <c r="E117" s="783">
        <v>6</v>
      </c>
      <c r="F117" s="784">
        <f>E117/D117</f>
        <v>0.11538461538461539</v>
      </c>
      <c r="G117" s="785">
        <v>15</v>
      </c>
      <c r="H117" s="784">
        <f>G117/D117</f>
        <v>0.28846153846153844</v>
      </c>
      <c r="I117" s="785">
        <v>3</v>
      </c>
      <c r="J117" s="784">
        <f>I117/D117</f>
        <v>5.7692307692307696E-2</v>
      </c>
      <c r="K117" s="785">
        <v>2</v>
      </c>
      <c r="L117" s="784">
        <f>K117/D117</f>
        <v>3.8461538461538464E-2</v>
      </c>
      <c r="M117" s="786">
        <v>5</v>
      </c>
      <c r="N117" s="787">
        <f>M117/D117</f>
        <v>9.6153846153846159E-2</v>
      </c>
      <c r="O117" s="785">
        <v>13</v>
      </c>
      <c r="P117" s="784">
        <f>O117/D117</f>
        <v>0.25</v>
      </c>
      <c r="Q117" s="786">
        <v>8</v>
      </c>
      <c r="R117" s="787">
        <f>Q117/D117</f>
        <v>0.15384615384615385</v>
      </c>
      <c r="T117" s="807"/>
    </row>
    <row r="118" spans="1:20" x14ac:dyDescent="0.25">
      <c r="A118" s="185">
        <v>9257005</v>
      </c>
      <c r="B118" s="780" t="s">
        <v>68</v>
      </c>
      <c r="C118" s="781">
        <v>3</v>
      </c>
      <c r="D118" s="782">
        <f t="shared" si="39"/>
        <v>75</v>
      </c>
      <c r="E118" s="783">
        <v>10</v>
      </c>
      <c r="F118" s="784">
        <f t="shared" ref="F118:F134" si="40">E118/D118</f>
        <v>0.13333333333333333</v>
      </c>
      <c r="G118" s="785">
        <v>17</v>
      </c>
      <c r="H118" s="784">
        <f t="shared" ref="H118:H134" si="41">G118/D118</f>
        <v>0.22666666666666666</v>
      </c>
      <c r="I118" s="785">
        <v>7</v>
      </c>
      <c r="J118" s="784">
        <f t="shared" ref="J118:J134" si="42">I118/D118</f>
        <v>9.3333333333333338E-2</v>
      </c>
      <c r="K118" s="785">
        <v>7</v>
      </c>
      <c r="L118" s="784">
        <f t="shared" ref="L118:L134" si="43">K118/D118</f>
        <v>9.3333333333333338E-2</v>
      </c>
      <c r="M118" s="786">
        <v>12</v>
      </c>
      <c r="N118" s="787">
        <f t="shared" ref="N118:N134" si="44">M118/D118</f>
        <v>0.16</v>
      </c>
      <c r="O118" s="785">
        <v>15</v>
      </c>
      <c r="P118" s="784">
        <f t="shared" ref="P118:P134" si="45">O118/D118</f>
        <v>0.2</v>
      </c>
      <c r="Q118" s="786">
        <v>7</v>
      </c>
      <c r="R118" s="787">
        <f t="shared" ref="R118:R134" si="46">Q118/D118</f>
        <v>9.3333333333333338E-2</v>
      </c>
      <c r="T118" s="807"/>
    </row>
    <row r="119" spans="1:20" x14ac:dyDescent="0.25">
      <c r="A119" s="185">
        <v>9257025</v>
      </c>
      <c r="B119" s="780" t="s">
        <v>69</v>
      </c>
      <c r="C119" s="781">
        <v>3</v>
      </c>
      <c r="D119" s="782">
        <f t="shared" si="39"/>
        <v>67</v>
      </c>
      <c r="E119" s="783">
        <v>3</v>
      </c>
      <c r="F119" s="784">
        <f t="shared" si="40"/>
        <v>4.4776119402985072E-2</v>
      </c>
      <c r="G119" s="785">
        <v>18</v>
      </c>
      <c r="H119" s="784">
        <f t="shared" si="41"/>
        <v>0.26865671641791045</v>
      </c>
      <c r="I119" s="785">
        <v>12</v>
      </c>
      <c r="J119" s="784">
        <f t="shared" si="42"/>
        <v>0.17910447761194029</v>
      </c>
      <c r="K119" s="785">
        <v>10</v>
      </c>
      <c r="L119" s="784">
        <f t="shared" si="43"/>
        <v>0.14925373134328357</v>
      </c>
      <c r="M119" s="786">
        <v>10</v>
      </c>
      <c r="N119" s="787">
        <f t="shared" si="44"/>
        <v>0.14925373134328357</v>
      </c>
      <c r="O119" s="785">
        <v>8</v>
      </c>
      <c r="P119" s="784">
        <f t="shared" si="45"/>
        <v>0.11940298507462686</v>
      </c>
      <c r="Q119" s="786">
        <v>6</v>
      </c>
      <c r="R119" s="787">
        <f t="shared" si="46"/>
        <v>8.9552238805970144E-2</v>
      </c>
      <c r="T119" s="807"/>
    </row>
    <row r="120" spans="1:20" x14ac:dyDescent="0.25">
      <c r="A120" s="185">
        <v>9257011</v>
      </c>
      <c r="B120" s="780" t="s">
        <v>70</v>
      </c>
      <c r="C120" s="781">
        <v>3</v>
      </c>
      <c r="D120" s="782">
        <f t="shared" si="39"/>
        <v>54</v>
      </c>
      <c r="E120" s="783">
        <v>7</v>
      </c>
      <c r="F120" s="784">
        <f t="shared" si="40"/>
        <v>0.12962962962962962</v>
      </c>
      <c r="G120" s="785">
        <v>17</v>
      </c>
      <c r="H120" s="784">
        <f t="shared" si="41"/>
        <v>0.31481481481481483</v>
      </c>
      <c r="I120" s="785">
        <v>6</v>
      </c>
      <c r="J120" s="784">
        <f t="shared" si="42"/>
        <v>0.1111111111111111</v>
      </c>
      <c r="K120" s="785">
        <v>8</v>
      </c>
      <c r="L120" s="784">
        <f t="shared" si="43"/>
        <v>0.14814814814814814</v>
      </c>
      <c r="M120" s="786">
        <v>3</v>
      </c>
      <c r="N120" s="787">
        <f t="shared" si="44"/>
        <v>5.5555555555555552E-2</v>
      </c>
      <c r="O120" s="785">
        <v>7</v>
      </c>
      <c r="P120" s="784">
        <f t="shared" si="45"/>
        <v>0.12962962962962962</v>
      </c>
      <c r="Q120" s="786">
        <v>6</v>
      </c>
      <c r="R120" s="787">
        <f t="shared" si="46"/>
        <v>0.1111111111111111</v>
      </c>
      <c r="T120" s="807"/>
    </row>
    <row r="121" spans="1:20" x14ac:dyDescent="0.25">
      <c r="A121" s="185">
        <v>9257024</v>
      </c>
      <c r="B121" s="780" t="s">
        <v>71</v>
      </c>
      <c r="C121" s="781">
        <v>3</v>
      </c>
      <c r="D121" s="782">
        <f t="shared" si="39"/>
        <v>69</v>
      </c>
      <c r="E121" s="785">
        <v>6</v>
      </c>
      <c r="F121" s="784">
        <f t="shared" si="40"/>
        <v>8.6956521739130432E-2</v>
      </c>
      <c r="G121" s="785">
        <v>24</v>
      </c>
      <c r="H121" s="784">
        <f t="shared" si="41"/>
        <v>0.34782608695652173</v>
      </c>
      <c r="I121" s="785">
        <v>8</v>
      </c>
      <c r="J121" s="784">
        <f t="shared" si="42"/>
        <v>0.11594202898550725</v>
      </c>
      <c r="K121" s="785">
        <v>11</v>
      </c>
      <c r="L121" s="784">
        <f t="shared" si="43"/>
        <v>0.15942028985507245</v>
      </c>
      <c r="M121" s="786">
        <v>4</v>
      </c>
      <c r="N121" s="787">
        <f t="shared" si="44"/>
        <v>5.7971014492753624E-2</v>
      </c>
      <c r="O121" s="785">
        <v>7</v>
      </c>
      <c r="P121" s="784">
        <f t="shared" si="45"/>
        <v>0.10144927536231885</v>
      </c>
      <c r="Q121" s="786">
        <v>9</v>
      </c>
      <c r="R121" s="787">
        <f t="shared" si="46"/>
        <v>0.13043478260869565</v>
      </c>
      <c r="T121" s="807"/>
    </row>
    <row r="122" spans="1:20" x14ac:dyDescent="0.25">
      <c r="A122" s="185">
        <v>9257031</v>
      </c>
      <c r="B122" s="780" t="s">
        <v>98</v>
      </c>
      <c r="C122" s="781">
        <v>3</v>
      </c>
      <c r="D122" s="782">
        <f t="shared" si="39"/>
        <v>0</v>
      </c>
      <c r="E122" s="785">
        <v>0</v>
      </c>
      <c r="F122" s="784">
        <v>0</v>
      </c>
      <c r="G122" s="785">
        <v>0</v>
      </c>
      <c r="H122" s="784">
        <v>0</v>
      </c>
      <c r="I122" s="785">
        <v>0</v>
      </c>
      <c r="J122" s="784">
        <v>0</v>
      </c>
      <c r="K122" s="785">
        <v>0</v>
      </c>
      <c r="L122" s="784">
        <v>0</v>
      </c>
      <c r="M122" s="786">
        <v>0</v>
      </c>
      <c r="N122" s="787">
        <v>1</v>
      </c>
      <c r="O122" s="785">
        <v>0</v>
      </c>
      <c r="P122" s="784">
        <v>0</v>
      </c>
      <c r="Q122" s="786">
        <v>0</v>
      </c>
      <c r="R122" s="787">
        <v>0</v>
      </c>
      <c r="T122" s="807"/>
    </row>
    <row r="123" spans="1:20" x14ac:dyDescent="0.25">
      <c r="A123" s="185">
        <v>9257033</v>
      </c>
      <c r="B123" s="780" t="s">
        <v>72</v>
      </c>
      <c r="C123" s="781">
        <v>3</v>
      </c>
      <c r="D123" s="782">
        <f t="shared" si="39"/>
        <v>86</v>
      </c>
      <c r="E123" s="785">
        <v>6</v>
      </c>
      <c r="F123" s="784">
        <f t="shared" si="40"/>
        <v>6.9767441860465115E-2</v>
      </c>
      <c r="G123" s="785">
        <v>17</v>
      </c>
      <c r="H123" s="784">
        <f t="shared" si="41"/>
        <v>0.19767441860465115</v>
      </c>
      <c r="I123" s="785">
        <v>27</v>
      </c>
      <c r="J123" s="784">
        <f t="shared" si="42"/>
        <v>0.31395348837209303</v>
      </c>
      <c r="K123" s="788">
        <v>9</v>
      </c>
      <c r="L123" s="784">
        <f t="shared" si="43"/>
        <v>0.10465116279069768</v>
      </c>
      <c r="M123" s="786">
        <v>19</v>
      </c>
      <c r="N123" s="787">
        <f t="shared" si="44"/>
        <v>0.22093023255813954</v>
      </c>
      <c r="O123" s="788">
        <v>8</v>
      </c>
      <c r="P123" s="784">
        <f t="shared" si="45"/>
        <v>9.3023255813953487E-2</v>
      </c>
      <c r="Q123" s="786">
        <v>0</v>
      </c>
      <c r="R123" s="787">
        <f t="shared" si="46"/>
        <v>0</v>
      </c>
      <c r="T123" s="807"/>
    </row>
    <row r="124" spans="1:20" x14ac:dyDescent="0.25">
      <c r="A124" s="185">
        <v>9257008</v>
      </c>
      <c r="B124" s="780" t="s">
        <v>73</v>
      </c>
      <c r="C124" s="781">
        <v>3</v>
      </c>
      <c r="D124" s="782">
        <f t="shared" si="39"/>
        <v>91</v>
      </c>
      <c r="E124" s="785">
        <v>2</v>
      </c>
      <c r="F124" s="784">
        <f t="shared" si="40"/>
        <v>2.197802197802198E-2</v>
      </c>
      <c r="G124" s="785">
        <v>56</v>
      </c>
      <c r="H124" s="784">
        <f t="shared" si="41"/>
        <v>0.61538461538461542</v>
      </c>
      <c r="I124" s="785">
        <v>4</v>
      </c>
      <c r="J124" s="784">
        <f t="shared" si="42"/>
        <v>4.3956043956043959E-2</v>
      </c>
      <c r="K124" s="785">
        <v>2</v>
      </c>
      <c r="L124" s="784">
        <f t="shared" si="43"/>
        <v>2.197802197802198E-2</v>
      </c>
      <c r="M124" s="789">
        <v>14</v>
      </c>
      <c r="N124" s="787">
        <f t="shared" si="44"/>
        <v>0.15384615384615385</v>
      </c>
      <c r="O124" s="785">
        <v>13</v>
      </c>
      <c r="P124" s="784">
        <f t="shared" si="45"/>
        <v>0.14285714285714285</v>
      </c>
      <c r="Q124" s="789">
        <v>0</v>
      </c>
      <c r="R124" s="787">
        <f t="shared" si="46"/>
        <v>0</v>
      </c>
      <c r="T124" s="807"/>
    </row>
    <row r="125" spans="1:20" x14ac:dyDescent="0.25">
      <c r="A125" s="185">
        <v>9257034</v>
      </c>
      <c r="B125" s="780" t="s">
        <v>74</v>
      </c>
      <c r="C125" s="781">
        <v>4</v>
      </c>
      <c r="D125" s="782">
        <f t="shared" si="39"/>
        <v>114</v>
      </c>
      <c r="E125" s="785">
        <v>5</v>
      </c>
      <c r="F125" s="784">
        <f t="shared" si="40"/>
        <v>4.3859649122807015E-2</v>
      </c>
      <c r="G125" s="785">
        <v>19</v>
      </c>
      <c r="H125" s="784">
        <f t="shared" si="41"/>
        <v>0.16666666666666666</v>
      </c>
      <c r="I125" s="785">
        <v>48</v>
      </c>
      <c r="J125" s="784">
        <f t="shared" si="42"/>
        <v>0.42105263157894735</v>
      </c>
      <c r="K125" s="785">
        <v>4</v>
      </c>
      <c r="L125" s="784">
        <f t="shared" si="43"/>
        <v>3.5087719298245612E-2</v>
      </c>
      <c r="M125" s="786">
        <v>30</v>
      </c>
      <c r="N125" s="787">
        <f t="shared" si="44"/>
        <v>0.26315789473684209</v>
      </c>
      <c r="O125" s="785">
        <v>5</v>
      </c>
      <c r="P125" s="784">
        <f t="shared" si="45"/>
        <v>4.3859649122807015E-2</v>
      </c>
      <c r="Q125" s="786">
        <v>3</v>
      </c>
      <c r="R125" s="787">
        <f t="shared" si="46"/>
        <v>2.6315789473684209E-2</v>
      </c>
      <c r="T125" s="807"/>
    </row>
    <row r="126" spans="1:20" x14ac:dyDescent="0.25">
      <c r="A126" s="185">
        <v>9257002</v>
      </c>
      <c r="B126" s="780" t="s">
        <v>75</v>
      </c>
      <c r="C126" s="781">
        <v>4</v>
      </c>
      <c r="D126" s="782">
        <f>E126+G126+I126+K126+M126+O126+Q126</f>
        <v>139</v>
      </c>
      <c r="E126" s="785">
        <v>1</v>
      </c>
      <c r="F126" s="784">
        <f t="shared" si="40"/>
        <v>7.1942446043165471E-3</v>
      </c>
      <c r="G126" s="785">
        <v>18</v>
      </c>
      <c r="H126" s="784">
        <f t="shared" si="41"/>
        <v>0.12949640287769784</v>
      </c>
      <c r="I126" s="785">
        <v>74</v>
      </c>
      <c r="J126" s="784">
        <f t="shared" si="42"/>
        <v>0.53237410071942448</v>
      </c>
      <c r="K126" s="785">
        <v>9</v>
      </c>
      <c r="L126" s="784">
        <f t="shared" si="43"/>
        <v>6.4748201438848921E-2</v>
      </c>
      <c r="M126" s="786">
        <v>26</v>
      </c>
      <c r="N126" s="787">
        <f t="shared" si="44"/>
        <v>0.18705035971223022</v>
      </c>
      <c r="O126" s="785">
        <v>10</v>
      </c>
      <c r="P126" s="784">
        <f t="shared" si="45"/>
        <v>7.1942446043165464E-2</v>
      </c>
      <c r="Q126" s="786">
        <v>1</v>
      </c>
      <c r="R126" s="787">
        <f t="shared" si="46"/>
        <v>7.1942446043165471E-3</v>
      </c>
      <c r="T126" s="807"/>
    </row>
    <row r="127" spans="1:20" x14ac:dyDescent="0.25">
      <c r="A127" s="185">
        <v>9257009</v>
      </c>
      <c r="B127" s="780" t="s">
        <v>76</v>
      </c>
      <c r="C127" s="781">
        <v>4</v>
      </c>
      <c r="D127" s="782">
        <f t="shared" ref="D127:D134" si="47">E127+G127+I127+K127+M127+O127+Q127</f>
        <v>128</v>
      </c>
      <c r="E127" s="785">
        <v>0</v>
      </c>
      <c r="F127" s="784">
        <f t="shared" si="40"/>
        <v>0</v>
      </c>
      <c r="G127" s="785">
        <v>60</v>
      </c>
      <c r="H127" s="784">
        <f t="shared" si="41"/>
        <v>0.46875</v>
      </c>
      <c r="I127" s="785">
        <v>19</v>
      </c>
      <c r="J127" s="784">
        <f t="shared" si="42"/>
        <v>0.1484375</v>
      </c>
      <c r="K127" s="785">
        <v>4</v>
      </c>
      <c r="L127" s="784">
        <f t="shared" si="43"/>
        <v>3.125E-2</v>
      </c>
      <c r="M127" s="786">
        <v>16</v>
      </c>
      <c r="N127" s="787">
        <f t="shared" si="44"/>
        <v>0.125</v>
      </c>
      <c r="O127" s="785">
        <v>29</v>
      </c>
      <c r="P127" s="784">
        <f t="shared" si="45"/>
        <v>0.2265625</v>
      </c>
      <c r="Q127" s="786">
        <v>0</v>
      </c>
      <c r="R127" s="787">
        <f t="shared" si="46"/>
        <v>0</v>
      </c>
      <c r="T127" s="807"/>
    </row>
    <row r="128" spans="1:20" x14ac:dyDescent="0.25">
      <c r="A128" s="185">
        <v>9257029</v>
      </c>
      <c r="B128" s="780" t="s">
        <v>99</v>
      </c>
      <c r="C128" s="781">
        <v>4</v>
      </c>
      <c r="D128" s="782">
        <f t="shared" si="47"/>
        <v>0</v>
      </c>
      <c r="E128" s="785">
        <v>0</v>
      </c>
      <c r="F128" s="784">
        <v>0</v>
      </c>
      <c r="G128" s="785">
        <v>0</v>
      </c>
      <c r="H128" s="784">
        <v>0</v>
      </c>
      <c r="I128" s="785">
        <v>0</v>
      </c>
      <c r="J128" s="784">
        <v>0</v>
      </c>
      <c r="K128" s="785">
        <v>0</v>
      </c>
      <c r="L128" s="784">
        <v>0</v>
      </c>
      <c r="M128" s="786">
        <v>0</v>
      </c>
      <c r="N128" s="787">
        <v>1</v>
      </c>
      <c r="O128" s="785">
        <v>0</v>
      </c>
      <c r="P128" s="784">
        <v>0</v>
      </c>
      <c r="Q128" s="786">
        <v>0</v>
      </c>
      <c r="R128" s="787">
        <v>0</v>
      </c>
      <c r="T128" s="807"/>
    </row>
    <row r="129" spans="1:20" x14ac:dyDescent="0.25">
      <c r="A129" s="185">
        <v>9257032</v>
      </c>
      <c r="B129" s="780" t="s">
        <v>100</v>
      </c>
      <c r="C129" s="781">
        <v>4</v>
      </c>
      <c r="D129" s="782">
        <f t="shared" si="47"/>
        <v>0</v>
      </c>
      <c r="E129" s="785">
        <v>0</v>
      </c>
      <c r="F129" s="784">
        <v>0</v>
      </c>
      <c r="G129" s="785">
        <v>0</v>
      </c>
      <c r="H129" s="784">
        <v>0</v>
      </c>
      <c r="I129" s="785">
        <v>0</v>
      </c>
      <c r="J129" s="784">
        <v>0</v>
      </c>
      <c r="K129" s="785">
        <v>0</v>
      </c>
      <c r="L129" s="784">
        <v>0</v>
      </c>
      <c r="M129" s="786">
        <v>0</v>
      </c>
      <c r="N129" s="787">
        <v>1</v>
      </c>
      <c r="O129" s="785">
        <v>0</v>
      </c>
      <c r="P129" s="784">
        <v>0</v>
      </c>
      <c r="Q129" s="786">
        <v>0</v>
      </c>
      <c r="R129" s="787">
        <v>0</v>
      </c>
      <c r="T129" s="807"/>
    </row>
    <row r="130" spans="1:20" x14ac:dyDescent="0.25">
      <c r="A130" s="185">
        <v>9257030</v>
      </c>
      <c r="B130" s="780" t="s">
        <v>92</v>
      </c>
      <c r="C130" s="781">
        <v>4</v>
      </c>
      <c r="D130" s="782">
        <f t="shared" si="47"/>
        <v>0</v>
      </c>
      <c r="E130" s="783">
        <v>0</v>
      </c>
      <c r="F130" s="784">
        <v>0</v>
      </c>
      <c r="G130" s="785">
        <v>0</v>
      </c>
      <c r="H130" s="784">
        <v>0</v>
      </c>
      <c r="I130" s="785">
        <v>0</v>
      </c>
      <c r="J130" s="784">
        <v>0</v>
      </c>
      <c r="K130" s="785">
        <v>0</v>
      </c>
      <c r="L130" s="784">
        <v>0</v>
      </c>
      <c r="M130" s="786">
        <v>0</v>
      </c>
      <c r="N130" s="787">
        <v>1</v>
      </c>
      <c r="O130" s="785">
        <v>0</v>
      </c>
      <c r="P130" s="784">
        <v>0</v>
      </c>
      <c r="Q130" s="786">
        <v>0</v>
      </c>
      <c r="R130" s="787">
        <v>0</v>
      </c>
      <c r="T130" s="807"/>
    </row>
    <row r="131" spans="1:20" x14ac:dyDescent="0.25">
      <c r="A131" s="185">
        <v>9257028</v>
      </c>
      <c r="B131" s="780" t="s">
        <v>77</v>
      </c>
      <c r="C131" s="781">
        <v>4</v>
      </c>
      <c r="D131" s="782">
        <f t="shared" si="47"/>
        <v>79</v>
      </c>
      <c r="E131" s="785">
        <v>8</v>
      </c>
      <c r="F131" s="784">
        <f t="shared" si="40"/>
        <v>0.10126582278481013</v>
      </c>
      <c r="G131" s="783">
        <v>23</v>
      </c>
      <c r="H131" s="784">
        <f t="shared" si="41"/>
        <v>0.29113924050632911</v>
      </c>
      <c r="I131" s="783">
        <v>5</v>
      </c>
      <c r="J131" s="784">
        <f t="shared" si="42"/>
        <v>6.3291139240506333E-2</v>
      </c>
      <c r="K131" s="783">
        <v>15</v>
      </c>
      <c r="L131" s="784">
        <f t="shared" si="43"/>
        <v>0.189873417721519</v>
      </c>
      <c r="M131" s="786">
        <v>3</v>
      </c>
      <c r="N131" s="787">
        <f t="shared" si="44"/>
        <v>3.7974683544303799E-2</v>
      </c>
      <c r="O131" s="783">
        <v>10</v>
      </c>
      <c r="P131" s="784">
        <f t="shared" si="45"/>
        <v>0.12658227848101267</v>
      </c>
      <c r="Q131" s="786">
        <v>15</v>
      </c>
      <c r="R131" s="787">
        <f t="shared" si="46"/>
        <v>0.189873417721519</v>
      </c>
      <c r="T131" s="807"/>
    </row>
    <row r="132" spans="1:20" x14ac:dyDescent="0.25">
      <c r="A132" s="185">
        <v>9257021</v>
      </c>
      <c r="B132" s="780" t="s">
        <v>78</v>
      </c>
      <c r="C132" s="781">
        <v>5</v>
      </c>
      <c r="D132" s="782">
        <f t="shared" si="47"/>
        <v>155</v>
      </c>
      <c r="E132" s="785">
        <v>6</v>
      </c>
      <c r="F132" s="784">
        <f t="shared" si="40"/>
        <v>3.870967741935484E-2</v>
      </c>
      <c r="G132" s="785">
        <v>46</v>
      </c>
      <c r="H132" s="784">
        <f t="shared" si="41"/>
        <v>0.29677419354838708</v>
      </c>
      <c r="I132" s="785">
        <v>46</v>
      </c>
      <c r="J132" s="784">
        <f t="shared" si="42"/>
        <v>0.29677419354838708</v>
      </c>
      <c r="K132" s="785">
        <v>14</v>
      </c>
      <c r="L132" s="784">
        <f t="shared" si="43"/>
        <v>9.0322580645161285E-2</v>
      </c>
      <c r="M132" s="786">
        <v>19</v>
      </c>
      <c r="N132" s="787">
        <f t="shared" si="44"/>
        <v>0.12258064516129032</v>
      </c>
      <c r="O132" s="785">
        <v>22</v>
      </c>
      <c r="P132" s="784">
        <f t="shared" si="45"/>
        <v>0.14193548387096774</v>
      </c>
      <c r="Q132" s="786">
        <v>2</v>
      </c>
      <c r="R132" s="787">
        <f t="shared" si="46"/>
        <v>1.2903225806451613E-2</v>
      </c>
      <c r="T132" s="807"/>
    </row>
    <row r="133" spans="1:20" x14ac:dyDescent="0.25">
      <c r="A133" s="185">
        <v>9257015</v>
      </c>
      <c r="B133" s="780" t="s">
        <v>55</v>
      </c>
      <c r="C133" s="781">
        <v>5</v>
      </c>
      <c r="D133" s="782">
        <f t="shared" si="47"/>
        <v>261</v>
      </c>
      <c r="E133" s="785">
        <v>10</v>
      </c>
      <c r="F133" s="784">
        <f t="shared" si="40"/>
        <v>3.8314176245210725E-2</v>
      </c>
      <c r="G133" s="785">
        <v>52</v>
      </c>
      <c r="H133" s="784">
        <f t="shared" si="41"/>
        <v>0.19923371647509577</v>
      </c>
      <c r="I133" s="785">
        <v>130</v>
      </c>
      <c r="J133" s="784">
        <f t="shared" si="42"/>
        <v>0.49808429118773945</v>
      </c>
      <c r="K133" s="785">
        <v>17</v>
      </c>
      <c r="L133" s="784">
        <f t="shared" si="43"/>
        <v>6.5134099616858232E-2</v>
      </c>
      <c r="M133" s="786">
        <v>11</v>
      </c>
      <c r="N133" s="787">
        <f t="shared" si="44"/>
        <v>4.2145593869731802E-2</v>
      </c>
      <c r="O133" s="785">
        <v>36</v>
      </c>
      <c r="P133" s="784">
        <f t="shared" si="45"/>
        <v>0.13793103448275862</v>
      </c>
      <c r="Q133" s="786">
        <v>5</v>
      </c>
      <c r="R133" s="787">
        <f t="shared" si="46"/>
        <v>1.9157088122605363E-2</v>
      </c>
      <c r="T133" s="807"/>
    </row>
    <row r="134" spans="1:20" x14ac:dyDescent="0.25">
      <c r="A134" s="185">
        <v>9257016</v>
      </c>
      <c r="B134" s="780" t="s">
        <v>80</v>
      </c>
      <c r="C134" s="781">
        <v>6</v>
      </c>
      <c r="D134" s="782">
        <f t="shared" si="47"/>
        <v>147</v>
      </c>
      <c r="E134" s="785">
        <v>24</v>
      </c>
      <c r="F134" s="784">
        <f t="shared" si="40"/>
        <v>0.16326530612244897</v>
      </c>
      <c r="G134" s="785">
        <v>10</v>
      </c>
      <c r="H134" s="784">
        <f t="shared" si="41"/>
        <v>6.8027210884353748E-2</v>
      </c>
      <c r="I134" s="785">
        <v>37</v>
      </c>
      <c r="J134" s="784">
        <f t="shared" si="42"/>
        <v>0.25170068027210885</v>
      </c>
      <c r="K134" s="785">
        <v>37</v>
      </c>
      <c r="L134" s="784">
        <f t="shared" si="43"/>
        <v>0.25170068027210885</v>
      </c>
      <c r="M134" s="786">
        <v>0</v>
      </c>
      <c r="N134" s="787">
        <f t="shared" si="44"/>
        <v>0</v>
      </c>
      <c r="O134" s="785">
        <v>1</v>
      </c>
      <c r="P134" s="784">
        <f t="shared" si="45"/>
        <v>6.8027210884353739E-3</v>
      </c>
      <c r="Q134" s="786">
        <v>38</v>
      </c>
      <c r="R134" s="787">
        <f t="shared" si="46"/>
        <v>0.25850340136054423</v>
      </c>
      <c r="T134" s="807"/>
    </row>
    <row r="136" spans="1:20" x14ac:dyDescent="0.25">
      <c r="B136" s="820" t="s">
        <v>705</v>
      </c>
    </row>
    <row r="137" spans="1:20" x14ac:dyDescent="0.25">
      <c r="F137" s="222"/>
      <c r="H137" s="222"/>
      <c r="J137" s="222"/>
      <c r="L137" s="222"/>
    </row>
    <row r="138" spans="1:20" ht="31.5" x14ac:dyDescent="0.25">
      <c r="B138" s="773" t="s">
        <v>66</v>
      </c>
      <c r="C138" s="774" t="s">
        <v>51</v>
      </c>
      <c r="D138" s="775" t="s">
        <v>688</v>
      </c>
      <c r="E138" s="776" t="s">
        <v>265</v>
      </c>
      <c r="F138" s="777" t="s">
        <v>266</v>
      </c>
      <c r="G138" s="776" t="s">
        <v>267</v>
      </c>
      <c r="H138" s="777" t="s">
        <v>257</v>
      </c>
      <c r="I138" s="776" t="s">
        <v>268</v>
      </c>
      <c r="J138" s="777" t="s">
        <v>269</v>
      </c>
      <c r="K138" s="776" t="s">
        <v>270</v>
      </c>
      <c r="L138" s="777" t="s">
        <v>271</v>
      </c>
      <c r="M138" s="778" t="s">
        <v>272</v>
      </c>
      <c r="N138" s="779" t="s">
        <v>273</v>
      </c>
      <c r="O138" s="776" t="s">
        <v>689</v>
      </c>
      <c r="P138" s="777" t="s">
        <v>690</v>
      </c>
      <c r="Q138" s="778" t="s">
        <v>631</v>
      </c>
      <c r="R138" s="779" t="s">
        <v>691</v>
      </c>
    </row>
    <row r="139" spans="1:20" x14ac:dyDescent="0.25">
      <c r="B139" s="780" t="s">
        <v>67</v>
      </c>
      <c r="C139" s="781">
        <v>3</v>
      </c>
      <c r="D139" s="782">
        <f>D117-E30</f>
        <v>10</v>
      </c>
      <c r="E139" s="822">
        <f t="shared" ref="E139:L139" si="48">E117-F30</f>
        <v>-8</v>
      </c>
      <c r="F139" s="821">
        <f>F117-G30</f>
        <v>-0.21794871794871792</v>
      </c>
      <c r="G139" s="822">
        <f t="shared" si="48"/>
        <v>3</v>
      </c>
      <c r="H139" s="821">
        <f t="shared" si="48"/>
        <v>2.7472527472527375E-3</v>
      </c>
      <c r="I139" s="822">
        <f t="shared" si="48"/>
        <v>-2</v>
      </c>
      <c r="J139" s="821">
        <f t="shared" si="48"/>
        <v>-6.1355311355311346E-2</v>
      </c>
      <c r="K139" s="822">
        <f t="shared" si="48"/>
        <v>2</v>
      </c>
      <c r="L139" s="821">
        <f t="shared" si="48"/>
        <v>3.8461538461538464E-2</v>
      </c>
      <c r="M139" s="822">
        <f>M117-P30</f>
        <v>2</v>
      </c>
      <c r="N139" s="821">
        <f>N117-Q30</f>
        <v>2.4725274725274735E-2</v>
      </c>
      <c r="O139" s="822">
        <f>O117</f>
        <v>13</v>
      </c>
      <c r="P139" s="821">
        <f>P117</f>
        <v>0.25</v>
      </c>
      <c r="Q139" s="822">
        <f>Q117-N30</f>
        <v>0</v>
      </c>
      <c r="R139" s="821">
        <f>R117-O30</f>
        <v>-3.6630036630036611E-2</v>
      </c>
    </row>
    <row r="140" spans="1:20" x14ac:dyDescent="0.25">
      <c r="B140" s="780" t="s">
        <v>68</v>
      </c>
      <c r="C140" s="781">
        <v>3</v>
      </c>
      <c r="D140" s="782">
        <f t="shared" ref="D140:F156" si="49">D118-E31</f>
        <v>-1</v>
      </c>
      <c r="E140" s="822">
        <f t="shared" si="49"/>
        <v>0</v>
      </c>
      <c r="F140" s="821">
        <f t="shared" si="49"/>
        <v>1.7543859649122862E-3</v>
      </c>
      <c r="G140" s="822">
        <f t="shared" ref="G140:L149" si="50">G118-H31</f>
        <v>-10</v>
      </c>
      <c r="H140" s="821">
        <f t="shared" si="50"/>
        <v>-0.12859649122807018</v>
      </c>
      <c r="I140" s="822">
        <f t="shared" si="50"/>
        <v>-6</v>
      </c>
      <c r="J140" s="821">
        <f t="shared" si="50"/>
        <v>-7.7719298245614035E-2</v>
      </c>
      <c r="K140" s="822">
        <f t="shared" si="50"/>
        <v>3</v>
      </c>
      <c r="L140" s="821">
        <f t="shared" si="50"/>
        <v>4.0701754385964919E-2</v>
      </c>
      <c r="M140" s="822">
        <f t="shared" ref="M140:M156" si="51">M118-P31</f>
        <v>-3</v>
      </c>
      <c r="N140" s="821">
        <f t="shared" ref="N140:N156" si="52">N118-Q31</f>
        <v>-3.7368421052631579E-2</v>
      </c>
      <c r="O140" s="822">
        <f t="shared" ref="O140:P156" si="53">O118</f>
        <v>15</v>
      </c>
      <c r="P140" s="821">
        <f t="shared" si="53"/>
        <v>0.2</v>
      </c>
      <c r="Q140" s="822">
        <f t="shared" ref="Q140:Q156" si="54">Q118-N31</f>
        <v>0</v>
      </c>
      <c r="R140" s="821">
        <f t="shared" ref="R140:R156" si="55">R118-O31</f>
        <v>1.2280701754386059E-3</v>
      </c>
    </row>
    <row r="141" spans="1:20" x14ac:dyDescent="0.25">
      <c r="B141" s="780" t="s">
        <v>69</v>
      </c>
      <c r="C141" s="781">
        <v>3</v>
      </c>
      <c r="D141" s="782">
        <f t="shared" si="49"/>
        <v>14</v>
      </c>
      <c r="E141" s="822">
        <f t="shared" si="49"/>
        <v>-8</v>
      </c>
      <c r="F141" s="821">
        <f t="shared" si="49"/>
        <v>-0.1627710504083357</v>
      </c>
      <c r="G141" s="822">
        <f t="shared" si="50"/>
        <v>-4</v>
      </c>
      <c r="H141" s="821">
        <f t="shared" si="50"/>
        <v>-0.14643762320473108</v>
      </c>
      <c r="I141" s="822">
        <f t="shared" si="50"/>
        <v>9</v>
      </c>
      <c r="J141" s="821">
        <f t="shared" si="50"/>
        <v>0.12250070402703463</v>
      </c>
      <c r="K141" s="822">
        <f t="shared" si="50"/>
        <v>10</v>
      </c>
      <c r="L141" s="821">
        <f t="shared" si="50"/>
        <v>0.14925373134328357</v>
      </c>
      <c r="M141" s="822">
        <f t="shared" si="51"/>
        <v>-1</v>
      </c>
      <c r="N141" s="821">
        <f t="shared" si="52"/>
        <v>-5.8293438468037195E-2</v>
      </c>
      <c r="O141" s="822">
        <f t="shared" si="53"/>
        <v>8</v>
      </c>
      <c r="P141" s="821">
        <f t="shared" si="53"/>
        <v>0.11940298507462686</v>
      </c>
      <c r="Q141" s="822">
        <f t="shared" si="54"/>
        <v>0</v>
      </c>
      <c r="R141" s="821">
        <f t="shared" si="55"/>
        <v>-2.3655308363841179E-2</v>
      </c>
    </row>
    <row r="142" spans="1:20" x14ac:dyDescent="0.25">
      <c r="B142" s="780" t="s">
        <v>70</v>
      </c>
      <c r="C142" s="781">
        <v>3</v>
      </c>
      <c r="D142" s="782">
        <f t="shared" si="49"/>
        <v>9</v>
      </c>
      <c r="E142" s="822">
        <f t="shared" si="49"/>
        <v>-6</v>
      </c>
      <c r="F142" s="821">
        <f t="shared" si="49"/>
        <v>-0.15925925925925924</v>
      </c>
      <c r="G142" s="822">
        <f t="shared" si="50"/>
        <v>-2</v>
      </c>
      <c r="H142" s="821">
        <f t="shared" si="50"/>
        <v>-0.1074074074074074</v>
      </c>
      <c r="I142" s="822">
        <f t="shared" si="50"/>
        <v>6</v>
      </c>
      <c r="J142" s="821">
        <f t="shared" si="50"/>
        <v>0.1111111111111111</v>
      </c>
      <c r="K142" s="822">
        <f t="shared" si="50"/>
        <v>8</v>
      </c>
      <c r="L142" s="821">
        <f t="shared" si="50"/>
        <v>0.14814814814814814</v>
      </c>
      <c r="M142" s="822">
        <f t="shared" si="51"/>
        <v>-4</v>
      </c>
      <c r="N142" s="821">
        <f t="shared" si="52"/>
        <v>-0.1</v>
      </c>
      <c r="O142" s="822">
        <f t="shared" si="53"/>
        <v>7</v>
      </c>
      <c r="P142" s="821">
        <f t="shared" si="53"/>
        <v>0.12962962962962962</v>
      </c>
      <c r="Q142" s="822">
        <f t="shared" si="54"/>
        <v>0</v>
      </c>
      <c r="R142" s="821">
        <f t="shared" si="55"/>
        <v>-2.2222222222222227E-2</v>
      </c>
    </row>
    <row r="143" spans="1:20" x14ac:dyDescent="0.25">
      <c r="B143" s="780" t="s">
        <v>71</v>
      </c>
      <c r="C143" s="781">
        <v>3</v>
      </c>
      <c r="D143" s="782">
        <f t="shared" si="49"/>
        <v>14</v>
      </c>
      <c r="E143" s="822">
        <f t="shared" si="49"/>
        <v>-5</v>
      </c>
      <c r="F143" s="821">
        <f t="shared" si="49"/>
        <v>-0.11304347826086958</v>
      </c>
      <c r="G143" s="822">
        <f t="shared" si="50"/>
        <v>-7</v>
      </c>
      <c r="H143" s="821">
        <f t="shared" si="50"/>
        <v>-0.21581027667984187</v>
      </c>
      <c r="I143" s="822">
        <f t="shared" si="50"/>
        <v>7</v>
      </c>
      <c r="J143" s="821">
        <f t="shared" si="50"/>
        <v>9.7760210803689074E-2</v>
      </c>
      <c r="K143" s="822">
        <f t="shared" si="50"/>
        <v>11</v>
      </c>
      <c r="L143" s="821">
        <f t="shared" si="50"/>
        <v>0.15942028985507245</v>
      </c>
      <c r="M143" s="822">
        <f t="shared" si="51"/>
        <v>1</v>
      </c>
      <c r="N143" s="821">
        <f t="shared" si="52"/>
        <v>3.4255599472990811E-3</v>
      </c>
      <c r="O143" s="822">
        <f t="shared" si="53"/>
        <v>7</v>
      </c>
      <c r="P143" s="821">
        <f t="shared" si="53"/>
        <v>0.10144927536231885</v>
      </c>
      <c r="Q143" s="822">
        <f t="shared" si="54"/>
        <v>0</v>
      </c>
      <c r="R143" s="821">
        <f t="shared" si="55"/>
        <v>-3.3201581027667987E-2</v>
      </c>
    </row>
    <row r="144" spans="1:20" x14ac:dyDescent="0.25">
      <c r="B144" s="780" t="s">
        <v>98</v>
      </c>
      <c r="C144" s="781">
        <v>3</v>
      </c>
      <c r="D144" s="782">
        <f t="shared" si="49"/>
        <v>-61</v>
      </c>
      <c r="E144" s="822">
        <f t="shared" si="49"/>
        <v>0</v>
      </c>
      <c r="F144" s="821">
        <f t="shared" si="49"/>
        <v>0</v>
      </c>
      <c r="G144" s="822">
        <f t="shared" si="50"/>
        <v>0</v>
      </c>
      <c r="H144" s="821">
        <f t="shared" si="50"/>
        <v>0</v>
      </c>
      <c r="I144" s="822">
        <f t="shared" si="50"/>
        <v>0</v>
      </c>
      <c r="J144" s="821">
        <f t="shared" si="50"/>
        <v>0</v>
      </c>
      <c r="K144" s="822">
        <f t="shared" si="50"/>
        <v>0</v>
      </c>
      <c r="L144" s="821">
        <f t="shared" si="50"/>
        <v>0</v>
      </c>
      <c r="M144" s="822">
        <f t="shared" si="51"/>
        <v>-61</v>
      </c>
      <c r="N144" s="821">
        <f t="shared" si="52"/>
        <v>0</v>
      </c>
      <c r="O144" s="822">
        <f t="shared" si="53"/>
        <v>0</v>
      </c>
      <c r="P144" s="821">
        <f t="shared" si="53"/>
        <v>0</v>
      </c>
      <c r="Q144" s="822">
        <f t="shared" si="54"/>
        <v>0</v>
      </c>
      <c r="R144" s="821">
        <f t="shared" si="55"/>
        <v>0</v>
      </c>
    </row>
    <row r="145" spans="2:23" x14ac:dyDescent="0.25">
      <c r="B145" s="780" t="s">
        <v>72</v>
      </c>
      <c r="C145" s="781">
        <v>3</v>
      </c>
      <c r="D145" s="782">
        <f t="shared" si="49"/>
        <v>31</v>
      </c>
      <c r="E145" s="822">
        <f t="shared" si="49"/>
        <v>4</v>
      </c>
      <c r="F145" s="821">
        <f t="shared" si="49"/>
        <v>3.3403805496828753E-2</v>
      </c>
      <c r="G145" s="822">
        <f t="shared" si="50"/>
        <v>1</v>
      </c>
      <c r="H145" s="821">
        <f t="shared" si="50"/>
        <v>-9.3234672304439742E-2</v>
      </c>
      <c r="I145" s="822">
        <f t="shared" si="50"/>
        <v>12</v>
      </c>
      <c r="J145" s="821">
        <f t="shared" si="50"/>
        <v>4.1226215644820319E-2</v>
      </c>
      <c r="K145" s="822">
        <f t="shared" si="50"/>
        <v>6</v>
      </c>
      <c r="L145" s="821">
        <f t="shared" si="50"/>
        <v>5.0105708245243137E-2</v>
      </c>
      <c r="M145" s="822">
        <f t="shared" si="51"/>
        <v>0</v>
      </c>
      <c r="N145" s="821">
        <f t="shared" si="52"/>
        <v>-0.12452431289640592</v>
      </c>
      <c r="O145" s="822">
        <f t="shared" si="53"/>
        <v>8</v>
      </c>
      <c r="P145" s="821">
        <f t="shared" si="53"/>
        <v>9.3023255813953487E-2</v>
      </c>
      <c r="Q145" s="822">
        <f t="shared" si="54"/>
        <v>0</v>
      </c>
      <c r="R145" s="821">
        <f t="shared" si="55"/>
        <v>0</v>
      </c>
    </row>
    <row r="146" spans="2:23" x14ac:dyDescent="0.25">
      <c r="B146" s="780" t="s">
        <v>73</v>
      </c>
      <c r="C146" s="781">
        <v>3</v>
      </c>
      <c r="D146" s="782">
        <f t="shared" si="49"/>
        <v>6</v>
      </c>
      <c r="E146" s="822">
        <f t="shared" si="49"/>
        <v>2</v>
      </c>
      <c r="F146" s="821">
        <f t="shared" si="49"/>
        <v>2.197802197802198E-2</v>
      </c>
      <c r="G146" s="822">
        <f t="shared" si="50"/>
        <v>49</v>
      </c>
      <c r="H146" s="821">
        <f t="shared" si="50"/>
        <v>0.53303167420814479</v>
      </c>
      <c r="I146" s="822">
        <f t="shared" si="50"/>
        <v>-48</v>
      </c>
      <c r="J146" s="821">
        <f t="shared" si="50"/>
        <v>-0.56780866192630908</v>
      </c>
      <c r="K146" s="822">
        <f t="shared" si="50"/>
        <v>0</v>
      </c>
      <c r="L146" s="821">
        <f t="shared" si="50"/>
        <v>-1.5513897866839023E-3</v>
      </c>
      <c r="M146" s="822">
        <f t="shared" si="51"/>
        <v>-10</v>
      </c>
      <c r="N146" s="821">
        <f t="shared" si="52"/>
        <v>-0.12850678733031673</v>
      </c>
      <c r="O146" s="822">
        <f t="shared" si="53"/>
        <v>13</v>
      </c>
      <c r="P146" s="821">
        <f t="shared" si="53"/>
        <v>0.14285714285714285</v>
      </c>
      <c r="Q146" s="822">
        <f t="shared" si="54"/>
        <v>0</v>
      </c>
      <c r="R146" s="821">
        <f t="shared" si="55"/>
        <v>0</v>
      </c>
    </row>
    <row r="147" spans="2:23" x14ac:dyDescent="0.25">
      <c r="B147" s="780" t="s">
        <v>74</v>
      </c>
      <c r="C147" s="781">
        <v>4</v>
      </c>
      <c r="D147" s="782">
        <f t="shared" si="49"/>
        <v>-13</v>
      </c>
      <c r="E147" s="822">
        <f t="shared" si="49"/>
        <v>-4</v>
      </c>
      <c r="F147" s="821">
        <f t="shared" si="49"/>
        <v>-2.7006492609476448E-2</v>
      </c>
      <c r="G147" s="822">
        <f t="shared" si="50"/>
        <v>-2</v>
      </c>
      <c r="H147" s="821">
        <f t="shared" si="50"/>
        <v>1.3123359580052285E-3</v>
      </c>
      <c r="I147" s="822">
        <f t="shared" si="50"/>
        <v>-18</v>
      </c>
      <c r="J147" s="821">
        <f t="shared" si="50"/>
        <v>-9.863240779113136E-2</v>
      </c>
      <c r="K147" s="822">
        <f t="shared" si="50"/>
        <v>2</v>
      </c>
      <c r="L147" s="821">
        <f t="shared" si="50"/>
        <v>1.933968780218262E-2</v>
      </c>
      <c r="M147" s="822">
        <f t="shared" si="51"/>
        <v>4</v>
      </c>
      <c r="N147" s="821">
        <f t="shared" si="52"/>
        <v>5.8433485288023196E-2</v>
      </c>
      <c r="O147" s="822">
        <f t="shared" si="53"/>
        <v>5</v>
      </c>
      <c r="P147" s="821">
        <f t="shared" si="53"/>
        <v>4.3859649122807015E-2</v>
      </c>
      <c r="Q147" s="822">
        <f t="shared" si="54"/>
        <v>0</v>
      </c>
      <c r="R147" s="821">
        <f t="shared" si="55"/>
        <v>2.6937422295897212E-3</v>
      </c>
    </row>
    <row r="148" spans="2:23" x14ac:dyDescent="0.25">
      <c r="B148" s="780" t="s">
        <v>75</v>
      </c>
      <c r="C148" s="781">
        <v>4</v>
      </c>
      <c r="D148" s="782">
        <f t="shared" si="49"/>
        <v>20</v>
      </c>
      <c r="E148" s="822">
        <f t="shared" si="49"/>
        <v>0</v>
      </c>
      <c r="F148" s="821">
        <f t="shared" si="49"/>
        <v>-1.2091167402212676E-3</v>
      </c>
      <c r="G148" s="822">
        <f t="shared" si="50"/>
        <v>-15</v>
      </c>
      <c r="H148" s="821">
        <f t="shared" si="50"/>
        <v>-0.14781452149205007</v>
      </c>
      <c r="I148" s="822">
        <f t="shared" si="50"/>
        <v>3</v>
      </c>
      <c r="J148" s="821">
        <f t="shared" si="50"/>
        <v>-6.4264554742760382E-2</v>
      </c>
      <c r="K148" s="822">
        <f t="shared" si="50"/>
        <v>7</v>
      </c>
      <c r="L148" s="821">
        <f t="shared" si="50"/>
        <v>4.7941478749773295E-2</v>
      </c>
      <c r="M148" s="822">
        <f t="shared" si="51"/>
        <v>15</v>
      </c>
      <c r="N148" s="821">
        <f t="shared" si="52"/>
        <v>9.4613384922314248E-2</v>
      </c>
      <c r="O148" s="822">
        <f t="shared" si="53"/>
        <v>10</v>
      </c>
      <c r="P148" s="821">
        <f t="shared" si="53"/>
        <v>7.1942446043165464E-2</v>
      </c>
      <c r="Q148" s="822">
        <f t="shared" si="54"/>
        <v>0</v>
      </c>
      <c r="R148" s="821">
        <f t="shared" si="55"/>
        <v>-1.2091167402212676E-3</v>
      </c>
    </row>
    <row r="149" spans="2:23" x14ac:dyDescent="0.25">
      <c r="B149" s="780" t="s">
        <v>76</v>
      </c>
      <c r="C149" s="781">
        <v>4</v>
      </c>
      <c r="D149" s="782">
        <f t="shared" si="49"/>
        <v>-2</v>
      </c>
      <c r="E149" s="822">
        <f t="shared" si="49"/>
        <v>0</v>
      </c>
      <c r="F149" s="821">
        <f t="shared" si="49"/>
        <v>0</v>
      </c>
      <c r="G149" s="822">
        <f t="shared" si="50"/>
        <v>41</v>
      </c>
      <c r="H149" s="821">
        <f t="shared" si="50"/>
        <v>0.32259615384615381</v>
      </c>
      <c r="I149" s="822">
        <f t="shared" si="50"/>
        <v>-72</v>
      </c>
      <c r="J149" s="821">
        <f t="shared" si="50"/>
        <v>-0.55156249999999996</v>
      </c>
      <c r="K149" s="822">
        <f t="shared" si="50"/>
        <v>2</v>
      </c>
      <c r="L149" s="821">
        <f t="shared" si="50"/>
        <v>1.5865384615384615E-2</v>
      </c>
      <c r="M149" s="822">
        <f t="shared" si="51"/>
        <v>-2</v>
      </c>
      <c r="N149" s="821">
        <f t="shared" si="52"/>
        <v>-1.3461538461538469E-2</v>
      </c>
      <c r="O149" s="822">
        <f t="shared" si="53"/>
        <v>29</v>
      </c>
      <c r="P149" s="821">
        <f t="shared" si="53"/>
        <v>0.2265625</v>
      </c>
      <c r="Q149" s="822">
        <f t="shared" si="54"/>
        <v>0</v>
      </c>
      <c r="R149" s="821">
        <f t="shared" si="55"/>
        <v>0</v>
      </c>
    </row>
    <row r="150" spans="2:23" x14ac:dyDescent="0.25">
      <c r="B150" s="780" t="s">
        <v>99</v>
      </c>
      <c r="C150" s="781">
        <v>4</v>
      </c>
      <c r="D150" s="782">
        <f t="shared" si="49"/>
        <v>-57</v>
      </c>
      <c r="E150" s="822">
        <f t="shared" si="49"/>
        <v>0</v>
      </c>
      <c r="F150" s="821">
        <f t="shared" si="49"/>
        <v>0</v>
      </c>
      <c r="G150" s="822">
        <f t="shared" ref="G150:L156" si="56">G128-H41</f>
        <v>0</v>
      </c>
      <c r="H150" s="821">
        <f t="shared" si="56"/>
        <v>0</v>
      </c>
      <c r="I150" s="822">
        <f t="shared" si="56"/>
        <v>0</v>
      </c>
      <c r="J150" s="821">
        <f t="shared" si="56"/>
        <v>0</v>
      </c>
      <c r="K150" s="822">
        <f t="shared" si="56"/>
        <v>0</v>
      </c>
      <c r="L150" s="821">
        <f t="shared" si="56"/>
        <v>0</v>
      </c>
      <c r="M150" s="822">
        <f t="shared" si="51"/>
        <v>-57</v>
      </c>
      <c r="N150" s="821">
        <f t="shared" si="52"/>
        <v>0</v>
      </c>
      <c r="O150" s="822">
        <f t="shared" si="53"/>
        <v>0</v>
      </c>
      <c r="P150" s="821">
        <f t="shared" si="53"/>
        <v>0</v>
      </c>
      <c r="Q150" s="822">
        <f t="shared" si="54"/>
        <v>0</v>
      </c>
      <c r="R150" s="821">
        <f t="shared" si="55"/>
        <v>0</v>
      </c>
    </row>
    <row r="151" spans="2:23" x14ac:dyDescent="0.25">
      <c r="B151" s="780" t="s">
        <v>100</v>
      </c>
      <c r="C151" s="781">
        <v>4</v>
      </c>
      <c r="D151" s="782">
        <f t="shared" si="49"/>
        <v>-57</v>
      </c>
      <c r="E151" s="822">
        <f t="shared" si="49"/>
        <v>0</v>
      </c>
      <c r="F151" s="821">
        <f t="shared" si="49"/>
        <v>0</v>
      </c>
      <c r="G151" s="822">
        <f t="shared" si="56"/>
        <v>0</v>
      </c>
      <c r="H151" s="821">
        <f t="shared" si="56"/>
        <v>0</v>
      </c>
      <c r="I151" s="822">
        <f t="shared" si="56"/>
        <v>0</v>
      </c>
      <c r="J151" s="821">
        <f t="shared" si="56"/>
        <v>0</v>
      </c>
      <c r="K151" s="822">
        <f t="shared" si="56"/>
        <v>0</v>
      </c>
      <c r="L151" s="821">
        <f t="shared" si="56"/>
        <v>0</v>
      </c>
      <c r="M151" s="822">
        <f t="shared" si="51"/>
        <v>-57</v>
      </c>
      <c r="N151" s="821">
        <f t="shared" si="52"/>
        <v>0</v>
      </c>
      <c r="O151" s="822">
        <f t="shared" si="53"/>
        <v>0</v>
      </c>
      <c r="P151" s="821">
        <f t="shared" si="53"/>
        <v>0</v>
      </c>
      <c r="Q151" s="822">
        <f t="shared" si="54"/>
        <v>0</v>
      </c>
      <c r="R151" s="821">
        <f t="shared" si="55"/>
        <v>0</v>
      </c>
    </row>
    <row r="152" spans="2:23" x14ac:dyDescent="0.25">
      <c r="B152" s="780" t="s">
        <v>92</v>
      </c>
      <c r="C152" s="781">
        <v>4</v>
      </c>
      <c r="D152" s="782">
        <f t="shared" si="49"/>
        <v>-49</v>
      </c>
      <c r="E152" s="822">
        <f t="shared" si="49"/>
        <v>0</v>
      </c>
      <c r="F152" s="821">
        <f t="shared" si="49"/>
        <v>0</v>
      </c>
      <c r="G152" s="822">
        <f t="shared" si="56"/>
        <v>0</v>
      </c>
      <c r="H152" s="821">
        <f t="shared" si="56"/>
        <v>0</v>
      </c>
      <c r="I152" s="822">
        <f t="shared" si="56"/>
        <v>0</v>
      </c>
      <c r="J152" s="821">
        <f t="shared" si="56"/>
        <v>0</v>
      </c>
      <c r="K152" s="822">
        <f t="shared" si="56"/>
        <v>0</v>
      </c>
      <c r="L152" s="821">
        <f t="shared" si="56"/>
        <v>0</v>
      </c>
      <c r="M152" s="822">
        <f t="shared" si="51"/>
        <v>-49</v>
      </c>
      <c r="N152" s="821">
        <f t="shared" si="52"/>
        <v>0</v>
      </c>
      <c r="O152" s="822">
        <f t="shared" si="53"/>
        <v>0</v>
      </c>
      <c r="P152" s="821">
        <f t="shared" si="53"/>
        <v>0</v>
      </c>
      <c r="Q152" s="822">
        <f t="shared" si="54"/>
        <v>0</v>
      </c>
      <c r="R152" s="821">
        <f t="shared" si="55"/>
        <v>0</v>
      </c>
    </row>
    <row r="153" spans="2:23" x14ac:dyDescent="0.25">
      <c r="B153" s="780" t="s">
        <v>77</v>
      </c>
      <c r="C153" s="781">
        <v>4</v>
      </c>
      <c r="D153" s="782">
        <f t="shared" si="49"/>
        <v>8</v>
      </c>
      <c r="E153" s="822">
        <f t="shared" si="49"/>
        <v>-7</v>
      </c>
      <c r="F153" s="821">
        <f t="shared" si="49"/>
        <v>-0.11000178284899269</v>
      </c>
      <c r="G153" s="822">
        <f t="shared" si="56"/>
        <v>-1</v>
      </c>
      <c r="H153" s="821">
        <f t="shared" si="56"/>
        <v>-4.688892850775539E-2</v>
      </c>
      <c r="I153" s="822">
        <f t="shared" si="56"/>
        <v>5</v>
      </c>
      <c r="J153" s="821">
        <f t="shared" si="56"/>
        <v>6.3291139240506333E-2</v>
      </c>
      <c r="K153" s="822">
        <f t="shared" si="56"/>
        <v>15</v>
      </c>
      <c r="L153" s="821">
        <f t="shared" si="56"/>
        <v>0.189873417721519</v>
      </c>
      <c r="M153" s="822">
        <f t="shared" si="51"/>
        <v>-14</v>
      </c>
      <c r="N153" s="821">
        <f t="shared" si="52"/>
        <v>-0.20146193617400604</v>
      </c>
      <c r="O153" s="822">
        <f t="shared" si="53"/>
        <v>10</v>
      </c>
      <c r="P153" s="821">
        <f t="shared" si="53"/>
        <v>0.12658227848101267</v>
      </c>
      <c r="Q153" s="822">
        <f t="shared" si="54"/>
        <v>0</v>
      </c>
      <c r="R153" s="821">
        <f t="shared" si="55"/>
        <v>-2.1394187912283813E-2</v>
      </c>
    </row>
    <row r="154" spans="2:23" x14ac:dyDescent="0.25">
      <c r="B154" s="780" t="s">
        <v>78</v>
      </c>
      <c r="C154" s="781">
        <v>5</v>
      </c>
      <c r="D154" s="782">
        <f t="shared" si="49"/>
        <v>13</v>
      </c>
      <c r="E154" s="822">
        <f t="shared" si="49"/>
        <v>6</v>
      </c>
      <c r="F154" s="821">
        <f t="shared" si="49"/>
        <v>3.870967741935484E-2</v>
      </c>
      <c r="G154" s="822">
        <f t="shared" si="56"/>
        <v>32</v>
      </c>
      <c r="H154" s="821">
        <f t="shared" si="56"/>
        <v>0.19818264425261245</v>
      </c>
      <c r="I154" s="822">
        <f t="shared" si="56"/>
        <v>-56</v>
      </c>
      <c r="J154" s="821">
        <f t="shared" si="56"/>
        <v>-0.42153566560654254</v>
      </c>
      <c r="K154" s="822">
        <f t="shared" si="56"/>
        <v>10</v>
      </c>
      <c r="L154" s="821">
        <f t="shared" si="56"/>
        <v>6.2153566560654239E-2</v>
      </c>
      <c r="M154" s="822">
        <f t="shared" si="51"/>
        <v>-1</v>
      </c>
      <c r="N154" s="821">
        <f t="shared" si="52"/>
        <v>-1.8264425261244902E-2</v>
      </c>
      <c r="O154" s="822">
        <f t="shared" si="53"/>
        <v>22</v>
      </c>
      <c r="P154" s="821">
        <f t="shared" si="53"/>
        <v>0.14193548387096774</v>
      </c>
      <c r="Q154" s="822">
        <f t="shared" si="54"/>
        <v>0</v>
      </c>
      <c r="R154" s="821">
        <f t="shared" si="55"/>
        <v>-1.1812812358019086E-3</v>
      </c>
    </row>
    <row r="155" spans="2:23" x14ac:dyDescent="0.25">
      <c r="B155" s="780" t="s">
        <v>55</v>
      </c>
      <c r="C155" s="781">
        <v>5</v>
      </c>
      <c r="D155" s="782">
        <f t="shared" si="49"/>
        <v>13</v>
      </c>
      <c r="E155" s="822">
        <f t="shared" si="49"/>
        <v>0</v>
      </c>
      <c r="F155" s="821">
        <f t="shared" si="49"/>
        <v>-2.0084043999505641E-3</v>
      </c>
      <c r="G155" s="822">
        <f t="shared" si="56"/>
        <v>-3</v>
      </c>
      <c r="H155" s="821">
        <f t="shared" si="56"/>
        <v>-2.2540477073291321E-2</v>
      </c>
      <c r="I155" s="822">
        <f t="shared" si="56"/>
        <v>-32</v>
      </c>
      <c r="J155" s="821">
        <f t="shared" si="56"/>
        <v>-0.15514151526387343</v>
      </c>
      <c r="K155" s="822">
        <f t="shared" si="56"/>
        <v>17</v>
      </c>
      <c r="L155" s="821">
        <f t="shared" si="56"/>
        <v>6.5134099616858232E-2</v>
      </c>
      <c r="M155" s="822">
        <f t="shared" si="51"/>
        <v>-5</v>
      </c>
      <c r="N155" s="821">
        <f t="shared" si="52"/>
        <v>-2.237053516252626E-2</v>
      </c>
      <c r="O155" s="822">
        <f t="shared" si="53"/>
        <v>36</v>
      </c>
      <c r="P155" s="821">
        <f t="shared" si="53"/>
        <v>0.13793103448275862</v>
      </c>
      <c r="Q155" s="822">
        <f t="shared" si="54"/>
        <v>0</v>
      </c>
      <c r="R155" s="821">
        <f t="shared" si="55"/>
        <v>-1.004202199975282E-3</v>
      </c>
    </row>
    <row r="156" spans="2:23" x14ac:dyDescent="0.25">
      <c r="B156" s="780" t="s">
        <v>80</v>
      </c>
      <c r="C156" s="781">
        <v>6</v>
      </c>
      <c r="D156" s="782">
        <f t="shared" si="49"/>
        <v>12</v>
      </c>
      <c r="E156" s="822">
        <f t="shared" si="49"/>
        <v>-34</v>
      </c>
      <c r="F156" s="821">
        <f t="shared" si="49"/>
        <v>-0.26636432350718064</v>
      </c>
      <c r="G156" s="822">
        <f t="shared" si="56"/>
        <v>10</v>
      </c>
      <c r="H156" s="821">
        <f t="shared" si="56"/>
        <v>6.8027210884353748E-2</v>
      </c>
      <c r="I156" s="822">
        <f t="shared" si="56"/>
        <v>-2</v>
      </c>
      <c r="J156" s="821">
        <f t="shared" si="56"/>
        <v>-3.7188208616780016E-2</v>
      </c>
      <c r="K156" s="822">
        <f t="shared" si="56"/>
        <v>37</v>
      </c>
      <c r="L156" s="821">
        <f t="shared" si="56"/>
        <v>0.25170068027210885</v>
      </c>
      <c r="M156" s="822">
        <f t="shared" si="51"/>
        <v>0</v>
      </c>
      <c r="N156" s="821">
        <f t="shared" si="52"/>
        <v>0</v>
      </c>
      <c r="O156" s="822">
        <f t="shared" si="53"/>
        <v>1</v>
      </c>
      <c r="P156" s="821">
        <f t="shared" si="53"/>
        <v>6.8027210884353739E-3</v>
      </c>
      <c r="Q156" s="822">
        <f t="shared" si="54"/>
        <v>0</v>
      </c>
      <c r="R156" s="821">
        <f t="shared" si="55"/>
        <v>-2.2978080120937272E-2</v>
      </c>
    </row>
    <row r="157" spans="2:23" x14ac:dyDescent="0.25">
      <c r="B157" s="505"/>
      <c r="C157" s="505"/>
      <c r="D157" s="505"/>
      <c r="E157" s="267"/>
    </row>
    <row r="158" spans="2:23" x14ac:dyDescent="0.25">
      <c r="B158" s="505"/>
      <c r="C158" s="824">
        <v>1</v>
      </c>
      <c r="D158" s="505">
        <v>2</v>
      </c>
      <c r="E158" s="267">
        <v>3</v>
      </c>
      <c r="F158" s="46">
        <v>4</v>
      </c>
      <c r="G158" s="46">
        <v>5</v>
      </c>
      <c r="I158" s="46">
        <v>1</v>
      </c>
      <c r="J158" s="46">
        <v>2</v>
      </c>
      <c r="K158" s="46">
        <v>3</v>
      </c>
      <c r="L158" s="46">
        <v>4</v>
      </c>
      <c r="M158" s="46">
        <v>5</v>
      </c>
      <c r="N158" s="672" t="s">
        <v>706</v>
      </c>
      <c r="O158" s="672" t="s">
        <v>707</v>
      </c>
      <c r="Q158" s="46">
        <v>1</v>
      </c>
      <c r="R158" s="46">
        <v>2</v>
      </c>
      <c r="S158" s="46">
        <v>3</v>
      </c>
      <c r="T158" s="46">
        <v>4</v>
      </c>
      <c r="U158" s="46">
        <v>5</v>
      </c>
      <c r="V158" s="672" t="s">
        <v>706</v>
      </c>
      <c r="W158" s="672" t="s">
        <v>707</v>
      </c>
    </row>
    <row r="159" spans="2:23" x14ac:dyDescent="0.25">
      <c r="B159" s="545" t="s">
        <v>67</v>
      </c>
      <c r="C159" s="583">
        <v>0.40476190476190477</v>
      </c>
      <c r="D159" s="583">
        <v>0.2857142857142857</v>
      </c>
      <c r="E159" s="583">
        <v>0.11904761904761904</v>
      </c>
      <c r="F159" s="583">
        <v>0.11904761904761904</v>
      </c>
      <c r="G159" s="583">
        <v>7.1428571428571425E-2</v>
      </c>
      <c r="H159" s="583"/>
      <c r="I159" s="825">
        <f>F117</f>
        <v>0.11538461538461539</v>
      </c>
      <c r="J159" s="826">
        <f>H117</f>
        <v>0.28846153846153844</v>
      </c>
      <c r="K159" s="826">
        <f>J117</f>
        <v>5.7692307692307696E-2</v>
      </c>
      <c r="L159" s="826">
        <f>L117</f>
        <v>3.8461538461538464E-2</v>
      </c>
      <c r="M159" s="826">
        <f>N117</f>
        <v>9.6153846153846159E-2</v>
      </c>
      <c r="N159" s="826">
        <f>P117</f>
        <v>0.25</v>
      </c>
      <c r="O159" s="826">
        <f>R117</f>
        <v>0.15384615384615385</v>
      </c>
      <c r="Q159" s="753">
        <f>I159-C159</f>
        <v>-0.28937728937728935</v>
      </c>
      <c r="R159" s="753">
        <f>J159-D159</f>
        <v>2.7472527472527375E-3</v>
      </c>
      <c r="S159" s="753">
        <f>K159-E159</f>
        <v>-6.1355311355311346E-2</v>
      </c>
      <c r="T159" s="753">
        <f>L159-F159</f>
        <v>-8.0586080586080577E-2</v>
      </c>
      <c r="U159" s="753">
        <f>M159-G159</f>
        <v>2.4725274725274735E-2</v>
      </c>
      <c r="V159" s="753">
        <f>N159-0</f>
        <v>0.25</v>
      </c>
      <c r="W159" s="753">
        <f>O159-0</f>
        <v>0.15384615384615385</v>
      </c>
    </row>
    <row r="160" spans="2:23" x14ac:dyDescent="0.25">
      <c r="B160" s="545" t="s">
        <v>68</v>
      </c>
      <c r="C160" s="583">
        <v>0.13157894736842105</v>
      </c>
      <c r="D160" s="583">
        <v>0.35526315789473684</v>
      </c>
      <c r="E160" s="583">
        <v>0.17105263157894737</v>
      </c>
      <c r="F160" s="583">
        <v>0.14473684210526316</v>
      </c>
      <c r="G160" s="583">
        <v>0.19736842105263158</v>
      </c>
      <c r="H160" s="583"/>
      <c r="I160" s="825">
        <f t="shared" ref="I160:I176" si="57">F118</f>
        <v>0.13333333333333333</v>
      </c>
      <c r="J160" s="826">
        <f t="shared" ref="J160:J176" si="58">H118</f>
        <v>0.22666666666666666</v>
      </c>
      <c r="K160" s="826">
        <f t="shared" ref="K160:K176" si="59">J118</f>
        <v>9.3333333333333338E-2</v>
      </c>
      <c r="L160" s="826">
        <f t="shared" ref="L160:L176" si="60">L118</f>
        <v>9.3333333333333338E-2</v>
      </c>
      <c r="M160" s="826">
        <f t="shared" ref="M160:M176" si="61">N118</f>
        <v>0.16</v>
      </c>
      <c r="N160" s="826">
        <f t="shared" ref="N160:N176" si="62">P118</f>
        <v>0.2</v>
      </c>
      <c r="O160" s="826">
        <f t="shared" ref="O160:O176" si="63">R118</f>
        <v>9.3333333333333338E-2</v>
      </c>
      <c r="Q160" s="753">
        <f t="shared" ref="Q160:Q176" si="64">I160-C160</f>
        <v>1.7543859649122862E-3</v>
      </c>
      <c r="R160" s="753">
        <f t="shared" ref="R160:R176" si="65">J160-D160</f>
        <v>-0.12859649122807018</v>
      </c>
      <c r="S160" s="753">
        <f t="shared" ref="S160:S176" si="66">K160-E160</f>
        <v>-7.7719298245614035E-2</v>
      </c>
      <c r="T160" s="753">
        <f t="shared" ref="T160:T176" si="67">L160-F160</f>
        <v>-5.1403508771929826E-2</v>
      </c>
      <c r="U160" s="753">
        <f t="shared" ref="U160:U176" si="68">M160-G160</f>
        <v>-3.7368421052631579E-2</v>
      </c>
      <c r="V160" s="753">
        <f t="shared" ref="V160:V176" si="69">N160-0</f>
        <v>0.2</v>
      </c>
      <c r="W160" s="753">
        <f t="shared" ref="W160:W176" si="70">O160-0</f>
        <v>9.3333333333333338E-2</v>
      </c>
    </row>
    <row r="161" spans="2:23" x14ac:dyDescent="0.25">
      <c r="B161" s="545" t="s">
        <v>69</v>
      </c>
      <c r="C161" s="583">
        <v>0.26415094339622641</v>
      </c>
      <c r="D161" s="583">
        <v>0.41509433962264153</v>
      </c>
      <c r="E161" s="583">
        <v>5.6603773584905662E-2</v>
      </c>
      <c r="F161" s="583">
        <v>5.6603773584905662E-2</v>
      </c>
      <c r="G161" s="583">
        <v>0.20754716981132076</v>
      </c>
      <c r="H161" s="583"/>
      <c r="I161" s="825">
        <f t="shared" si="57"/>
        <v>4.4776119402985072E-2</v>
      </c>
      <c r="J161" s="826">
        <f t="shared" si="58"/>
        <v>0.26865671641791045</v>
      </c>
      <c r="K161" s="826">
        <f t="shared" si="59"/>
        <v>0.17910447761194029</v>
      </c>
      <c r="L161" s="826">
        <f t="shared" si="60"/>
        <v>0.14925373134328357</v>
      </c>
      <c r="M161" s="826">
        <f t="shared" si="61"/>
        <v>0.14925373134328357</v>
      </c>
      <c r="N161" s="826">
        <f t="shared" si="62"/>
        <v>0.11940298507462686</v>
      </c>
      <c r="O161" s="826">
        <f t="shared" si="63"/>
        <v>8.9552238805970144E-2</v>
      </c>
      <c r="Q161" s="753">
        <f t="shared" si="64"/>
        <v>-0.21937482399324135</v>
      </c>
      <c r="R161" s="753">
        <f t="shared" si="65"/>
        <v>-0.14643762320473108</v>
      </c>
      <c r="S161" s="753">
        <f t="shared" si="66"/>
        <v>0.12250070402703463</v>
      </c>
      <c r="T161" s="753">
        <f t="shared" si="67"/>
        <v>9.2649957758377907E-2</v>
      </c>
      <c r="U161" s="753">
        <f t="shared" si="68"/>
        <v>-5.8293438468037195E-2</v>
      </c>
      <c r="V161" s="753">
        <f t="shared" si="69"/>
        <v>0.11940298507462686</v>
      </c>
      <c r="W161" s="753">
        <f t="shared" si="70"/>
        <v>8.9552238805970144E-2</v>
      </c>
    </row>
    <row r="162" spans="2:23" x14ac:dyDescent="0.25">
      <c r="B162" s="545" t="s">
        <v>70</v>
      </c>
      <c r="C162" s="583">
        <v>0.4</v>
      </c>
      <c r="D162" s="583">
        <v>0.42222222222222222</v>
      </c>
      <c r="E162" s="583">
        <v>0</v>
      </c>
      <c r="F162" s="583">
        <v>2.2222222222222223E-2</v>
      </c>
      <c r="G162" s="583">
        <v>0.15555555555555556</v>
      </c>
      <c r="H162" s="583"/>
      <c r="I162" s="825">
        <f t="shared" si="57"/>
        <v>0.12962962962962962</v>
      </c>
      <c r="J162" s="826">
        <f t="shared" si="58"/>
        <v>0.31481481481481483</v>
      </c>
      <c r="K162" s="826">
        <f t="shared" si="59"/>
        <v>0.1111111111111111</v>
      </c>
      <c r="L162" s="826">
        <f t="shared" si="60"/>
        <v>0.14814814814814814</v>
      </c>
      <c r="M162" s="826">
        <f t="shared" si="61"/>
        <v>5.5555555555555552E-2</v>
      </c>
      <c r="N162" s="826">
        <f t="shared" si="62"/>
        <v>0.12962962962962962</v>
      </c>
      <c r="O162" s="826">
        <f t="shared" si="63"/>
        <v>0.1111111111111111</v>
      </c>
      <c r="Q162" s="753">
        <f t="shared" si="64"/>
        <v>-0.27037037037037037</v>
      </c>
      <c r="R162" s="753">
        <f t="shared" si="65"/>
        <v>-0.1074074074074074</v>
      </c>
      <c r="S162" s="753">
        <f t="shared" si="66"/>
        <v>0.1111111111111111</v>
      </c>
      <c r="T162" s="753">
        <f t="shared" si="67"/>
        <v>0.12592592592592591</v>
      </c>
      <c r="U162" s="753">
        <f t="shared" si="68"/>
        <v>-0.1</v>
      </c>
      <c r="V162" s="753">
        <f t="shared" si="69"/>
        <v>0.12962962962962962</v>
      </c>
      <c r="W162" s="753">
        <f t="shared" si="70"/>
        <v>0.1111111111111111</v>
      </c>
    </row>
    <row r="163" spans="2:23" x14ac:dyDescent="0.25">
      <c r="B163" s="545" t="s">
        <v>71</v>
      </c>
      <c r="C163" s="583">
        <v>0.2</v>
      </c>
      <c r="D163" s="583">
        <v>0.5636363636363636</v>
      </c>
      <c r="E163" s="583">
        <v>1.8181818181818181E-2</v>
      </c>
      <c r="F163" s="583">
        <v>0.16363636363636364</v>
      </c>
      <c r="G163" s="583">
        <v>5.4545454545454543E-2</v>
      </c>
      <c r="H163" s="583"/>
      <c r="I163" s="825">
        <f t="shared" si="57"/>
        <v>8.6956521739130432E-2</v>
      </c>
      <c r="J163" s="826">
        <f t="shared" si="58"/>
        <v>0.34782608695652173</v>
      </c>
      <c r="K163" s="826">
        <f t="shared" si="59"/>
        <v>0.11594202898550725</v>
      </c>
      <c r="L163" s="826">
        <f t="shared" si="60"/>
        <v>0.15942028985507245</v>
      </c>
      <c r="M163" s="826">
        <f t="shared" si="61"/>
        <v>5.7971014492753624E-2</v>
      </c>
      <c r="N163" s="826">
        <f t="shared" si="62"/>
        <v>0.10144927536231885</v>
      </c>
      <c r="O163" s="826">
        <f t="shared" si="63"/>
        <v>0.13043478260869565</v>
      </c>
      <c r="Q163" s="753">
        <f t="shared" si="64"/>
        <v>-0.11304347826086958</v>
      </c>
      <c r="R163" s="753">
        <f t="shared" si="65"/>
        <v>-0.21581027667984187</v>
      </c>
      <c r="S163" s="753">
        <f t="shared" si="66"/>
        <v>9.7760210803689074E-2</v>
      </c>
      <c r="T163" s="753">
        <f t="shared" si="67"/>
        <v>-4.2160737812911853E-3</v>
      </c>
      <c r="U163" s="753">
        <f t="shared" si="68"/>
        <v>3.4255599472990811E-3</v>
      </c>
      <c r="V163" s="753">
        <f t="shared" si="69"/>
        <v>0.10144927536231885</v>
      </c>
      <c r="W163" s="753">
        <f t="shared" si="70"/>
        <v>0.13043478260869565</v>
      </c>
    </row>
    <row r="164" spans="2:23" x14ac:dyDescent="0.25">
      <c r="B164" s="545" t="s">
        <v>98</v>
      </c>
      <c r="C164" s="583">
        <v>0</v>
      </c>
      <c r="D164" s="583">
        <v>0</v>
      </c>
      <c r="E164" s="583">
        <v>0</v>
      </c>
      <c r="F164" s="583">
        <v>0</v>
      </c>
      <c r="G164" s="583">
        <v>1</v>
      </c>
      <c r="H164" s="583"/>
      <c r="I164" s="825">
        <f t="shared" si="57"/>
        <v>0</v>
      </c>
      <c r="J164" s="826">
        <f t="shared" si="58"/>
        <v>0</v>
      </c>
      <c r="K164" s="826">
        <f t="shared" si="59"/>
        <v>0</v>
      </c>
      <c r="L164" s="826">
        <f t="shared" si="60"/>
        <v>0</v>
      </c>
      <c r="M164" s="826">
        <f t="shared" si="61"/>
        <v>1</v>
      </c>
      <c r="N164" s="826">
        <f t="shared" si="62"/>
        <v>0</v>
      </c>
      <c r="O164" s="826">
        <f t="shared" si="63"/>
        <v>0</v>
      </c>
      <c r="Q164" s="753">
        <f t="shared" si="64"/>
        <v>0</v>
      </c>
      <c r="R164" s="753">
        <f t="shared" si="65"/>
        <v>0</v>
      </c>
      <c r="S164" s="753">
        <f t="shared" si="66"/>
        <v>0</v>
      </c>
      <c r="T164" s="753">
        <f t="shared" si="67"/>
        <v>0</v>
      </c>
      <c r="U164" s="753">
        <f t="shared" si="68"/>
        <v>0</v>
      </c>
      <c r="V164" s="753">
        <f t="shared" si="69"/>
        <v>0</v>
      </c>
      <c r="W164" s="753">
        <f t="shared" si="70"/>
        <v>0</v>
      </c>
    </row>
    <row r="165" spans="2:23" x14ac:dyDescent="0.25">
      <c r="B165" s="545" t="s">
        <v>72</v>
      </c>
      <c r="C165" s="583">
        <v>3.6363636363636362E-2</v>
      </c>
      <c r="D165" s="583">
        <v>0.29090909090909089</v>
      </c>
      <c r="E165" s="583">
        <v>0.27272727272727271</v>
      </c>
      <c r="F165" s="583">
        <v>5.4545454545454543E-2</v>
      </c>
      <c r="G165" s="583">
        <v>0.34545454545454546</v>
      </c>
      <c r="H165" s="583"/>
      <c r="I165" s="825">
        <f t="shared" si="57"/>
        <v>6.9767441860465115E-2</v>
      </c>
      <c r="J165" s="826">
        <f t="shared" si="58"/>
        <v>0.19767441860465115</v>
      </c>
      <c r="K165" s="826">
        <f t="shared" si="59"/>
        <v>0.31395348837209303</v>
      </c>
      <c r="L165" s="826">
        <f t="shared" si="60"/>
        <v>0.10465116279069768</v>
      </c>
      <c r="M165" s="826">
        <f t="shared" si="61"/>
        <v>0.22093023255813954</v>
      </c>
      <c r="N165" s="826">
        <f t="shared" si="62"/>
        <v>9.3023255813953487E-2</v>
      </c>
      <c r="O165" s="826">
        <f t="shared" si="63"/>
        <v>0</v>
      </c>
      <c r="Q165" s="753">
        <f t="shared" si="64"/>
        <v>3.3403805496828753E-2</v>
      </c>
      <c r="R165" s="753">
        <f t="shared" si="65"/>
        <v>-9.3234672304439742E-2</v>
      </c>
      <c r="S165" s="753">
        <f t="shared" si="66"/>
        <v>4.1226215644820319E-2</v>
      </c>
      <c r="T165" s="753">
        <f t="shared" si="67"/>
        <v>5.0105708245243137E-2</v>
      </c>
      <c r="U165" s="753">
        <f t="shared" si="68"/>
        <v>-0.12452431289640592</v>
      </c>
      <c r="V165" s="753">
        <f t="shared" si="69"/>
        <v>9.3023255813953487E-2</v>
      </c>
      <c r="W165" s="753">
        <f t="shared" si="70"/>
        <v>0</v>
      </c>
    </row>
    <row r="166" spans="2:23" x14ac:dyDescent="0.25">
      <c r="B166" s="545" t="s">
        <v>73</v>
      </c>
      <c r="C166" s="583">
        <v>0</v>
      </c>
      <c r="D166" s="583">
        <v>8.2352941176470587E-2</v>
      </c>
      <c r="E166" s="583">
        <v>0.61176470588235299</v>
      </c>
      <c r="F166" s="583">
        <v>2.3529411764705882E-2</v>
      </c>
      <c r="G166" s="583">
        <v>0.28235294117647058</v>
      </c>
      <c r="H166" s="583"/>
      <c r="I166" s="825">
        <f t="shared" si="57"/>
        <v>2.197802197802198E-2</v>
      </c>
      <c r="J166" s="826">
        <f t="shared" si="58"/>
        <v>0.61538461538461542</v>
      </c>
      <c r="K166" s="826">
        <f t="shared" si="59"/>
        <v>4.3956043956043959E-2</v>
      </c>
      <c r="L166" s="826">
        <f t="shared" si="60"/>
        <v>2.197802197802198E-2</v>
      </c>
      <c r="M166" s="826">
        <f t="shared" si="61"/>
        <v>0.15384615384615385</v>
      </c>
      <c r="N166" s="826">
        <f t="shared" si="62"/>
        <v>0.14285714285714285</v>
      </c>
      <c r="O166" s="826">
        <f t="shared" si="63"/>
        <v>0</v>
      </c>
      <c r="Q166" s="753">
        <f t="shared" si="64"/>
        <v>2.197802197802198E-2</v>
      </c>
      <c r="R166" s="753">
        <f t="shared" si="65"/>
        <v>0.53303167420814479</v>
      </c>
      <c r="S166" s="753">
        <f t="shared" si="66"/>
        <v>-0.56780866192630908</v>
      </c>
      <c r="T166" s="753">
        <f t="shared" si="67"/>
        <v>-1.5513897866839023E-3</v>
      </c>
      <c r="U166" s="753">
        <f t="shared" si="68"/>
        <v>-0.12850678733031673</v>
      </c>
      <c r="V166" s="753">
        <f t="shared" si="69"/>
        <v>0.14285714285714285</v>
      </c>
      <c r="W166" s="753">
        <f t="shared" si="70"/>
        <v>0</v>
      </c>
    </row>
    <row r="167" spans="2:23" x14ac:dyDescent="0.25">
      <c r="B167" s="545" t="s">
        <v>74</v>
      </c>
      <c r="C167" s="583">
        <v>7.0866141732283464E-2</v>
      </c>
      <c r="D167" s="583">
        <v>0.16535433070866143</v>
      </c>
      <c r="E167" s="583">
        <v>0.51968503937007871</v>
      </c>
      <c r="F167" s="583">
        <v>3.937007874015748E-2</v>
      </c>
      <c r="G167" s="583">
        <v>0.20472440944881889</v>
      </c>
      <c r="H167" s="583"/>
      <c r="I167" s="825">
        <f t="shared" si="57"/>
        <v>4.3859649122807015E-2</v>
      </c>
      <c r="J167" s="826">
        <f t="shared" si="58"/>
        <v>0.16666666666666666</v>
      </c>
      <c r="K167" s="826">
        <f t="shared" si="59"/>
        <v>0.42105263157894735</v>
      </c>
      <c r="L167" s="826">
        <f t="shared" si="60"/>
        <v>3.5087719298245612E-2</v>
      </c>
      <c r="M167" s="826">
        <f t="shared" si="61"/>
        <v>0.26315789473684209</v>
      </c>
      <c r="N167" s="826">
        <f t="shared" si="62"/>
        <v>4.3859649122807015E-2</v>
      </c>
      <c r="O167" s="826">
        <f t="shared" si="63"/>
        <v>2.6315789473684209E-2</v>
      </c>
      <c r="Q167" s="753">
        <f t="shared" si="64"/>
        <v>-2.7006492609476448E-2</v>
      </c>
      <c r="R167" s="753">
        <f t="shared" si="65"/>
        <v>1.3123359580052285E-3</v>
      </c>
      <c r="S167" s="753">
        <f t="shared" si="66"/>
        <v>-9.863240779113136E-2</v>
      </c>
      <c r="T167" s="753">
        <f t="shared" si="67"/>
        <v>-4.2823594419118677E-3</v>
      </c>
      <c r="U167" s="753">
        <f t="shared" si="68"/>
        <v>5.8433485288023196E-2</v>
      </c>
      <c r="V167" s="753">
        <f t="shared" si="69"/>
        <v>4.3859649122807015E-2</v>
      </c>
      <c r="W167" s="753">
        <f t="shared" si="70"/>
        <v>2.6315789473684209E-2</v>
      </c>
    </row>
    <row r="168" spans="2:23" x14ac:dyDescent="0.25">
      <c r="B168" s="545" t="s">
        <v>75</v>
      </c>
      <c r="C168" s="583">
        <v>8.4033613445378148E-3</v>
      </c>
      <c r="D168" s="583">
        <v>0.27731092436974791</v>
      </c>
      <c r="E168" s="583">
        <v>0.59663865546218486</v>
      </c>
      <c r="F168" s="583">
        <v>2.5210084033613446E-2</v>
      </c>
      <c r="G168" s="583">
        <v>9.2436974789915971E-2</v>
      </c>
      <c r="H168" s="583"/>
      <c r="I168" s="825">
        <f t="shared" si="57"/>
        <v>7.1942446043165471E-3</v>
      </c>
      <c r="J168" s="826">
        <f t="shared" si="58"/>
        <v>0.12949640287769784</v>
      </c>
      <c r="K168" s="826">
        <f t="shared" si="59"/>
        <v>0.53237410071942448</v>
      </c>
      <c r="L168" s="826">
        <f t="shared" si="60"/>
        <v>6.4748201438848921E-2</v>
      </c>
      <c r="M168" s="826">
        <f t="shared" si="61"/>
        <v>0.18705035971223022</v>
      </c>
      <c r="N168" s="826">
        <f t="shared" si="62"/>
        <v>7.1942446043165464E-2</v>
      </c>
      <c r="O168" s="826">
        <f t="shared" si="63"/>
        <v>7.1942446043165471E-3</v>
      </c>
      <c r="Q168" s="753">
        <f t="shared" si="64"/>
        <v>-1.2091167402212676E-3</v>
      </c>
      <c r="R168" s="753">
        <f t="shared" si="65"/>
        <v>-0.14781452149205007</v>
      </c>
      <c r="S168" s="753">
        <f t="shared" si="66"/>
        <v>-6.4264554742760382E-2</v>
      </c>
      <c r="T168" s="753">
        <f t="shared" si="67"/>
        <v>3.9538117405235475E-2</v>
      </c>
      <c r="U168" s="753">
        <f t="shared" si="68"/>
        <v>9.4613384922314248E-2</v>
      </c>
      <c r="V168" s="753">
        <f t="shared" si="69"/>
        <v>7.1942446043165464E-2</v>
      </c>
      <c r="W168" s="753">
        <f t="shared" si="70"/>
        <v>7.1942446043165471E-3</v>
      </c>
    </row>
    <row r="169" spans="2:23" x14ac:dyDescent="0.25">
      <c r="B169" s="545" t="s">
        <v>76</v>
      </c>
      <c r="C169" s="583">
        <v>0</v>
      </c>
      <c r="D169" s="583">
        <v>0.14615384615384616</v>
      </c>
      <c r="E169" s="583">
        <v>0.7</v>
      </c>
      <c r="F169" s="583">
        <v>1.5384615384615385E-2</v>
      </c>
      <c r="G169" s="583">
        <v>0.13846153846153847</v>
      </c>
      <c r="H169" s="583"/>
      <c r="I169" s="825">
        <f t="shared" si="57"/>
        <v>0</v>
      </c>
      <c r="J169" s="826">
        <f t="shared" si="58"/>
        <v>0.46875</v>
      </c>
      <c r="K169" s="826">
        <f t="shared" si="59"/>
        <v>0.1484375</v>
      </c>
      <c r="L169" s="826">
        <f t="shared" si="60"/>
        <v>3.125E-2</v>
      </c>
      <c r="M169" s="826">
        <f t="shared" si="61"/>
        <v>0.125</v>
      </c>
      <c r="N169" s="826">
        <f t="shared" si="62"/>
        <v>0.2265625</v>
      </c>
      <c r="O169" s="826">
        <f t="shared" si="63"/>
        <v>0</v>
      </c>
      <c r="Q169" s="753">
        <f t="shared" si="64"/>
        <v>0</v>
      </c>
      <c r="R169" s="753">
        <f t="shared" si="65"/>
        <v>0.32259615384615381</v>
      </c>
      <c r="S169" s="753">
        <f t="shared" si="66"/>
        <v>-0.55156249999999996</v>
      </c>
      <c r="T169" s="753">
        <f t="shared" si="67"/>
        <v>1.5865384615384615E-2</v>
      </c>
      <c r="U169" s="753">
        <f t="shared" si="68"/>
        <v>-1.3461538461538469E-2</v>
      </c>
      <c r="V169" s="753">
        <f t="shared" si="69"/>
        <v>0.2265625</v>
      </c>
      <c r="W169" s="753">
        <f t="shared" si="70"/>
        <v>0</v>
      </c>
    </row>
    <row r="170" spans="2:23" x14ac:dyDescent="0.25">
      <c r="B170" s="545" t="s">
        <v>99</v>
      </c>
      <c r="C170" s="583">
        <v>0</v>
      </c>
      <c r="D170" s="583">
        <v>0</v>
      </c>
      <c r="E170" s="583">
        <v>0</v>
      </c>
      <c r="F170" s="583">
        <v>0</v>
      </c>
      <c r="G170" s="583">
        <v>1</v>
      </c>
      <c r="H170" s="583"/>
      <c r="I170" s="825">
        <f t="shared" si="57"/>
        <v>0</v>
      </c>
      <c r="J170" s="826">
        <f t="shared" si="58"/>
        <v>0</v>
      </c>
      <c r="K170" s="826">
        <f t="shared" si="59"/>
        <v>0</v>
      </c>
      <c r="L170" s="826">
        <f t="shared" si="60"/>
        <v>0</v>
      </c>
      <c r="M170" s="826">
        <f t="shared" si="61"/>
        <v>1</v>
      </c>
      <c r="N170" s="826">
        <f t="shared" si="62"/>
        <v>0</v>
      </c>
      <c r="O170" s="826">
        <f t="shared" si="63"/>
        <v>0</v>
      </c>
      <c r="Q170" s="753">
        <f t="shared" si="64"/>
        <v>0</v>
      </c>
      <c r="R170" s="753">
        <f t="shared" si="65"/>
        <v>0</v>
      </c>
      <c r="S170" s="753">
        <f t="shared" si="66"/>
        <v>0</v>
      </c>
      <c r="T170" s="753">
        <f t="shared" si="67"/>
        <v>0</v>
      </c>
      <c r="U170" s="753">
        <f t="shared" si="68"/>
        <v>0</v>
      </c>
      <c r="V170" s="753">
        <f t="shared" si="69"/>
        <v>0</v>
      </c>
      <c r="W170" s="753">
        <f t="shared" si="70"/>
        <v>0</v>
      </c>
    </row>
    <row r="171" spans="2:23" x14ac:dyDescent="0.25">
      <c r="B171" s="545" t="s">
        <v>100</v>
      </c>
      <c r="C171" s="583">
        <v>0</v>
      </c>
      <c r="D171" s="583">
        <v>0</v>
      </c>
      <c r="E171" s="583">
        <v>0</v>
      </c>
      <c r="F171" s="583">
        <v>0</v>
      </c>
      <c r="G171" s="583">
        <v>1</v>
      </c>
      <c r="H171" s="583"/>
      <c r="I171" s="825">
        <f t="shared" si="57"/>
        <v>0</v>
      </c>
      <c r="J171" s="826">
        <f t="shared" si="58"/>
        <v>0</v>
      </c>
      <c r="K171" s="826">
        <f t="shared" si="59"/>
        <v>0</v>
      </c>
      <c r="L171" s="826">
        <f t="shared" si="60"/>
        <v>0</v>
      </c>
      <c r="M171" s="826">
        <f t="shared" si="61"/>
        <v>1</v>
      </c>
      <c r="N171" s="826">
        <f t="shared" si="62"/>
        <v>0</v>
      </c>
      <c r="O171" s="826">
        <f t="shared" si="63"/>
        <v>0</v>
      </c>
      <c r="Q171" s="753">
        <f t="shared" si="64"/>
        <v>0</v>
      </c>
      <c r="R171" s="753">
        <f t="shared" si="65"/>
        <v>0</v>
      </c>
      <c r="S171" s="753">
        <f t="shared" si="66"/>
        <v>0</v>
      </c>
      <c r="T171" s="753">
        <f t="shared" si="67"/>
        <v>0</v>
      </c>
      <c r="U171" s="753">
        <f t="shared" si="68"/>
        <v>0</v>
      </c>
      <c r="V171" s="753">
        <f t="shared" si="69"/>
        <v>0</v>
      </c>
      <c r="W171" s="753">
        <f t="shared" si="70"/>
        <v>0</v>
      </c>
    </row>
    <row r="172" spans="2:23" x14ac:dyDescent="0.25">
      <c r="B172" s="545" t="s">
        <v>92</v>
      </c>
      <c r="C172" s="583">
        <v>0</v>
      </c>
      <c r="D172" s="583">
        <v>0</v>
      </c>
      <c r="E172" s="583">
        <v>0</v>
      </c>
      <c r="F172" s="583">
        <v>0</v>
      </c>
      <c r="G172" s="583">
        <v>1</v>
      </c>
      <c r="H172" s="583"/>
      <c r="I172" s="825">
        <f t="shared" si="57"/>
        <v>0</v>
      </c>
      <c r="J172" s="826">
        <f t="shared" si="58"/>
        <v>0</v>
      </c>
      <c r="K172" s="826">
        <f t="shared" si="59"/>
        <v>0</v>
      </c>
      <c r="L172" s="826">
        <f t="shared" si="60"/>
        <v>0</v>
      </c>
      <c r="M172" s="826">
        <f t="shared" si="61"/>
        <v>1</v>
      </c>
      <c r="N172" s="826">
        <f t="shared" si="62"/>
        <v>0</v>
      </c>
      <c r="O172" s="826">
        <f t="shared" si="63"/>
        <v>0</v>
      </c>
      <c r="Q172" s="753">
        <f t="shared" si="64"/>
        <v>0</v>
      </c>
      <c r="R172" s="753">
        <f t="shared" si="65"/>
        <v>0</v>
      </c>
      <c r="S172" s="753">
        <f t="shared" si="66"/>
        <v>0</v>
      </c>
      <c r="T172" s="753">
        <f t="shared" si="67"/>
        <v>0</v>
      </c>
      <c r="U172" s="753">
        <f t="shared" si="68"/>
        <v>0</v>
      </c>
      <c r="V172" s="753">
        <f t="shared" si="69"/>
        <v>0</v>
      </c>
      <c r="W172" s="753">
        <f t="shared" si="70"/>
        <v>0</v>
      </c>
    </row>
    <row r="173" spans="2:23" x14ac:dyDescent="0.25">
      <c r="B173" s="545" t="s">
        <v>77</v>
      </c>
      <c r="C173" s="583">
        <v>0.23943661971830985</v>
      </c>
      <c r="D173" s="583">
        <v>0.3380281690140845</v>
      </c>
      <c r="E173" s="583">
        <v>0</v>
      </c>
      <c r="F173" s="583">
        <v>0.18309859154929578</v>
      </c>
      <c r="G173" s="583">
        <v>0.23943661971830985</v>
      </c>
      <c r="H173" s="583"/>
      <c r="I173" s="825">
        <f t="shared" si="57"/>
        <v>0.10126582278481013</v>
      </c>
      <c r="J173" s="826">
        <f t="shared" si="58"/>
        <v>0.29113924050632911</v>
      </c>
      <c r="K173" s="826">
        <f t="shared" si="59"/>
        <v>6.3291139240506333E-2</v>
      </c>
      <c r="L173" s="826">
        <f t="shared" si="60"/>
        <v>0.189873417721519</v>
      </c>
      <c r="M173" s="826">
        <f t="shared" si="61"/>
        <v>3.7974683544303799E-2</v>
      </c>
      <c r="N173" s="826">
        <f t="shared" si="62"/>
        <v>0.12658227848101267</v>
      </c>
      <c r="O173" s="826">
        <f t="shared" si="63"/>
        <v>0.189873417721519</v>
      </c>
      <c r="Q173" s="753">
        <f t="shared" si="64"/>
        <v>-0.13817079693349971</v>
      </c>
      <c r="R173" s="753">
        <f t="shared" si="65"/>
        <v>-4.688892850775539E-2</v>
      </c>
      <c r="S173" s="753">
        <f t="shared" si="66"/>
        <v>6.3291139240506333E-2</v>
      </c>
      <c r="T173" s="753">
        <f t="shared" si="67"/>
        <v>6.7748261722232195E-3</v>
      </c>
      <c r="U173" s="753">
        <f t="shared" si="68"/>
        <v>-0.20146193617400604</v>
      </c>
      <c r="V173" s="753">
        <f t="shared" si="69"/>
        <v>0.12658227848101267</v>
      </c>
      <c r="W173" s="753">
        <f t="shared" si="70"/>
        <v>0.189873417721519</v>
      </c>
    </row>
    <row r="174" spans="2:23" x14ac:dyDescent="0.25">
      <c r="B174" s="545" t="s">
        <v>78</v>
      </c>
      <c r="C174" s="583">
        <v>0</v>
      </c>
      <c r="D174" s="583">
        <v>9.8591549295774641E-2</v>
      </c>
      <c r="E174" s="583">
        <v>0.71830985915492962</v>
      </c>
      <c r="F174" s="583">
        <v>4.2253521126760563E-2</v>
      </c>
      <c r="G174" s="583">
        <v>0.14084507042253522</v>
      </c>
      <c r="H174" s="583"/>
      <c r="I174" s="825">
        <f t="shared" si="57"/>
        <v>3.870967741935484E-2</v>
      </c>
      <c r="J174" s="826">
        <f t="shared" si="58"/>
        <v>0.29677419354838708</v>
      </c>
      <c r="K174" s="826">
        <f t="shared" si="59"/>
        <v>0.29677419354838708</v>
      </c>
      <c r="L174" s="826">
        <f t="shared" si="60"/>
        <v>9.0322580645161285E-2</v>
      </c>
      <c r="M174" s="826">
        <f t="shared" si="61"/>
        <v>0.12258064516129032</v>
      </c>
      <c r="N174" s="826">
        <f t="shared" si="62"/>
        <v>0.14193548387096774</v>
      </c>
      <c r="O174" s="826">
        <f t="shared" si="63"/>
        <v>1.2903225806451613E-2</v>
      </c>
      <c r="Q174" s="753">
        <f t="shared" si="64"/>
        <v>3.870967741935484E-2</v>
      </c>
      <c r="R174" s="753">
        <f t="shared" si="65"/>
        <v>0.19818264425261245</v>
      </c>
      <c r="S174" s="753">
        <f t="shared" si="66"/>
        <v>-0.42153566560654254</v>
      </c>
      <c r="T174" s="753">
        <f t="shared" si="67"/>
        <v>4.8069059518400722E-2</v>
      </c>
      <c r="U174" s="753">
        <f t="shared" si="68"/>
        <v>-1.8264425261244902E-2</v>
      </c>
      <c r="V174" s="753">
        <f t="shared" si="69"/>
        <v>0.14193548387096774</v>
      </c>
      <c r="W174" s="753">
        <f t="shared" si="70"/>
        <v>1.2903225806451613E-2</v>
      </c>
    </row>
    <row r="175" spans="2:23" x14ac:dyDescent="0.25">
      <c r="B175" s="545" t="s">
        <v>55</v>
      </c>
      <c r="C175" s="583">
        <v>6.0483870967741937E-2</v>
      </c>
      <c r="D175" s="583">
        <v>0.22177419354838709</v>
      </c>
      <c r="E175" s="583">
        <v>0.65322580645161288</v>
      </c>
      <c r="F175" s="583">
        <v>0</v>
      </c>
      <c r="G175" s="583">
        <v>6.4516129032258063E-2</v>
      </c>
      <c r="H175" s="583"/>
      <c r="I175" s="825">
        <f t="shared" si="57"/>
        <v>3.8314176245210725E-2</v>
      </c>
      <c r="J175" s="826">
        <f t="shared" si="58"/>
        <v>0.19923371647509577</v>
      </c>
      <c r="K175" s="826">
        <f t="shared" si="59"/>
        <v>0.49808429118773945</v>
      </c>
      <c r="L175" s="826">
        <f t="shared" si="60"/>
        <v>6.5134099616858232E-2</v>
      </c>
      <c r="M175" s="826">
        <f t="shared" si="61"/>
        <v>4.2145593869731802E-2</v>
      </c>
      <c r="N175" s="826">
        <f t="shared" si="62"/>
        <v>0.13793103448275862</v>
      </c>
      <c r="O175" s="826">
        <f t="shared" si="63"/>
        <v>1.9157088122605363E-2</v>
      </c>
      <c r="Q175" s="753">
        <f t="shared" si="64"/>
        <v>-2.2169694722531212E-2</v>
      </c>
      <c r="R175" s="753">
        <f t="shared" si="65"/>
        <v>-2.2540477073291321E-2</v>
      </c>
      <c r="S175" s="753">
        <f t="shared" si="66"/>
        <v>-0.15514151526387343</v>
      </c>
      <c r="T175" s="753">
        <f t="shared" si="67"/>
        <v>6.5134099616858232E-2</v>
      </c>
      <c r="U175" s="753">
        <f t="shared" si="68"/>
        <v>-2.237053516252626E-2</v>
      </c>
      <c r="V175" s="753">
        <f t="shared" si="69"/>
        <v>0.13793103448275862</v>
      </c>
      <c r="W175" s="753">
        <f t="shared" si="70"/>
        <v>1.9157088122605363E-2</v>
      </c>
    </row>
    <row r="176" spans="2:23" x14ac:dyDescent="0.25">
      <c r="B176" s="545" t="s">
        <v>80</v>
      </c>
      <c r="C176" s="583">
        <v>0.50370370370370365</v>
      </c>
      <c r="D176" s="583">
        <v>0</v>
      </c>
      <c r="E176" s="583">
        <v>0.28888888888888886</v>
      </c>
      <c r="F176" s="583">
        <v>0.2074074074074074</v>
      </c>
      <c r="G176" s="583">
        <v>0</v>
      </c>
      <c r="H176" s="583"/>
      <c r="I176" s="825">
        <f t="shared" si="57"/>
        <v>0.16326530612244897</v>
      </c>
      <c r="J176" s="826">
        <f t="shared" si="58"/>
        <v>6.8027210884353748E-2</v>
      </c>
      <c r="K176" s="826">
        <f t="shared" si="59"/>
        <v>0.25170068027210885</v>
      </c>
      <c r="L176" s="826">
        <f t="shared" si="60"/>
        <v>0.25170068027210885</v>
      </c>
      <c r="M176" s="826">
        <f t="shared" si="61"/>
        <v>0</v>
      </c>
      <c r="N176" s="826">
        <f t="shared" si="62"/>
        <v>6.8027210884353739E-3</v>
      </c>
      <c r="O176" s="826">
        <f t="shared" si="63"/>
        <v>0.25850340136054423</v>
      </c>
      <c r="Q176" s="753">
        <f t="shared" si="64"/>
        <v>-0.34043839758125471</v>
      </c>
      <c r="R176" s="753">
        <f t="shared" si="65"/>
        <v>6.8027210884353748E-2</v>
      </c>
      <c r="S176" s="753">
        <f t="shared" si="66"/>
        <v>-3.7188208616780016E-2</v>
      </c>
      <c r="T176" s="753">
        <f t="shared" si="67"/>
        <v>4.4293272864701444E-2</v>
      </c>
      <c r="U176" s="753">
        <f t="shared" si="68"/>
        <v>0</v>
      </c>
      <c r="V176" s="753">
        <f t="shared" si="69"/>
        <v>6.8027210884353739E-3</v>
      </c>
      <c r="W176" s="753">
        <f t="shared" si="70"/>
        <v>0.25850340136054423</v>
      </c>
    </row>
    <row r="178" spans="1:18" x14ac:dyDescent="0.25">
      <c r="B178" s="770">
        <v>43556</v>
      </c>
      <c r="C178" s="771"/>
      <c r="D178" s="771"/>
      <c r="E178" s="771"/>
      <c r="F178" s="772"/>
      <c r="G178" s="772"/>
      <c r="H178" s="772"/>
      <c r="I178" s="772"/>
      <c r="J178" s="772"/>
      <c r="K178" s="772"/>
      <c r="L178" s="772"/>
      <c r="M178" s="772"/>
      <c r="N178" s="772"/>
      <c r="O178" s="772"/>
      <c r="P178" s="772"/>
      <c r="Q178" s="772"/>
      <c r="R178" s="772"/>
    </row>
    <row r="179" spans="1:18" x14ac:dyDescent="0.25">
      <c r="B179" s="772"/>
      <c r="C179" s="772"/>
      <c r="D179" s="772"/>
      <c r="E179" s="772"/>
      <c r="F179" s="772"/>
      <c r="G179" s="772"/>
      <c r="H179" s="772">
        <v>8</v>
      </c>
      <c r="I179" s="772">
        <v>9</v>
      </c>
      <c r="J179" s="772">
        <v>10</v>
      </c>
      <c r="K179" s="772">
        <v>11</v>
      </c>
      <c r="L179" s="772">
        <v>12</v>
      </c>
      <c r="M179" s="772">
        <v>13</v>
      </c>
      <c r="N179" s="772">
        <v>14</v>
      </c>
      <c r="O179" s="772">
        <v>15</v>
      </c>
      <c r="P179" s="772">
        <v>16</v>
      </c>
      <c r="Q179" s="772">
        <v>17</v>
      </c>
      <c r="R179" s="772">
        <v>18</v>
      </c>
    </row>
    <row r="180" spans="1:18" ht="31.5" x14ac:dyDescent="0.25">
      <c r="B180" s="773" t="s">
        <v>66</v>
      </c>
      <c r="C180" s="774" t="s">
        <v>51</v>
      </c>
      <c r="D180" s="775" t="s">
        <v>688</v>
      </c>
      <c r="E180" s="776" t="s">
        <v>265</v>
      </c>
      <c r="F180" s="777" t="s">
        <v>266</v>
      </c>
      <c r="G180" s="776" t="s">
        <v>267</v>
      </c>
      <c r="H180" s="777" t="s">
        <v>257</v>
      </c>
      <c r="I180" s="776" t="s">
        <v>268</v>
      </c>
      <c r="J180" s="777" t="s">
        <v>269</v>
      </c>
      <c r="K180" s="776" t="s">
        <v>270</v>
      </c>
      <c r="L180" s="777" t="s">
        <v>271</v>
      </c>
      <c r="M180" s="778" t="s">
        <v>272</v>
      </c>
      <c r="N180" s="779" t="s">
        <v>273</v>
      </c>
      <c r="O180" s="776" t="s">
        <v>689</v>
      </c>
      <c r="P180" s="777" t="s">
        <v>690</v>
      </c>
      <c r="Q180" s="778" t="s">
        <v>631</v>
      </c>
      <c r="R180" s="779" t="s">
        <v>691</v>
      </c>
    </row>
    <row r="181" spans="1:18" x14ac:dyDescent="0.25">
      <c r="A181" s="185">
        <v>9257010</v>
      </c>
      <c r="B181" s="780" t="s">
        <v>67</v>
      </c>
      <c r="C181" s="781">
        <v>3</v>
      </c>
      <c r="D181" s="782">
        <f t="shared" ref="D181:D189" si="71">E181+G181+I181+K181+M181+O181+Q181</f>
        <v>52</v>
      </c>
      <c r="E181" s="783">
        <v>6</v>
      </c>
      <c r="F181" s="784">
        <f>E181/D181</f>
        <v>0.11538461538461539</v>
      </c>
      <c r="G181" s="785">
        <v>15</v>
      </c>
      <c r="H181" s="784">
        <f>G181/D181</f>
        <v>0.28846153846153844</v>
      </c>
      <c r="I181" s="785">
        <v>3</v>
      </c>
      <c r="J181" s="784">
        <f>I181/D181</f>
        <v>5.7692307692307696E-2</v>
      </c>
      <c r="K181" s="785">
        <v>2</v>
      </c>
      <c r="L181" s="784">
        <f>K181/D181</f>
        <v>3.8461538461538464E-2</v>
      </c>
      <c r="M181" s="786">
        <v>5</v>
      </c>
      <c r="N181" s="787">
        <f>M181/D181</f>
        <v>9.6153846153846159E-2</v>
      </c>
      <c r="O181" s="785">
        <v>13</v>
      </c>
      <c r="P181" s="784">
        <f>O181/D181</f>
        <v>0.25</v>
      </c>
      <c r="Q181" s="786">
        <v>8</v>
      </c>
      <c r="R181" s="787">
        <f>Q181/D181</f>
        <v>0.15384615384615385</v>
      </c>
    </row>
    <row r="182" spans="1:18" x14ac:dyDescent="0.25">
      <c r="A182" s="185">
        <v>9257005</v>
      </c>
      <c r="B182" s="780" t="s">
        <v>68</v>
      </c>
      <c r="C182" s="781">
        <v>3</v>
      </c>
      <c r="D182" s="782">
        <f t="shared" si="71"/>
        <v>75</v>
      </c>
      <c r="E182" s="783">
        <v>10</v>
      </c>
      <c r="F182" s="784">
        <f>E182/D182</f>
        <v>0.13333333333333333</v>
      </c>
      <c r="G182" s="785">
        <v>17</v>
      </c>
      <c r="H182" s="784">
        <f>G182/D182</f>
        <v>0.22666666666666666</v>
      </c>
      <c r="I182" s="785">
        <v>7</v>
      </c>
      <c r="J182" s="784">
        <f>I182/D182</f>
        <v>9.3333333333333338E-2</v>
      </c>
      <c r="K182" s="785">
        <v>7</v>
      </c>
      <c r="L182" s="784">
        <f>K182/D182</f>
        <v>9.3333333333333338E-2</v>
      </c>
      <c r="M182" s="786">
        <v>12</v>
      </c>
      <c r="N182" s="787">
        <f>M182/D182</f>
        <v>0.16</v>
      </c>
      <c r="O182" s="785">
        <v>15</v>
      </c>
      <c r="P182" s="784">
        <f>O182/D182</f>
        <v>0.2</v>
      </c>
      <c r="Q182" s="786">
        <v>7</v>
      </c>
      <c r="R182" s="787">
        <f>Q182/D182</f>
        <v>9.3333333333333338E-2</v>
      </c>
    </row>
    <row r="183" spans="1:18" x14ac:dyDescent="0.25">
      <c r="A183" s="185">
        <v>9257025</v>
      </c>
      <c r="B183" s="780" t="s">
        <v>69</v>
      </c>
      <c r="C183" s="781">
        <v>3</v>
      </c>
      <c r="D183" s="782">
        <f t="shared" si="71"/>
        <v>67</v>
      </c>
      <c r="E183" s="783">
        <v>3</v>
      </c>
      <c r="F183" s="784">
        <f>E183/D183</f>
        <v>4.4776119402985072E-2</v>
      </c>
      <c r="G183" s="785">
        <v>18</v>
      </c>
      <c r="H183" s="784">
        <f>G183/D183</f>
        <v>0.26865671641791045</v>
      </c>
      <c r="I183" s="785">
        <v>12</v>
      </c>
      <c r="J183" s="784">
        <f>I183/D183</f>
        <v>0.17910447761194029</v>
      </c>
      <c r="K183" s="785">
        <v>10</v>
      </c>
      <c r="L183" s="784">
        <f>K183/D183</f>
        <v>0.14925373134328357</v>
      </c>
      <c r="M183" s="786">
        <v>10</v>
      </c>
      <c r="N183" s="787">
        <f>M183/D183</f>
        <v>0.14925373134328357</v>
      </c>
      <c r="O183" s="785">
        <v>8</v>
      </c>
      <c r="P183" s="784">
        <f>O183/D183</f>
        <v>0.11940298507462686</v>
      </c>
      <c r="Q183" s="786">
        <v>6</v>
      </c>
      <c r="R183" s="787">
        <f>Q183/D183</f>
        <v>8.9552238805970144E-2</v>
      </c>
    </row>
    <row r="184" spans="1:18" x14ac:dyDescent="0.25">
      <c r="A184" s="185">
        <v>9257011</v>
      </c>
      <c r="B184" s="780" t="s">
        <v>70</v>
      </c>
      <c r="C184" s="781">
        <v>3</v>
      </c>
      <c r="D184" s="782">
        <f t="shared" si="71"/>
        <v>54</v>
      </c>
      <c r="E184" s="783">
        <v>7</v>
      </c>
      <c r="F184" s="784">
        <f>E184/D184</f>
        <v>0.12962962962962962</v>
      </c>
      <c r="G184" s="785">
        <v>17</v>
      </c>
      <c r="H184" s="784">
        <f>G184/D184</f>
        <v>0.31481481481481483</v>
      </c>
      <c r="I184" s="785">
        <v>6</v>
      </c>
      <c r="J184" s="784">
        <f>I184/D184</f>
        <v>0.1111111111111111</v>
      </c>
      <c r="K184" s="785">
        <v>8</v>
      </c>
      <c r="L184" s="784">
        <f>K184/D184</f>
        <v>0.14814814814814814</v>
      </c>
      <c r="M184" s="786">
        <v>3</v>
      </c>
      <c r="N184" s="787">
        <f>M184/D184</f>
        <v>5.5555555555555552E-2</v>
      </c>
      <c r="O184" s="785">
        <v>7</v>
      </c>
      <c r="P184" s="784">
        <f>O184/D184</f>
        <v>0.12962962962962962</v>
      </c>
      <c r="Q184" s="786">
        <v>6</v>
      </c>
      <c r="R184" s="787">
        <f>Q184/D184</f>
        <v>0.1111111111111111</v>
      </c>
    </row>
    <row r="185" spans="1:18" x14ac:dyDescent="0.25">
      <c r="A185" s="185">
        <v>9257024</v>
      </c>
      <c r="B185" s="780" t="s">
        <v>71</v>
      </c>
      <c r="C185" s="781">
        <v>3</v>
      </c>
      <c r="D185" s="782">
        <f t="shared" si="71"/>
        <v>69</v>
      </c>
      <c r="E185" s="785">
        <v>6</v>
      </c>
      <c r="F185" s="784">
        <f>E185/D185</f>
        <v>8.6956521739130432E-2</v>
      </c>
      <c r="G185" s="785">
        <v>24</v>
      </c>
      <c r="H185" s="784">
        <f>G185/D185</f>
        <v>0.34782608695652173</v>
      </c>
      <c r="I185" s="785">
        <v>8</v>
      </c>
      <c r="J185" s="784">
        <f>I185/D185</f>
        <v>0.11594202898550725</v>
      </c>
      <c r="K185" s="785">
        <v>11</v>
      </c>
      <c r="L185" s="784">
        <f>K185/D185</f>
        <v>0.15942028985507245</v>
      </c>
      <c r="M185" s="786">
        <v>4</v>
      </c>
      <c r="N185" s="787">
        <f>M185/D185</f>
        <v>5.7971014492753624E-2</v>
      </c>
      <c r="O185" s="785">
        <v>7</v>
      </c>
      <c r="P185" s="784">
        <f>O185/D185</f>
        <v>0.10144927536231885</v>
      </c>
      <c r="Q185" s="786">
        <v>9</v>
      </c>
      <c r="R185" s="787">
        <f>Q185/D185</f>
        <v>0.13043478260869565</v>
      </c>
    </row>
    <row r="186" spans="1:18" x14ac:dyDescent="0.25">
      <c r="A186" s="185">
        <v>9257031</v>
      </c>
      <c r="B186" s="780" t="s">
        <v>98</v>
      </c>
      <c r="C186" s="781">
        <v>3</v>
      </c>
      <c r="D186" s="782">
        <f t="shared" si="71"/>
        <v>0</v>
      </c>
      <c r="E186" s="785">
        <v>0</v>
      </c>
      <c r="F186" s="784">
        <v>0</v>
      </c>
      <c r="G186" s="785">
        <v>0</v>
      </c>
      <c r="H186" s="784">
        <v>0</v>
      </c>
      <c r="I186" s="785">
        <v>0</v>
      </c>
      <c r="J186" s="784">
        <v>0</v>
      </c>
      <c r="K186" s="785">
        <v>0</v>
      </c>
      <c r="L186" s="784">
        <v>0</v>
      </c>
      <c r="M186" s="786">
        <v>0</v>
      </c>
      <c r="N186" s="787">
        <v>1</v>
      </c>
      <c r="O186" s="785">
        <v>0</v>
      </c>
      <c r="P186" s="784">
        <v>0</v>
      </c>
      <c r="Q186" s="786">
        <v>0</v>
      </c>
      <c r="R186" s="787">
        <v>0</v>
      </c>
    </row>
    <row r="187" spans="1:18" x14ac:dyDescent="0.25">
      <c r="A187" s="185">
        <v>9257033</v>
      </c>
      <c r="B187" s="780" t="s">
        <v>72</v>
      </c>
      <c r="C187" s="781">
        <v>3</v>
      </c>
      <c r="D187" s="782">
        <f t="shared" si="71"/>
        <v>86</v>
      </c>
      <c r="E187" s="785">
        <v>6</v>
      </c>
      <c r="F187" s="784">
        <f>E187/D187</f>
        <v>6.9767441860465115E-2</v>
      </c>
      <c r="G187" s="785">
        <v>17</v>
      </c>
      <c r="H187" s="784">
        <f>G187/D187</f>
        <v>0.19767441860465115</v>
      </c>
      <c r="I187" s="785">
        <v>27</v>
      </c>
      <c r="J187" s="784">
        <f>I187/D187</f>
        <v>0.31395348837209303</v>
      </c>
      <c r="K187" s="788">
        <v>9</v>
      </c>
      <c r="L187" s="784">
        <f>K187/D187</f>
        <v>0.10465116279069768</v>
      </c>
      <c r="M187" s="786">
        <v>19</v>
      </c>
      <c r="N187" s="787">
        <f>M187/D187</f>
        <v>0.22093023255813954</v>
      </c>
      <c r="O187" s="788">
        <v>8</v>
      </c>
      <c r="P187" s="784">
        <f>O187/D187</f>
        <v>9.3023255813953487E-2</v>
      </c>
      <c r="Q187" s="786">
        <v>0</v>
      </c>
      <c r="R187" s="787">
        <f>Q187/D187</f>
        <v>0</v>
      </c>
    </row>
    <row r="188" spans="1:18" x14ac:dyDescent="0.25">
      <c r="A188" s="185">
        <v>9257008</v>
      </c>
      <c r="B188" s="780" t="s">
        <v>73</v>
      </c>
      <c r="C188" s="781">
        <v>3</v>
      </c>
      <c r="D188" s="782">
        <f t="shared" si="71"/>
        <v>91</v>
      </c>
      <c r="E188" s="785">
        <v>2</v>
      </c>
      <c r="F188" s="784">
        <f>E188/D188</f>
        <v>2.197802197802198E-2</v>
      </c>
      <c r="G188" s="785">
        <v>56</v>
      </c>
      <c r="H188" s="784">
        <f>G188/D188</f>
        <v>0.61538461538461542</v>
      </c>
      <c r="I188" s="785">
        <v>4</v>
      </c>
      <c r="J188" s="784">
        <f>I188/D188</f>
        <v>4.3956043956043959E-2</v>
      </c>
      <c r="K188" s="785">
        <v>2</v>
      </c>
      <c r="L188" s="784">
        <f>K188/D188</f>
        <v>2.197802197802198E-2</v>
      </c>
      <c r="M188" s="789">
        <v>14</v>
      </c>
      <c r="N188" s="787">
        <f>M188/D188</f>
        <v>0.15384615384615385</v>
      </c>
      <c r="O188" s="785">
        <v>13</v>
      </c>
      <c r="P188" s="784">
        <f>O188/D188</f>
        <v>0.14285714285714285</v>
      </c>
      <c r="Q188" s="789">
        <v>0</v>
      </c>
      <c r="R188" s="787">
        <f>Q188/D188</f>
        <v>0</v>
      </c>
    </row>
    <row r="189" spans="1:18" x14ac:dyDescent="0.25">
      <c r="A189" s="185">
        <v>9257034</v>
      </c>
      <c r="B189" s="780" t="s">
        <v>74</v>
      </c>
      <c r="C189" s="781">
        <v>4</v>
      </c>
      <c r="D189" s="782">
        <f t="shared" si="71"/>
        <v>114</v>
      </c>
      <c r="E189" s="785">
        <v>5</v>
      </c>
      <c r="F189" s="784">
        <f>E189/D189</f>
        <v>4.3859649122807015E-2</v>
      </c>
      <c r="G189" s="785">
        <v>19</v>
      </c>
      <c r="H189" s="784">
        <f>G189/D189</f>
        <v>0.16666666666666666</v>
      </c>
      <c r="I189" s="785">
        <v>48</v>
      </c>
      <c r="J189" s="784">
        <f>I189/D189</f>
        <v>0.42105263157894735</v>
      </c>
      <c r="K189" s="785">
        <v>4</v>
      </c>
      <c r="L189" s="784">
        <f>K189/D189</f>
        <v>3.5087719298245612E-2</v>
      </c>
      <c r="M189" s="786">
        <v>30</v>
      </c>
      <c r="N189" s="787">
        <f>M189/D189</f>
        <v>0.26315789473684209</v>
      </c>
      <c r="O189" s="785">
        <v>5</v>
      </c>
      <c r="P189" s="784">
        <f>O189/D189</f>
        <v>4.3859649122807015E-2</v>
      </c>
      <c r="Q189" s="786">
        <v>3</v>
      </c>
      <c r="R189" s="787">
        <f>Q189/D189</f>
        <v>2.6315789473684209E-2</v>
      </c>
    </row>
    <row r="190" spans="1:18" x14ac:dyDescent="0.25">
      <c r="A190" s="185">
        <v>9257002</v>
      </c>
      <c r="B190" s="780" t="s">
        <v>75</v>
      </c>
      <c r="C190" s="781">
        <v>4</v>
      </c>
      <c r="D190" s="782">
        <f>E190+G190+I190+K190+M190+O190+Q190</f>
        <v>139</v>
      </c>
      <c r="E190" s="785">
        <v>1</v>
      </c>
      <c r="F190" s="784">
        <f>E190/D190</f>
        <v>7.1942446043165471E-3</v>
      </c>
      <c r="G190" s="785">
        <v>18</v>
      </c>
      <c r="H190" s="784">
        <f>G190/D190</f>
        <v>0.12949640287769784</v>
      </c>
      <c r="I190" s="785">
        <v>74</v>
      </c>
      <c r="J190" s="784">
        <f>I190/D190</f>
        <v>0.53237410071942448</v>
      </c>
      <c r="K190" s="785">
        <v>9</v>
      </c>
      <c r="L190" s="784">
        <f>K190/D190</f>
        <v>6.4748201438848921E-2</v>
      </c>
      <c r="M190" s="786">
        <v>26</v>
      </c>
      <c r="N190" s="787">
        <f>M190/D190</f>
        <v>0.18705035971223022</v>
      </c>
      <c r="O190" s="785">
        <v>10</v>
      </c>
      <c r="P190" s="784">
        <f>O190/D190</f>
        <v>7.1942446043165464E-2</v>
      </c>
      <c r="Q190" s="786">
        <v>1</v>
      </c>
      <c r="R190" s="787">
        <f>Q190/D190</f>
        <v>7.1942446043165471E-3</v>
      </c>
    </row>
    <row r="191" spans="1:18" x14ac:dyDescent="0.25">
      <c r="A191" s="185">
        <v>9257009</v>
      </c>
      <c r="B191" s="780" t="s">
        <v>76</v>
      </c>
      <c r="C191" s="781">
        <v>4</v>
      </c>
      <c r="D191" s="782">
        <f t="shared" ref="D191:D198" si="72">E191+G191+I191+K191+M191+O191+Q191</f>
        <v>128</v>
      </c>
      <c r="E191" s="785">
        <v>0</v>
      </c>
      <c r="F191" s="784">
        <f>E191/D191</f>
        <v>0</v>
      </c>
      <c r="G191" s="785">
        <v>60</v>
      </c>
      <c r="H191" s="784">
        <f>G191/D191</f>
        <v>0.46875</v>
      </c>
      <c r="I191" s="785">
        <v>19</v>
      </c>
      <c r="J191" s="784">
        <f>I191/D191</f>
        <v>0.1484375</v>
      </c>
      <c r="K191" s="785">
        <v>4</v>
      </c>
      <c r="L191" s="784">
        <f>K191/D191</f>
        <v>3.125E-2</v>
      </c>
      <c r="M191" s="786">
        <v>16</v>
      </c>
      <c r="N191" s="787">
        <f>M191/D191</f>
        <v>0.125</v>
      </c>
      <c r="O191" s="785">
        <v>29</v>
      </c>
      <c r="P191" s="784">
        <f>O191/D191</f>
        <v>0.2265625</v>
      </c>
      <c r="Q191" s="786">
        <v>0</v>
      </c>
      <c r="R191" s="787">
        <f>Q191/D191</f>
        <v>0</v>
      </c>
    </row>
    <row r="192" spans="1:18" x14ac:dyDescent="0.25">
      <c r="A192" s="185">
        <v>9257029</v>
      </c>
      <c r="B192" s="780" t="s">
        <v>99</v>
      </c>
      <c r="C192" s="781">
        <v>4</v>
      </c>
      <c r="D192" s="782">
        <f t="shared" si="72"/>
        <v>0</v>
      </c>
      <c r="E192" s="785">
        <v>0</v>
      </c>
      <c r="F192" s="784">
        <v>0</v>
      </c>
      <c r="G192" s="785">
        <v>0</v>
      </c>
      <c r="H192" s="784">
        <v>0</v>
      </c>
      <c r="I192" s="785">
        <v>0</v>
      </c>
      <c r="J192" s="784">
        <v>0</v>
      </c>
      <c r="K192" s="785">
        <v>0</v>
      </c>
      <c r="L192" s="784">
        <v>0</v>
      </c>
      <c r="M192" s="786">
        <v>0</v>
      </c>
      <c r="N192" s="787">
        <v>1</v>
      </c>
      <c r="O192" s="785">
        <v>0</v>
      </c>
      <c r="P192" s="784">
        <v>0</v>
      </c>
      <c r="Q192" s="786">
        <v>0</v>
      </c>
      <c r="R192" s="787">
        <v>0</v>
      </c>
    </row>
    <row r="193" spans="1:18" x14ac:dyDescent="0.25">
      <c r="A193" s="185">
        <v>9257032</v>
      </c>
      <c r="B193" s="780" t="s">
        <v>100</v>
      </c>
      <c r="C193" s="781">
        <v>4</v>
      </c>
      <c r="D193" s="782">
        <f t="shared" si="72"/>
        <v>0</v>
      </c>
      <c r="E193" s="785">
        <v>0</v>
      </c>
      <c r="F193" s="784">
        <v>0</v>
      </c>
      <c r="G193" s="785">
        <v>0</v>
      </c>
      <c r="H193" s="784">
        <v>0</v>
      </c>
      <c r="I193" s="785">
        <v>0</v>
      </c>
      <c r="J193" s="784">
        <v>0</v>
      </c>
      <c r="K193" s="785">
        <v>0</v>
      </c>
      <c r="L193" s="784">
        <v>0</v>
      </c>
      <c r="M193" s="786">
        <v>0</v>
      </c>
      <c r="N193" s="787">
        <v>1</v>
      </c>
      <c r="O193" s="785">
        <v>0</v>
      </c>
      <c r="P193" s="784">
        <v>0</v>
      </c>
      <c r="Q193" s="786">
        <v>0</v>
      </c>
      <c r="R193" s="787">
        <v>0</v>
      </c>
    </row>
    <row r="194" spans="1:18" x14ac:dyDescent="0.25">
      <c r="A194" s="185">
        <v>9257030</v>
      </c>
      <c r="B194" s="780" t="s">
        <v>92</v>
      </c>
      <c r="C194" s="781">
        <v>4</v>
      </c>
      <c r="D194" s="782">
        <f t="shared" si="72"/>
        <v>0</v>
      </c>
      <c r="E194" s="783">
        <v>0</v>
      </c>
      <c r="F194" s="784">
        <v>0</v>
      </c>
      <c r="G194" s="785">
        <v>0</v>
      </c>
      <c r="H194" s="784">
        <v>0</v>
      </c>
      <c r="I194" s="785">
        <v>0</v>
      </c>
      <c r="J194" s="784">
        <v>0</v>
      </c>
      <c r="K194" s="785">
        <v>0</v>
      </c>
      <c r="L194" s="784">
        <v>0</v>
      </c>
      <c r="M194" s="786">
        <v>0</v>
      </c>
      <c r="N194" s="787">
        <v>1</v>
      </c>
      <c r="O194" s="785">
        <v>0</v>
      </c>
      <c r="P194" s="784">
        <v>0</v>
      </c>
      <c r="Q194" s="786">
        <v>0</v>
      </c>
      <c r="R194" s="787">
        <v>0</v>
      </c>
    </row>
    <row r="195" spans="1:18" x14ac:dyDescent="0.25">
      <c r="A195" s="185">
        <v>9257028</v>
      </c>
      <c r="B195" s="780" t="s">
        <v>77</v>
      </c>
      <c r="C195" s="781">
        <v>4</v>
      </c>
      <c r="D195" s="782">
        <f t="shared" si="72"/>
        <v>79</v>
      </c>
      <c r="E195" s="785">
        <v>8</v>
      </c>
      <c r="F195" s="784">
        <f>E195/D195</f>
        <v>0.10126582278481013</v>
      </c>
      <c r="G195" s="783">
        <v>23</v>
      </c>
      <c r="H195" s="784">
        <f>G195/D195</f>
        <v>0.29113924050632911</v>
      </c>
      <c r="I195" s="783">
        <v>5</v>
      </c>
      <c r="J195" s="784">
        <f>I195/D195</f>
        <v>6.3291139240506333E-2</v>
      </c>
      <c r="K195" s="783">
        <v>15</v>
      </c>
      <c r="L195" s="784">
        <f>K195/D195</f>
        <v>0.189873417721519</v>
      </c>
      <c r="M195" s="786">
        <v>3</v>
      </c>
      <c r="N195" s="787">
        <f>M195/D195</f>
        <v>3.7974683544303799E-2</v>
      </c>
      <c r="O195" s="783">
        <v>10</v>
      </c>
      <c r="P195" s="784">
        <f>O195/D195</f>
        <v>0.12658227848101267</v>
      </c>
      <c r="Q195" s="786">
        <v>15</v>
      </c>
      <c r="R195" s="787">
        <f>Q195/D195</f>
        <v>0.189873417721519</v>
      </c>
    </row>
    <row r="196" spans="1:18" x14ac:dyDescent="0.25">
      <c r="A196" s="185">
        <v>9257021</v>
      </c>
      <c r="B196" s="780" t="s">
        <v>78</v>
      </c>
      <c r="C196" s="781">
        <v>5</v>
      </c>
      <c r="D196" s="782">
        <f t="shared" si="72"/>
        <v>155</v>
      </c>
      <c r="E196" s="785">
        <v>6</v>
      </c>
      <c r="F196" s="784">
        <f>E196/D196</f>
        <v>3.870967741935484E-2</v>
      </c>
      <c r="G196" s="785">
        <v>46</v>
      </c>
      <c r="H196" s="784">
        <f>G196/D196</f>
        <v>0.29677419354838708</v>
      </c>
      <c r="I196" s="785">
        <v>46</v>
      </c>
      <c r="J196" s="784">
        <f>I196/D196</f>
        <v>0.29677419354838708</v>
      </c>
      <c r="K196" s="785">
        <v>14</v>
      </c>
      <c r="L196" s="784">
        <f>K196/D196</f>
        <v>9.0322580645161285E-2</v>
      </c>
      <c r="M196" s="786">
        <v>19</v>
      </c>
      <c r="N196" s="787">
        <f>M196/D196</f>
        <v>0.12258064516129032</v>
      </c>
      <c r="O196" s="785">
        <v>22</v>
      </c>
      <c r="P196" s="784">
        <f>O196/D196</f>
        <v>0.14193548387096774</v>
      </c>
      <c r="Q196" s="786">
        <v>2</v>
      </c>
      <c r="R196" s="787">
        <f>Q196/D196</f>
        <v>1.2903225806451613E-2</v>
      </c>
    </row>
    <row r="197" spans="1:18" x14ac:dyDescent="0.25">
      <c r="A197" s="185">
        <v>9257015</v>
      </c>
      <c r="B197" s="780" t="s">
        <v>55</v>
      </c>
      <c r="C197" s="781">
        <v>5</v>
      </c>
      <c r="D197" s="782">
        <f t="shared" si="72"/>
        <v>261</v>
      </c>
      <c r="E197" s="785">
        <v>10</v>
      </c>
      <c r="F197" s="784">
        <f>E197/D197</f>
        <v>3.8314176245210725E-2</v>
      </c>
      <c r="G197" s="785">
        <v>52</v>
      </c>
      <c r="H197" s="784">
        <f>G197/D197</f>
        <v>0.19923371647509577</v>
      </c>
      <c r="I197" s="785">
        <v>130</v>
      </c>
      <c r="J197" s="784">
        <f>I197/D197</f>
        <v>0.49808429118773945</v>
      </c>
      <c r="K197" s="785">
        <v>17</v>
      </c>
      <c r="L197" s="784">
        <f>K197/D197</f>
        <v>6.5134099616858232E-2</v>
      </c>
      <c r="M197" s="786">
        <v>11</v>
      </c>
      <c r="N197" s="787">
        <f>M197/D197</f>
        <v>4.2145593869731802E-2</v>
      </c>
      <c r="O197" s="785">
        <v>36</v>
      </c>
      <c r="P197" s="784">
        <f>O197/D197</f>
        <v>0.13793103448275862</v>
      </c>
      <c r="Q197" s="786">
        <v>5</v>
      </c>
      <c r="R197" s="787">
        <f>Q197/D197</f>
        <v>1.9157088122605363E-2</v>
      </c>
    </row>
    <row r="198" spans="1:18" x14ac:dyDescent="0.25">
      <c r="A198" s="185">
        <v>9257016</v>
      </c>
      <c r="B198" s="780" t="s">
        <v>80</v>
      </c>
      <c r="C198" s="781">
        <v>6</v>
      </c>
      <c r="D198" s="782">
        <f t="shared" si="72"/>
        <v>147</v>
      </c>
      <c r="E198" s="785">
        <v>24</v>
      </c>
      <c r="F198" s="784">
        <f>E198/D198</f>
        <v>0.16326530612244897</v>
      </c>
      <c r="G198" s="785">
        <v>10</v>
      </c>
      <c r="H198" s="784">
        <f>G198/D198</f>
        <v>6.8027210884353748E-2</v>
      </c>
      <c r="I198" s="785">
        <v>37</v>
      </c>
      <c r="J198" s="784">
        <f>I198/D198</f>
        <v>0.25170068027210885</v>
      </c>
      <c r="K198" s="785">
        <v>37</v>
      </c>
      <c r="L198" s="784">
        <f>K198/D198</f>
        <v>0.25170068027210885</v>
      </c>
      <c r="M198" s="786">
        <v>0</v>
      </c>
      <c r="N198" s="787">
        <f>M198/D198</f>
        <v>0</v>
      </c>
      <c r="O198" s="785">
        <v>1</v>
      </c>
      <c r="P198" s="784">
        <f>O198/D198</f>
        <v>6.8027210884353739E-3</v>
      </c>
      <c r="Q198" s="786">
        <v>38</v>
      </c>
      <c r="R198" s="787">
        <f>Q198/D198</f>
        <v>0.25850340136054423</v>
      </c>
    </row>
  </sheetData>
  <mergeCells count="1">
    <mergeCell ref="B52:E52"/>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workbookViewId="0">
      <selection sqref="A1:XFD1048576"/>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349" t="s">
        <v>405</v>
      </c>
      <c r="B3" s="350" t="s">
        <v>406</v>
      </c>
      <c r="C3" s="351" t="s">
        <v>806</v>
      </c>
      <c r="D3" s="351" t="s">
        <v>408</v>
      </c>
    </row>
    <row r="4" spans="1:4" x14ac:dyDescent="0.25">
      <c r="A4" s="364">
        <v>9257002</v>
      </c>
      <c r="B4" s="352" t="s">
        <v>409</v>
      </c>
      <c r="C4" s="353">
        <v>53</v>
      </c>
      <c r="D4" s="354">
        <f>($C$24*$C$25)*C4</f>
        <v>23789.050000000003</v>
      </c>
    </row>
    <row r="5" spans="1:4" x14ac:dyDescent="0.25">
      <c r="A5" s="364">
        <v>9257005</v>
      </c>
      <c r="B5" s="352" t="s">
        <v>410</v>
      </c>
      <c r="C5" s="353">
        <v>14</v>
      </c>
      <c r="D5" s="354">
        <f t="shared" ref="D5:D21" si="0">($C$24*$C$25)*C5</f>
        <v>6283.9000000000005</v>
      </c>
    </row>
    <row r="6" spans="1:4" x14ac:dyDescent="0.25">
      <c r="A6" s="364">
        <v>9257008</v>
      </c>
      <c r="B6" s="352" t="s">
        <v>87</v>
      </c>
      <c r="C6" s="353">
        <v>34</v>
      </c>
      <c r="D6" s="354">
        <f t="shared" si="0"/>
        <v>15260.900000000001</v>
      </c>
    </row>
    <row r="7" spans="1:4" x14ac:dyDescent="0.25">
      <c r="A7" s="364">
        <v>9257009</v>
      </c>
      <c r="B7" s="352" t="s">
        <v>411</v>
      </c>
      <c r="C7" s="353">
        <v>31</v>
      </c>
      <c r="D7" s="354">
        <f t="shared" si="0"/>
        <v>13914.35</v>
      </c>
    </row>
    <row r="8" spans="1:4" x14ac:dyDescent="0.25">
      <c r="A8" s="364">
        <v>9257010</v>
      </c>
      <c r="B8" s="352" t="s">
        <v>412</v>
      </c>
      <c r="C8" s="353">
        <v>15</v>
      </c>
      <c r="D8" s="354">
        <f t="shared" si="0"/>
        <v>6732.75</v>
      </c>
    </row>
    <row r="9" spans="1:4" x14ac:dyDescent="0.25">
      <c r="A9" s="364">
        <v>9257011</v>
      </c>
      <c r="B9" s="352" t="s">
        <v>413</v>
      </c>
      <c r="C9" s="353">
        <v>27</v>
      </c>
      <c r="D9" s="354">
        <f t="shared" si="0"/>
        <v>12118.95</v>
      </c>
    </row>
    <row r="10" spans="1:4" x14ac:dyDescent="0.25">
      <c r="A10" s="364">
        <v>9257015</v>
      </c>
      <c r="B10" s="352" t="s">
        <v>414</v>
      </c>
      <c r="C10" s="353">
        <v>63</v>
      </c>
      <c r="D10" s="354">
        <f t="shared" si="0"/>
        <v>28277.550000000003</v>
      </c>
    </row>
    <row r="11" spans="1:4" x14ac:dyDescent="0.25">
      <c r="A11" s="364">
        <v>9257016</v>
      </c>
      <c r="B11" s="352" t="s">
        <v>415</v>
      </c>
      <c r="C11" s="353">
        <v>36</v>
      </c>
      <c r="D11" s="354">
        <f t="shared" si="0"/>
        <v>16158.6</v>
      </c>
    </row>
    <row r="12" spans="1:4" x14ac:dyDescent="0.25">
      <c r="A12" s="364">
        <v>9257021</v>
      </c>
      <c r="B12" s="352" t="s">
        <v>416</v>
      </c>
      <c r="C12" s="353">
        <v>58</v>
      </c>
      <c r="D12" s="354">
        <f t="shared" si="0"/>
        <v>26033.300000000003</v>
      </c>
    </row>
    <row r="13" spans="1:4" x14ac:dyDescent="0.25">
      <c r="A13" s="364">
        <v>9257024</v>
      </c>
      <c r="B13" s="352" t="s">
        <v>417</v>
      </c>
      <c r="C13" s="353">
        <v>29</v>
      </c>
      <c r="D13" s="354">
        <f t="shared" si="0"/>
        <v>13016.650000000001</v>
      </c>
    </row>
    <row r="14" spans="1:4" x14ac:dyDescent="0.25">
      <c r="A14" s="364">
        <v>9257025</v>
      </c>
      <c r="B14" s="352" t="s">
        <v>418</v>
      </c>
      <c r="C14" s="353">
        <v>20</v>
      </c>
      <c r="D14" s="354">
        <f t="shared" si="0"/>
        <v>8977</v>
      </c>
    </row>
    <row r="15" spans="1:4" x14ac:dyDescent="0.25">
      <c r="A15" s="364">
        <v>9257028</v>
      </c>
      <c r="B15" s="352" t="s">
        <v>419</v>
      </c>
      <c r="C15" s="353">
        <v>17</v>
      </c>
      <c r="D15" s="354">
        <f t="shared" si="0"/>
        <v>7630.4500000000007</v>
      </c>
    </row>
    <row r="16" spans="1:4" x14ac:dyDescent="0.25">
      <c r="A16" s="364">
        <v>9257029</v>
      </c>
      <c r="B16" s="352" t="s">
        <v>420</v>
      </c>
      <c r="C16" s="353">
        <v>14</v>
      </c>
      <c r="D16" s="354">
        <f t="shared" si="0"/>
        <v>6283.9000000000005</v>
      </c>
    </row>
    <row r="17" spans="1:4" x14ac:dyDescent="0.25">
      <c r="A17" s="364">
        <v>9257030</v>
      </c>
      <c r="B17" s="352" t="s">
        <v>421</v>
      </c>
      <c r="C17" s="353">
        <v>20</v>
      </c>
      <c r="D17" s="354">
        <f t="shared" si="0"/>
        <v>8977</v>
      </c>
    </row>
    <row r="18" spans="1:4" x14ac:dyDescent="0.25">
      <c r="A18" s="364">
        <v>9257031</v>
      </c>
      <c r="B18" s="352" t="s">
        <v>422</v>
      </c>
      <c r="C18" s="353">
        <v>21</v>
      </c>
      <c r="D18" s="354">
        <f t="shared" si="0"/>
        <v>9425.85</v>
      </c>
    </row>
    <row r="19" spans="1:4" x14ac:dyDescent="0.25">
      <c r="A19" s="364">
        <v>9257032</v>
      </c>
      <c r="B19" s="352" t="s">
        <v>423</v>
      </c>
      <c r="C19" s="353">
        <v>17</v>
      </c>
      <c r="D19" s="354">
        <f t="shared" si="0"/>
        <v>7630.4500000000007</v>
      </c>
    </row>
    <row r="20" spans="1:4" x14ac:dyDescent="0.25">
      <c r="A20" s="364">
        <v>9257033</v>
      </c>
      <c r="B20" s="352" t="s">
        <v>424</v>
      </c>
      <c r="C20" s="353">
        <v>40</v>
      </c>
      <c r="D20" s="354">
        <f t="shared" si="0"/>
        <v>17954</v>
      </c>
    </row>
    <row r="21" spans="1:4" ht="13" thickBot="1" x14ac:dyDescent="0.3">
      <c r="A21" s="365">
        <v>9257034</v>
      </c>
      <c r="B21" s="355" t="s">
        <v>425</v>
      </c>
      <c r="C21" s="356">
        <v>45</v>
      </c>
      <c r="D21" s="357">
        <f t="shared" si="0"/>
        <v>20198.25</v>
      </c>
    </row>
    <row r="22" spans="1:4" x14ac:dyDescent="0.25">
      <c r="A22" s="358"/>
      <c r="B22" s="359"/>
      <c r="C22" s="358"/>
      <c r="D22" s="360"/>
    </row>
    <row r="23" spans="1:4" ht="13" thickBot="1" x14ac:dyDescent="0.3">
      <c r="A23" s="358"/>
      <c r="B23" s="359"/>
      <c r="C23" s="358"/>
      <c r="D23" s="363">
        <f>SUM(D4:D21)</f>
        <v>248662.90000000005</v>
      </c>
    </row>
    <row r="24" spans="1:4" x14ac:dyDescent="0.25">
      <c r="A24" s="358"/>
      <c r="B24" s="361" t="s">
        <v>426</v>
      </c>
      <c r="C24" s="362">
        <v>2.35</v>
      </c>
      <c r="D24" s="359"/>
    </row>
    <row r="25" spans="1:4" x14ac:dyDescent="0.25">
      <c r="A25" s="358"/>
      <c r="B25" s="361" t="s">
        <v>427</v>
      </c>
      <c r="C25" s="358">
        <v>191</v>
      </c>
      <c r="D25" s="359"/>
    </row>
    <row r="26" spans="1:4" x14ac:dyDescent="0.25">
      <c r="A26" s="358"/>
      <c r="B26" s="359"/>
      <c r="C26" s="358"/>
      <c r="D26" s="359"/>
    </row>
    <row r="28" spans="1:4" x14ac:dyDescent="0.25">
      <c r="C28" s="612" t="s">
        <v>805</v>
      </c>
      <c r="D28" s="16">
        <v>230841</v>
      </c>
    </row>
    <row r="29" spans="1:4" x14ac:dyDescent="0.25">
      <c r="D29" s="16"/>
    </row>
    <row r="30" spans="1:4" x14ac:dyDescent="0.25">
      <c r="C30" s="6" t="s">
        <v>429</v>
      </c>
      <c r="D30" s="16">
        <f>D23-D28</f>
        <v>17821.900000000052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Z67"/>
  <sheetViews>
    <sheetView workbookViewId="0">
      <selection sqref="A1:XFD1048576"/>
    </sheetView>
  </sheetViews>
  <sheetFormatPr defaultColWidth="9.1796875" defaultRowHeight="12" customHeight="1" x14ac:dyDescent="0.35"/>
  <cols>
    <col min="1" max="1" width="10.54296875" style="188" bestFit="1" customWidth="1"/>
    <col min="2" max="5" width="9.1796875" style="187"/>
    <col min="6" max="6" width="10.26953125" style="187" customWidth="1"/>
    <col min="7" max="8" width="9.1796875" style="187" customWidth="1"/>
    <col min="9" max="9" width="10.7265625" style="187" customWidth="1"/>
    <col min="10" max="12" width="10.7265625" style="188" customWidth="1"/>
    <col min="13" max="14" width="10.7265625" style="189" customWidth="1"/>
    <col min="15" max="19" width="10.7265625" style="187" customWidth="1"/>
    <col min="20" max="20" width="3.26953125" style="187" customWidth="1"/>
    <col min="21" max="23" width="10.7265625" style="187" customWidth="1"/>
    <col min="24" max="24" width="9.1796875" style="187" customWidth="1"/>
    <col min="25" max="25" width="10.81640625" style="188" customWidth="1"/>
    <col min="26" max="28" width="9.1796875" style="187" customWidth="1"/>
    <col min="29" max="29" width="11.26953125" style="189" customWidth="1"/>
    <col min="30" max="30" width="11.1796875" style="189" customWidth="1"/>
    <col min="31" max="31" width="14.453125" style="189" customWidth="1"/>
    <col min="32" max="32" width="9.1796875" style="189"/>
    <col min="33" max="33" width="8.81640625" style="189" bestFit="1" customWidth="1"/>
    <col min="34" max="36" width="9.1796875" style="189"/>
    <col min="37" max="37" width="10.453125" style="189" customWidth="1"/>
    <col min="38" max="38" width="13.453125" style="189" customWidth="1"/>
    <col min="39" max="43" width="9.1796875" style="189"/>
    <col min="44" max="44" width="11.1796875" style="189" customWidth="1"/>
    <col min="45" max="45" width="14.26953125" style="189" customWidth="1"/>
    <col min="46" max="50" width="9.1796875" style="189"/>
    <col min="51" max="51" width="10.1796875" style="189" bestFit="1" customWidth="1"/>
    <col min="52" max="52" width="14.26953125" style="189" customWidth="1"/>
    <col min="53" max="16384" width="9.1796875" style="189"/>
  </cols>
  <sheetData>
    <row r="2" spans="1:52" ht="12" customHeight="1" x14ac:dyDescent="0.35">
      <c r="B2" s="186" t="s">
        <v>219</v>
      </c>
      <c r="V2" s="1903" t="s">
        <v>280</v>
      </c>
    </row>
    <row r="3" spans="1:52" ht="12" customHeight="1" x14ac:dyDescent="0.35">
      <c r="V3" s="1904"/>
      <c r="X3" s="209" t="s">
        <v>250</v>
      </c>
    </row>
    <row r="4" spans="1:52" s="190" customFormat="1" ht="12" customHeight="1" x14ac:dyDescent="0.3">
      <c r="A4" s="188"/>
      <c r="B4" s="187"/>
      <c r="C4" s="187"/>
      <c r="D4" s="187"/>
      <c r="E4" s="187"/>
      <c r="F4" s="1905" t="s">
        <v>206</v>
      </c>
      <c r="G4" s="1905" t="s">
        <v>207</v>
      </c>
      <c r="H4" s="1905" t="s">
        <v>218</v>
      </c>
      <c r="I4" s="1906" t="s">
        <v>274</v>
      </c>
      <c r="J4" s="1907" t="s">
        <v>208</v>
      </c>
      <c r="K4" s="1907" t="s">
        <v>275</v>
      </c>
      <c r="L4" s="1907" t="s">
        <v>276</v>
      </c>
      <c r="M4" s="1907" t="s">
        <v>209</v>
      </c>
      <c r="N4" s="1907" t="s">
        <v>210</v>
      </c>
      <c r="O4" s="1907" t="s">
        <v>211</v>
      </c>
      <c r="P4" s="1907" t="s">
        <v>222</v>
      </c>
      <c r="Q4" s="1907" t="s">
        <v>277</v>
      </c>
      <c r="R4" s="1907" t="s">
        <v>228</v>
      </c>
      <c r="S4" s="1907" t="s">
        <v>229</v>
      </c>
      <c r="T4" s="209"/>
      <c r="U4" s="1907" t="s">
        <v>278</v>
      </c>
      <c r="V4" s="1910" t="s">
        <v>279</v>
      </c>
      <c r="W4" s="209"/>
      <c r="X4" s="1907" t="s">
        <v>249</v>
      </c>
      <c r="Y4" s="1907" t="s">
        <v>281</v>
      </c>
      <c r="Z4" s="1906" t="s">
        <v>430</v>
      </c>
      <c r="AA4" s="1907" t="s">
        <v>431</v>
      </c>
      <c r="AB4" s="1907" t="s">
        <v>432</v>
      </c>
      <c r="AC4" s="1910" t="s">
        <v>433</v>
      </c>
      <c r="AD4" s="1907" t="s">
        <v>434</v>
      </c>
      <c r="AE4" s="1907" t="s">
        <v>435</v>
      </c>
      <c r="AG4" s="1928" t="s">
        <v>541</v>
      </c>
      <c r="AH4" s="1926" t="s">
        <v>542</v>
      </c>
      <c r="AI4" s="1926" t="s">
        <v>543</v>
      </c>
      <c r="AJ4" s="1929" t="s">
        <v>544</v>
      </c>
      <c r="AK4" s="1926" t="s">
        <v>545</v>
      </c>
      <c r="AL4" s="1907" t="s">
        <v>435</v>
      </c>
      <c r="AN4" s="1928" t="s">
        <v>609</v>
      </c>
      <c r="AO4" s="1926" t="s">
        <v>610</v>
      </c>
      <c r="AP4" s="1926" t="s">
        <v>611</v>
      </c>
      <c r="AQ4" s="1929" t="s">
        <v>612</v>
      </c>
      <c r="AR4" s="1926" t="s">
        <v>613</v>
      </c>
      <c r="AS4" s="1907" t="s">
        <v>435</v>
      </c>
      <c r="AU4" s="1928" t="s">
        <v>807</v>
      </c>
      <c r="AV4" s="1926" t="s">
        <v>808</v>
      </c>
      <c r="AW4" s="1926" t="s">
        <v>809</v>
      </c>
      <c r="AX4" s="1929" t="s">
        <v>810</v>
      </c>
      <c r="AY4" s="1926" t="s">
        <v>811</v>
      </c>
      <c r="AZ4" s="1907" t="s">
        <v>435</v>
      </c>
    </row>
    <row r="5" spans="1:52" s="190" customFormat="1" ht="12" customHeight="1" x14ac:dyDescent="0.3">
      <c r="A5" s="188"/>
      <c r="B5" s="187"/>
      <c r="C5" s="187"/>
      <c r="D5" s="187"/>
      <c r="E5" s="187"/>
      <c r="F5" s="1905"/>
      <c r="G5" s="1905"/>
      <c r="H5" s="1905"/>
      <c r="I5" s="1906"/>
      <c r="J5" s="1907"/>
      <c r="K5" s="1907"/>
      <c r="L5" s="1907"/>
      <c r="M5" s="1907"/>
      <c r="N5" s="1907"/>
      <c r="O5" s="1907"/>
      <c r="P5" s="1907"/>
      <c r="Q5" s="1907"/>
      <c r="R5" s="1907"/>
      <c r="S5" s="1907"/>
      <c r="T5" s="209"/>
      <c r="U5" s="1907"/>
      <c r="V5" s="1911"/>
      <c r="W5" s="209"/>
      <c r="X5" s="1907"/>
      <c r="Y5" s="1907"/>
      <c r="Z5" s="1906"/>
      <c r="AA5" s="1907"/>
      <c r="AB5" s="1907"/>
      <c r="AC5" s="1911"/>
      <c r="AD5" s="1907"/>
      <c r="AE5" s="1907"/>
      <c r="AG5" s="1906"/>
      <c r="AH5" s="1907"/>
      <c r="AI5" s="1907"/>
      <c r="AJ5" s="1911"/>
      <c r="AK5" s="1907"/>
      <c r="AL5" s="1907"/>
      <c r="AN5" s="1906"/>
      <c r="AO5" s="1907"/>
      <c r="AP5" s="1907"/>
      <c r="AQ5" s="1911"/>
      <c r="AR5" s="1907"/>
      <c r="AS5" s="1907"/>
      <c r="AU5" s="1906"/>
      <c r="AV5" s="1907"/>
      <c r="AW5" s="1907"/>
      <c r="AX5" s="1911"/>
      <c r="AY5" s="1907"/>
      <c r="AZ5" s="1907"/>
    </row>
    <row r="6" spans="1:52" s="190" customFormat="1" ht="12" customHeight="1" x14ac:dyDescent="0.3">
      <c r="A6" s="188"/>
      <c r="B6" s="1913" t="s">
        <v>158</v>
      </c>
      <c r="C6" s="1914"/>
      <c r="D6" s="1914"/>
      <c r="E6" s="1915"/>
      <c r="F6" s="1905"/>
      <c r="G6" s="1905"/>
      <c r="H6" s="1905"/>
      <c r="I6" s="1906"/>
      <c r="J6" s="1907"/>
      <c r="K6" s="1907"/>
      <c r="L6" s="1907"/>
      <c r="M6" s="1907"/>
      <c r="N6" s="1907"/>
      <c r="O6" s="1907"/>
      <c r="P6" s="1907"/>
      <c r="Q6" s="1907"/>
      <c r="R6" s="1907"/>
      <c r="S6" s="1907"/>
      <c r="T6" s="209"/>
      <c r="U6" s="1907"/>
      <c r="V6" s="1912"/>
      <c r="W6" s="209"/>
      <c r="X6" s="1907"/>
      <c r="Y6" s="1907"/>
      <c r="Z6" s="1906"/>
      <c r="AA6" s="1907"/>
      <c r="AB6" s="1907"/>
      <c r="AC6" s="1912"/>
      <c r="AD6" s="1907"/>
      <c r="AE6" s="1907"/>
      <c r="AG6" s="1906"/>
      <c r="AH6" s="1907"/>
      <c r="AI6" s="1907"/>
      <c r="AJ6" s="1912"/>
      <c r="AK6" s="1907"/>
      <c r="AL6" s="1907"/>
      <c r="AN6" s="1906"/>
      <c r="AO6" s="1907"/>
      <c r="AP6" s="1907"/>
      <c r="AQ6" s="1912"/>
      <c r="AR6" s="1907"/>
      <c r="AS6" s="1907"/>
      <c r="AU6" s="1906"/>
      <c r="AV6" s="1907"/>
      <c r="AW6" s="1907"/>
      <c r="AX6" s="1912"/>
      <c r="AY6" s="1907"/>
      <c r="AZ6" s="1907"/>
    </row>
    <row r="7" spans="1:52" ht="12" customHeight="1" x14ac:dyDescent="0.35">
      <c r="A7" s="220">
        <v>9257010</v>
      </c>
      <c r="B7" s="1916" t="s">
        <v>86</v>
      </c>
      <c r="C7" s="1917"/>
      <c r="D7" s="1917"/>
      <c r="E7" s="1917"/>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row>
    <row r="8" spans="1:52" ht="12" customHeight="1" x14ac:dyDescent="0.35">
      <c r="A8" s="220">
        <v>9257030</v>
      </c>
      <c r="B8" s="1908" t="s">
        <v>161</v>
      </c>
      <c r="C8" s="1909"/>
      <c r="D8" s="1909"/>
      <c r="E8" s="1909"/>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67"/>
      <c r="AD8" s="194"/>
      <c r="AE8" s="194">
        <f t="shared" ref="AE8:AE26" si="1">SUM(Z8:AD8)</f>
        <v>0</v>
      </c>
      <c r="AG8" s="194"/>
      <c r="AH8" s="194"/>
      <c r="AI8" s="194"/>
      <c r="AJ8" s="367"/>
      <c r="AK8" s="194"/>
      <c r="AL8" s="194">
        <f t="shared" ref="AL8:AL26" si="2">SUM(AG8:AK8)</f>
        <v>0</v>
      </c>
      <c r="AN8" s="194"/>
      <c r="AO8" s="194"/>
      <c r="AP8" s="194"/>
      <c r="AQ8" s="367"/>
      <c r="AR8" s="194"/>
      <c r="AS8" s="194">
        <f t="shared" ref="AS8:AS26" si="3">SUM(AN8:AR8)</f>
        <v>0</v>
      </c>
      <c r="AU8" s="194"/>
      <c r="AV8" s="194"/>
      <c r="AW8" s="194"/>
      <c r="AX8" s="367"/>
      <c r="AY8" s="194"/>
      <c r="AZ8" s="194">
        <f t="shared" ref="AZ8:AZ26" si="4">SUM(AU8:AY8)</f>
        <v>0</v>
      </c>
    </row>
    <row r="9" spans="1:52" ht="12" customHeight="1" x14ac:dyDescent="0.35">
      <c r="A9" s="220">
        <v>9257031</v>
      </c>
      <c r="B9" s="1908" t="s">
        <v>162</v>
      </c>
      <c r="C9" s="1909"/>
      <c r="D9" s="1909"/>
      <c r="E9" s="1909"/>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67"/>
      <c r="AD9" s="194"/>
      <c r="AE9" s="194">
        <f t="shared" si="1"/>
        <v>0</v>
      </c>
      <c r="AG9" s="194"/>
      <c r="AH9" s="194"/>
      <c r="AI9" s="194"/>
      <c r="AJ9" s="367"/>
      <c r="AK9" s="194"/>
      <c r="AL9" s="194">
        <f t="shared" si="2"/>
        <v>0</v>
      </c>
      <c r="AN9" s="194"/>
      <c r="AO9" s="194"/>
      <c r="AP9" s="194"/>
      <c r="AQ9" s="367"/>
      <c r="AR9" s="194"/>
      <c r="AS9" s="194">
        <f t="shared" si="3"/>
        <v>0</v>
      </c>
      <c r="AU9" s="194"/>
      <c r="AV9" s="194"/>
      <c r="AW9" s="194"/>
      <c r="AX9" s="367"/>
      <c r="AY9" s="194"/>
      <c r="AZ9" s="194">
        <f t="shared" si="4"/>
        <v>0</v>
      </c>
    </row>
    <row r="10" spans="1:52" ht="12" customHeight="1" x14ac:dyDescent="0.35">
      <c r="A10" s="220">
        <v>9257008</v>
      </c>
      <c r="B10" s="1916" t="s">
        <v>87</v>
      </c>
      <c r="C10" s="1917"/>
      <c r="D10" s="1917"/>
      <c r="E10" s="1917"/>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c r="AN10" s="194"/>
      <c r="AO10" s="194"/>
      <c r="AP10" s="194">
        <v>617500</v>
      </c>
      <c r="AQ10" s="194">
        <v>0</v>
      </c>
      <c r="AR10" s="194"/>
      <c r="AS10" s="194">
        <f t="shared" si="3"/>
        <v>617500</v>
      </c>
      <c r="AU10" s="194"/>
      <c r="AV10" s="194"/>
      <c r="AW10" s="194">
        <v>617500</v>
      </c>
      <c r="AX10" s="194">
        <v>0</v>
      </c>
      <c r="AY10" s="194"/>
      <c r="AZ10" s="194">
        <f t="shared" si="4"/>
        <v>617500</v>
      </c>
    </row>
    <row r="11" spans="1:52" ht="12" customHeight="1" x14ac:dyDescent="0.35">
      <c r="A11" s="220">
        <v>9257002</v>
      </c>
      <c r="B11" s="1916" t="s">
        <v>53</v>
      </c>
      <c r="C11" s="1917"/>
      <c r="D11" s="1917"/>
      <c r="E11" s="1917"/>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67"/>
      <c r="AD11" s="194"/>
      <c r="AE11" s="194">
        <f t="shared" si="1"/>
        <v>0</v>
      </c>
      <c r="AG11" s="194"/>
      <c r="AH11" s="194"/>
      <c r="AI11" s="194"/>
      <c r="AJ11" s="367"/>
      <c r="AK11" s="194"/>
      <c r="AL11" s="194">
        <f t="shared" si="2"/>
        <v>0</v>
      </c>
      <c r="AN11" s="194"/>
      <c r="AO11" s="194"/>
      <c r="AP11" s="194"/>
      <c r="AQ11" s="367"/>
      <c r="AR11" s="194"/>
      <c r="AS11" s="194">
        <f t="shared" si="3"/>
        <v>0</v>
      </c>
      <c r="AU11" s="194"/>
      <c r="AV11" s="194"/>
      <c r="AW11" s="194"/>
      <c r="AX11" s="367"/>
      <c r="AY11" s="194"/>
      <c r="AZ11" s="194">
        <f t="shared" si="4"/>
        <v>0</v>
      </c>
    </row>
    <row r="12" spans="1:52" ht="12" customHeight="1" x14ac:dyDescent="0.35">
      <c r="A12" s="220">
        <v>9257005</v>
      </c>
      <c r="B12" s="1916" t="s">
        <v>88</v>
      </c>
      <c r="C12" s="1917"/>
      <c r="D12" s="1917"/>
      <c r="E12" s="1917"/>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67"/>
      <c r="AD12" s="194"/>
      <c r="AE12" s="194">
        <f t="shared" si="1"/>
        <v>35258</v>
      </c>
      <c r="AG12" s="194">
        <v>35258</v>
      </c>
      <c r="AH12" s="194"/>
      <c r="AI12" s="194"/>
      <c r="AJ12" s="367"/>
      <c r="AK12" s="194"/>
      <c r="AL12" s="194">
        <f t="shared" si="2"/>
        <v>35258</v>
      </c>
      <c r="AN12" s="194">
        <v>26443.5</v>
      </c>
      <c r="AO12" s="194"/>
      <c r="AP12" s="194"/>
      <c r="AQ12" s="367"/>
      <c r="AR12" s="194"/>
      <c r="AS12" s="194">
        <f t="shared" si="3"/>
        <v>26443.5</v>
      </c>
      <c r="AU12" s="194">
        <v>35258</v>
      </c>
      <c r="AV12" s="194"/>
      <c r="AW12" s="194"/>
      <c r="AX12" s="367"/>
      <c r="AY12" s="194"/>
      <c r="AZ12" s="194">
        <f t="shared" si="4"/>
        <v>35258</v>
      </c>
    </row>
    <row r="13" spans="1:52" ht="12" customHeight="1" x14ac:dyDescent="0.35">
      <c r="A13" s="220">
        <v>9257034</v>
      </c>
      <c r="B13" s="1916" t="s">
        <v>163</v>
      </c>
      <c r="C13" s="1917"/>
      <c r="D13" s="1917"/>
      <c r="E13" s="1917"/>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67"/>
      <c r="AD13" s="194"/>
      <c r="AE13" s="194">
        <f t="shared" si="1"/>
        <v>0</v>
      </c>
      <c r="AG13" s="194"/>
      <c r="AH13" s="194"/>
      <c r="AI13" s="194"/>
      <c r="AJ13" s="367"/>
      <c r="AK13" s="194"/>
      <c r="AL13" s="194">
        <f t="shared" si="2"/>
        <v>0</v>
      </c>
      <c r="AN13" s="194"/>
      <c r="AO13" s="194"/>
      <c r="AP13" s="194"/>
      <c r="AQ13" s="367"/>
      <c r="AR13" s="194"/>
      <c r="AS13" s="194">
        <f t="shared" si="3"/>
        <v>0</v>
      </c>
      <c r="AU13" s="194"/>
      <c r="AV13" s="194"/>
      <c r="AW13" s="194"/>
      <c r="AX13" s="367"/>
      <c r="AY13" s="194"/>
      <c r="AZ13" s="194">
        <f t="shared" si="4"/>
        <v>0</v>
      </c>
    </row>
    <row r="14" spans="1:52" ht="12" customHeight="1" x14ac:dyDescent="0.35">
      <c r="A14" s="220">
        <v>9257021</v>
      </c>
      <c r="B14" s="1916" t="s">
        <v>56</v>
      </c>
      <c r="C14" s="1917"/>
      <c r="D14" s="1917"/>
      <c r="E14" s="1917"/>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67"/>
      <c r="AD14" s="194"/>
      <c r="AE14" s="194">
        <f t="shared" si="1"/>
        <v>35258</v>
      </c>
      <c r="AG14" s="194">
        <v>35258</v>
      </c>
      <c r="AH14" s="194"/>
      <c r="AI14" s="194"/>
      <c r="AJ14" s="367"/>
      <c r="AK14" s="565"/>
      <c r="AL14" s="194">
        <f t="shared" si="2"/>
        <v>35258</v>
      </c>
      <c r="AN14" s="194">
        <v>26443.5</v>
      </c>
      <c r="AO14" s="194"/>
      <c r="AP14" s="194"/>
      <c r="AQ14" s="367"/>
      <c r="AR14" s="565"/>
      <c r="AS14" s="194">
        <f t="shared" si="3"/>
        <v>26443.5</v>
      </c>
      <c r="AU14" s="194">
        <v>35258</v>
      </c>
      <c r="AV14" s="194"/>
      <c r="AW14" s="194"/>
      <c r="AX14" s="367"/>
      <c r="AY14" s="565"/>
      <c r="AZ14" s="194">
        <f t="shared" si="4"/>
        <v>35258</v>
      </c>
    </row>
    <row r="15" spans="1:52" s="187" customFormat="1" ht="12" customHeight="1" x14ac:dyDescent="0.3">
      <c r="A15" s="220">
        <v>9257033</v>
      </c>
      <c r="B15" s="1916" t="s">
        <v>164</v>
      </c>
      <c r="C15" s="1917"/>
      <c r="D15" s="1917"/>
      <c r="E15" s="1917"/>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c r="AN15" s="194">
        <v>26443.5</v>
      </c>
      <c r="AO15" s="194"/>
      <c r="AP15" s="194"/>
      <c r="AQ15" s="194">
        <v>0</v>
      </c>
      <c r="AR15" s="194"/>
      <c r="AS15" s="194">
        <f t="shared" si="3"/>
        <v>26443.5</v>
      </c>
      <c r="AU15" s="194">
        <v>35258</v>
      </c>
      <c r="AV15" s="194"/>
      <c r="AW15" s="194"/>
      <c r="AX15" s="194">
        <v>0</v>
      </c>
      <c r="AY15" s="194"/>
      <c r="AZ15" s="194">
        <f t="shared" si="4"/>
        <v>35258</v>
      </c>
    </row>
    <row r="16" spans="1:52" s="187" customFormat="1" ht="12" customHeight="1" x14ac:dyDescent="0.3">
      <c r="A16" s="220">
        <v>9257017</v>
      </c>
      <c r="B16" s="1916" t="s">
        <v>54</v>
      </c>
      <c r="C16" s="1917"/>
      <c r="D16" s="1917"/>
      <c r="E16" s="1917"/>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c r="AN16" s="194"/>
      <c r="AO16" s="194"/>
      <c r="AP16" s="194"/>
      <c r="AQ16" s="194"/>
      <c r="AR16" s="194"/>
      <c r="AS16" s="194">
        <f t="shared" si="3"/>
        <v>0</v>
      </c>
      <c r="AU16" s="194"/>
      <c r="AV16" s="194"/>
      <c r="AW16" s="194"/>
      <c r="AX16" s="194"/>
      <c r="AY16" s="194"/>
      <c r="AZ16" s="194">
        <f t="shared" si="4"/>
        <v>0</v>
      </c>
    </row>
    <row r="17" spans="1:52" ht="12" customHeight="1" x14ac:dyDescent="0.35">
      <c r="A17" s="220">
        <v>9257015</v>
      </c>
      <c r="B17" s="1916" t="s">
        <v>94</v>
      </c>
      <c r="C17" s="1917"/>
      <c r="D17" s="1917"/>
      <c r="E17" s="1917"/>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67"/>
      <c r="AD17" s="194"/>
      <c r="AE17" s="194">
        <f t="shared" si="1"/>
        <v>56716.333333333336</v>
      </c>
      <c r="AG17" s="194">
        <v>35258</v>
      </c>
      <c r="AH17" s="194"/>
      <c r="AI17" s="194">
        <v>0</v>
      </c>
      <c r="AJ17" s="367"/>
      <c r="AK17" s="194"/>
      <c r="AL17" s="194">
        <f t="shared" si="2"/>
        <v>35258</v>
      </c>
      <c r="AN17" s="194">
        <v>26443.5</v>
      </c>
      <c r="AO17" s="194"/>
      <c r="AP17" s="194">
        <v>0</v>
      </c>
      <c r="AQ17" s="367"/>
      <c r="AR17" s="194"/>
      <c r="AS17" s="194">
        <f t="shared" si="3"/>
        <v>26443.5</v>
      </c>
      <c r="AU17" s="194">
        <v>35258</v>
      </c>
      <c r="AV17" s="194"/>
      <c r="AW17" s="194">
        <v>0</v>
      </c>
      <c r="AX17" s="367"/>
      <c r="AY17" s="194"/>
      <c r="AZ17" s="194">
        <f t="shared" si="4"/>
        <v>35258</v>
      </c>
    </row>
    <row r="18" spans="1:52" ht="12" customHeight="1" x14ac:dyDescent="0.35">
      <c r="A18" s="220">
        <v>9257016</v>
      </c>
      <c r="B18" s="1916" t="s">
        <v>95</v>
      </c>
      <c r="C18" s="1917"/>
      <c r="D18" s="1917"/>
      <c r="E18" s="1917"/>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67"/>
      <c r="AD18" s="194">
        <f>U18</f>
        <v>582568</v>
      </c>
      <c r="AE18" s="194">
        <f t="shared" si="1"/>
        <v>644624.66666666663</v>
      </c>
      <c r="AG18" s="194"/>
      <c r="AH18" s="194">
        <v>0</v>
      </c>
      <c r="AI18" s="194">
        <v>140436</v>
      </c>
      <c r="AJ18" s="367"/>
      <c r="AK18" s="194">
        <v>582568</v>
      </c>
      <c r="AL18" s="194">
        <f t="shared" si="2"/>
        <v>723004</v>
      </c>
      <c r="AN18" s="194"/>
      <c r="AO18" s="194">
        <v>0</v>
      </c>
      <c r="AP18" s="194">
        <v>140436</v>
      </c>
      <c r="AQ18" s="367"/>
      <c r="AR18" s="194">
        <v>582568</v>
      </c>
      <c r="AS18" s="194">
        <f t="shared" si="3"/>
        <v>723004</v>
      </c>
      <c r="AU18" s="194"/>
      <c r="AV18" s="194">
        <v>0</v>
      </c>
      <c r="AW18" s="194">
        <v>140436</v>
      </c>
      <c r="AX18" s="367"/>
      <c r="AY18" s="194">
        <v>582568</v>
      </c>
      <c r="AZ18" s="194">
        <f t="shared" si="4"/>
        <v>723004</v>
      </c>
    </row>
    <row r="19" spans="1:52" ht="12" customHeight="1" x14ac:dyDescent="0.35">
      <c r="A19" s="220">
        <v>9257032</v>
      </c>
      <c r="B19" s="1918" t="s">
        <v>165</v>
      </c>
      <c r="C19" s="1919"/>
      <c r="D19" s="1919"/>
      <c r="E19" s="1920"/>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67"/>
      <c r="AD19" s="194"/>
      <c r="AE19" s="194">
        <f t="shared" si="1"/>
        <v>25000</v>
      </c>
      <c r="AG19" s="194"/>
      <c r="AH19" s="194">
        <v>0</v>
      </c>
      <c r="AI19" s="194"/>
      <c r="AJ19" s="367"/>
      <c r="AK19" s="194"/>
      <c r="AL19" s="194">
        <f t="shared" si="2"/>
        <v>0</v>
      </c>
      <c r="AN19" s="194"/>
      <c r="AO19" s="194">
        <v>0</v>
      </c>
      <c r="AP19" s="194"/>
      <c r="AQ19" s="367"/>
      <c r="AR19" s="194"/>
      <c r="AS19" s="194">
        <f t="shared" si="3"/>
        <v>0</v>
      </c>
      <c r="AU19" s="194"/>
      <c r="AV19" s="194">
        <v>0</v>
      </c>
      <c r="AW19" s="194"/>
      <c r="AX19" s="367"/>
      <c r="AY19" s="194"/>
      <c r="AZ19" s="194">
        <f t="shared" si="4"/>
        <v>0</v>
      </c>
    </row>
    <row r="20" spans="1:52" ht="12" customHeight="1" x14ac:dyDescent="0.35">
      <c r="A20" s="220">
        <v>9257025</v>
      </c>
      <c r="B20" s="1916" t="s">
        <v>52</v>
      </c>
      <c r="C20" s="1917"/>
      <c r="D20" s="1917"/>
      <c r="E20" s="1917"/>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c r="AN20" s="194">
        <v>26443.5</v>
      </c>
      <c r="AO20" s="194"/>
      <c r="AP20" s="194"/>
      <c r="AQ20" s="194">
        <v>0</v>
      </c>
      <c r="AR20" s="194">
        <f>327644+209307</f>
        <v>536951</v>
      </c>
      <c r="AS20" s="194">
        <f t="shared" si="3"/>
        <v>563394.5</v>
      </c>
      <c r="AU20" s="194">
        <v>35258</v>
      </c>
      <c r="AV20" s="194"/>
      <c r="AW20" s="194"/>
      <c r="AX20" s="194">
        <v>0</v>
      </c>
      <c r="AY20" s="194">
        <f>327644+209307</f>
        <v>536951</v>
      </c>
      <c r="AZ20" s="194">
        <f t="shared" si="4"/>
        <v>572209</v>
      </c>
    </row>
    <row r="21" spans="1:52" ht="12" customHeight="1" x14ac:dyDescent="0.35">
      <c r="A21" s="220">
        <v>9257011</v>
      </c>
      <c r="B21" s="1916" t="s">
        <v>89</v>
      </c>
      <c r="C21" s="1917"/>
      <c r="D21" s="1917"/>
      <c r="E21" s="1917"/>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c r="AN21" s="194">
        <v>26443.5</v>
      </c>
      <c r="AO21" s="194"/>
      <c r="AP21" s="194"/>
      <c r="AQ21" s="194">
        <v>0</v>
      </c>
      <c r="AR21" s="194"/>
      <c r="AS21" s="194">
        <f t="shared" si="3"/>
        <v>26443.5</v>
      </c>
      <c r="AU21" s="194">
        <v>35258</v>
      </c>
      <c r="AV21" s="194"/>
      <c r="AW21" s="194"/>
      <c r="AX21" s="194">
        <v>0</v>
      </c>
      <c r="AY21" s="194"/>
      <c r="AZ21" s="194">
        <f t="shared" si="4"/>
        <v>35258</v>
      </c>
    </row>
    <row r="22" spans="1:52" ht="12" customHeight="1" x14ac:dyDescent="0.35">
      <c r="A22" s="220">
        <v>9257009</v>
      </c>
      <c r="B22" s="1916" t="s">
        <v>93</v>
      </c>
      <c r="C22" s="1917"/>
      <c r="D22" s="1917"/>
      <c r="E22" s="1917"/>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c r="AN22" s="194"/>
      <c r="AO22" s="194"/>
      <c r="AP22" s="194"/>
      <c r="AQ22" s="194">
        <v>0</v>
      </c>
      <c r="AR22" s="194"/>
      <c r="AS22" s="194">
        <f t="shared" si="3"/>
        <v>0</v>
      </c>
      <c r="AU22" s="194"/>
      <c r="AV22" s="194"/>
      <c r="AW22" s="194"/>
      <c r="AX22" s="194">
        <v>0</v>
      </c>
      <c r="AY22" s="194"/>
      <c r="AZ22" s="194">
        <f t="shared" si="4"/>
        <v>0</v>
      </c>
    </row>
    <row r="23" spans="1:52" ht="12" customHeight="1" x14ac:dyDescent="0.35">
      <c r="A23" s="220">
        <v>9257024</v>
      </c>
      <c r="B23" s="1916" t="s">
        <v>90</v>
      </c>
      <c r="C23" s="1917"/>
      <c r="D23" s="1917"/>
      <c r="E23" s="1917"/>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67"/>
      <c r="AD23" s="194"/>
      <c r="AE23" s="194">
        <f t="shared" si="1"/>
        <v>60258</v>
      </c>
      <c r="AG23" s="194">
        <v>35258</v>
      </c>
      <c r="AH23" s="194">
        <v>0</v>
      </c>
      <c r="AI23" s="194"/>
      <c r="AJ23" s="367"/>
      <c r="AK23" s="194"/>
      <c r="AL23" s="194">
        <f t="shared" si="2"/>
        <v>35258</v>
      </c>
      <c r="AN23" s="194">
        <v>26443.5</v>
      </c>
      <c r="AO23" s="194">
        <v>0</v>
      </c>
      <c r="AP23" s="194"/>
      <c r="AQ23" s="367"/>
      <c r="AR23" s="194"/>
      <c r="AS23" s="194">
        <f t="shared" si="3"/>
        <v>26443.5</v>
      </c>
      <c r="AU23" s="194">
        <v>35258</v>
      </c>
      <c r="AV23" s="194">
        <v>0</v>
      </c>
      <c r="AW23" s="194"/>
      <c r="AX23" s="367"/>
      <c r="AY23" s="194"/>
      <c r="AZ23" s="194">
        <f t="shared" si="4"/>
        <v>35258</v>
      </c>
    </row>
    <row r="24" spans="1:52" ht="12" customHeight="1" x14ac:dyDescent="0.35">
      <c r="A24" s="220">
        <v>9257028</v>
      </c>
      <c r="B24" s="1916" t="s">
        <v>135</v>
      </c>
      <c r="C24" s="1917"/>
      <c r="D24" s="1917"/>
      <c r="E24" s="1917"/>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67"/>
      <c r="AD24" s="194"/>
      <c r="AE24" s="194">
        <f t="shared" si="1"/>
        <v>35258</v>
      </c>
      <c r="AG24" s="194">
        <v>35258</v>
      </c>
      <c r="AH24" s="194"/>
      <c r="AI24" s="194"/>
      <c r="AJ24" s="367"/>
      <c r="AK24" s="194"/>
      <c r="AL24" s="194">
        <f t="shared" si="2"/>
        <v>35258</v>
      </c>
      <c r="AN24" s="194">
        <v>26443.5</v>
      </c>
      <c r="AO24" s="194"/>
      <c r="AP24" s="194"/>
      <c r="AQ24" s="367"/>
      <c r="AR24" s="194"/>
      <c r="AS24" s="194">
        <f t="shared" si="3"/>
        <v>26443.5</v>
      </c>
      <c r="AU24" s="194">
        <v>35258</v>
      </c>
      <c r="AV24" s="194"/>
      <c r="AW24" s="194"/>
      <c r="AX24" s="367"/>
      <c r="AY24" s="194"/>
      <c r="AZ24" s="194">
        <f t="shared" si="4"/>
        <v>35258</v>
      </c>
    </row>
    <row r="25" spans="1:52" ht="12" customHeight="1" x14ac:dyDescent="0.35">
      <c r="A25" s="220">
        <v>9257029</v>
      </c>
      <c r="B25" s="1921" t="s">
        <v>91</v>
      </c>
      <c r="C25" s="1922"/>
      <c r="D25" s="1922"/>
      <c r="E25" s="1923"/>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67"/>
      <c r="AD25" s="194"/>
      <c r="AE25" s="194">
        <f t="shared" si="1"/>
        <v>25000</v>
      </c>
      <c r="AG25" s="194"/>
      <c r="AH25" s="194">
        <v>0</v>
      </c>
      <c r="AI25" s="194"/>
      <c r="AJ25" s="367"/>
      <c r="AK25" s="194"/>
      <c r="AL25" s="194">
        <f t="shared" si="2"/>
        <v>0</v>
      </c>
      <c r="AN25" s="194"/>
      <c r="AO25" s="194">
        <v>0</v>
      </c>
      <c r="AP25" s="194"/>
      <c r="AQ25" s="367"/>
      <c r="AR25" s="194"/>
      <c r="AS25" s="194">
        <f t="shared" si="3"/>
        <v>0</v>
      </c>
      <c r="AU25" s="194"/>
      <c r="AV25" s="194">
        <v>0</v>
      </c>
      <c r="AW25" s="194"/>
      <c r="AX25" s="367"/>
      <c r="AY25" s="194"/>
      <c r="AZ25" s="194">
        <f t="shared" si="4"/>
        <v>0</v>
      </c>
    </row>
    <row r="26" spans="1:52" ht="12" customHeight="1" x14ac:dyDescent="0.35">
      <c r="B26" s="1924" t="s">
        <v>62</v>
      </c>
      <c r="C26" s="1924"/>
      <c r="D26" s="1924"/>
      <c r="E26" s="1924"/>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c r="AN26" s="194">
        <f>SUM(AN7:AN25)</f>
        <v>237991.5</v>
      </c>
      <c r="AO26" s="194">
        <f>SUM(AO7:AO25)</f>
        <v>0</v>
      </c>
      <c r="AP26" s="194">
        <f>SUM(AP7:AP25)</f>
        <v>757936</v>
      </c>
      <c r="AQ26" s="194">
        <f>SUM(AQ7:AQ25)</f>
        <v>0</v>
      </c>
      <c r="AR26" s="194">
        <f>SUM(AR7:AR25)</f>
        <v>1119519</v>
      </c>
      <c r="AS26" s="194">
        <f t="shared" si="3"/>
        <v>2115446.5</v>
      </c>
      <c r="AU26" s="194">
        <f>SUM(AU7:AU25)</f>
        <v>317322</v>
      </c>
      <c r="AV26" s="194">
        <f>SUM(AV7:AV25)</f>
        <v>0</v>
      </c>
      <c r="AW26" s="194">
        <f>SUM(AW7:AW25)</f>
        <v>757936</v>
      </c>
      <c r="AX26" s="194">
        <f>SUM(AX7:AX25)</f>
        <v>0</v>
      </c>
      <c r="AY26" s="194">
        <f>SUM(AY7:AY25)</f>
        <v>1119519</v>
      </c>
      <c r="AZ26" s="194">
        <f t="shared" si="4"/>
        <v>2194777</v>
      </c>
    </row>
    <row r="27" spans="1:52" ht="15" customHeight="1" x14ac:dyDescent="0.35"/>
    <row r="28" spans="1:52" ht="15" hidden="1" customHeight="1" x14ac:dyDescent="0.35">
      <c r="B28" s="199" t="s">
        <v>115</v>
      </c>
    </row>
    <row r="29" spans="1:52" ht="15" hidden="1" customHeight="1" x14ac:dyDescent="0.35">
      <c r="B29" s="200" t="s">
        <v>213</v>
      </c>
    </row>
    <row r="30" spans="1:52" ht="15" hidden="1" customHeight="1" x14ac:dyDescent="0.35">
      <c r="B30" s="1930" t="s">
        <v>223</v>
      </c>
      <c r="C30" s="1930"/>
      <c r="D30" s="1930"/>
      <c r="E30" s="1930"/>
      <c r="F30" s="1930"/>
      <c r="G30" s="1930"/>
      <c r="H30" s="1930"/>
      <c r="I30" s="1930"/>
      <c r="J30" s="1930"/>
      <c r="K30" s="1930"/>
      <c r="L30" s="1930"/>
      <c r="M30" s="1930"/>
      <c r="N30" s="1930"/>
      <c r="O30" s="1930"/>
      <c r="P30" s="1930"/>
      <c r="Q30" s="1930"/>
      <c r="R30" s="1930"/>
      <c r="S30" s="1930"/>
      <c r="T30" s="1930"/>
      <c r="U30" s="1930"/>
      <c r="V30" s="1930"/>
    </row>
    <row r="31" spans="1:52" ht="15" hidden="1" customHeight="1" x14ac:dyDescent="0.35">
      <c r="B31" s="1930"/>
      <c r="C31" s="1930"/>
      <c r="D31" s="1930"/>
      <c r="E31" s="1930"/>
      <c r="F31" s="1930"/>
      <c r="G31" s="1930"/>
      <c r="H31" s="1930"/>
      <c r="I31" s="1930"/>
      <c r="J31" s="1930"/>
      <c r="K31" s="1930"/>
      <c r="L31" s="1930"/>
      <c r="M31" s="1930"/>
      <c r="N31" s="1930"/>
      <c r="O31" s="1930"/>
      <c r="P31" s="1930"/>
      <c r="Q31" s="1930"/>
      <c r="R31" s="1930"/>
      <c r="S31" s="1930"/>
      <c r="T31" s="1930"/>
      <c r="U31" s="1930"/>
      <c r="V31" s="1930"/>
    </row>
    <row r="32" spans="1:52" ht="15" hidden="1" customHeight="1" x14ac:dyDescent="0.35">
      <c r="B32" s="1930"/>
      <c r="C32" s="1930"/>
      <c r="D32" s="1930"/>
      <c r="E32" s="1930"/>
      <c r="F32" s="1930"/>
      <c r="G32" s="1930"/>
      <c r="H32" s="1930"/>
      <c r="I32" s="1930"/>
      <c r="J32" s="1930"/>
      <c r="K32" s="1930"/>
      <c r="L32" s="1930"/>
      <c r="M32" s="1930"/>
      <c r="N32" s="1930"/>
      <c r="O32" s="1930"/>
      <c r="P32" s="1930"/>
      <c r="Q32" s="1930"/>
      <c r="R32" s="1930"/>
      <c r="S32" s="1930"/>
      <c r="T32" s="1930"/>
      <c r="U32" s="1930"/>
      <c r="V32" s="1930"/>
    </row>
    <row r="33" spans="1:28" ht="18.75" hidden="1" customHeight="1" x14ac:dyDescent="0.35">
      <c r="B33" s="1930"/>
      <c r="C33" s="1930"/>
      <c r="D33" s="1930"/>
      <c r="E33" s="1930"/>
      <c r="F33" s="1930"/>
      <c r="G33" s="1930"/>
      <c r="H33" s="1930"/>
      <c r="I33" s="1930"/>
      <c r="J33" s="1930"/>
      <c r="K33" s="1930"/>
      <c r="L33" s="1930"/>
      <c r="M33" s="1930"/>
      <c r="N33" s="1930"/>
      <c r="O33" s="1930"/>
      <c r="P33" s="1930"/>
      <c r="Q33" s="1930"/>
      <c r="R33" s="1930"/>
      <c r="S33" s="1930"/>
      <c r="T33" s="1930"/>
      <c r="U33" s="1930"/>
      <c r="V33" s="1930"/>
    </row>
    <row r="34" spans="1:28" ht="15" hidden="1" customHeight="1" x14ac:dyDescent="0.35">
      <c r="B34" s="201"/>
      <c r="C34" s="201"/>
      <c r="D34" s="201"/>
      <c r="E34" s="201"/>
      <c r="F34" s="201"/>
      <c r="G34" s="201"/>
      <c r="H34" s="201"/>
      <c r="I34" s="201"/>
      <c r="J34" s="875"/>
      <c r="K34" s="875"/>
      <c r="L34" s="875"/>
      <c r="M34" s="201"/>
      <c r="N34" s="201"/>
    </row>
    <row r="35" spans="1:28" ht="15" hidden="1" customHeight="1" x14ac:dyDescent="0.35">
      <c r="B35" s="200" t="s">
        <v>139</v>
      </c>
    </row>
    <row r="36" spans="1:28" ht="15" hidden="1" customHeight="1" x14ac:dyDescent="0.35">
      <c r="B36" s="1930" t="s">
        <v>214</v>
      </c>
      <c r="C36" s="1930"/>
      <c r="D36" s="1930"/>
      <c r="E36" s="1930"/>
      <c r="F36" s="1930"/>
      <c r="G36" s="1930"/>
      <c r="H36" s="1930"/>
      <c r="I36" s="1930"/>
      <c r="J36" s="1930"/>
      <c r="K36" s="1930"/>
      <c r="L36" s="1930"/>
      <c r="M36" s="1930"/>
      <c r="N36" s="1930"/>
      <c r="O36" s="1930"/>
      <c r="P36" s="1930"/>
      <c r="Q36" s="1930"/>
      <c r="R36" s="1930"/>
      <c r="S36" s="1930"/>
      <c r="T36" s="1930"/>
      <c r="U36" s="1930"/>
      <c r="V36" s="1930"/>
    </row>
    <row r="37" spans="1:28" ht="15" hidden="1" customHeight="1" x14ac:dyDescent="0.35">
      <c r="B37" s="1930"/>
      <c r="C37" s="1930"/>
      <c r="D37" s="1930"/>
      <c r="E37" s="1930"/>
      <c r="F37" s="1930"/>
      <c r="G37" s="1930"/>
      <c r="H37" s="1930"/>
      <c r="I37" s="1930"/>
      <c r="J37" s="1930"/>
      <c r="K37" s="1930"/>
      <c r="L37" s="1930"/>
      <c r="M37" s="1930"/>
      <c r="N37" s="1930"/>
      <c r="O37" s="1930"/>
      <c r="P37" s="1930"/>
      <c r="Q37" s="1930"/>
      <c r="R37" s="1930"/>
      <c r="S37" s="1930"/>
      <c r="T37" s="1930"/>
      <c r="U37" s="1930"/>
      <c r="V37" s="1930"/>
    </row>
    <row r="38" spans="1:28" ht="23.25" hidden="1" customHeight="1" x14ac:dyDescent="0.35">
      <c r="B38" s="1930"/>
      <c r="C38" s="1930"/>
      <c r="D38" s="1930"/>
      <c r="E38" s="1930"/>
      <c r="F38" s="1930"/>
      <c r="G38" s="1930"/>
      <c r="H38" s="1930"/>
      <c r="I38" s="1930"/>
      <c r="J38" s="1930"/>
      <c r="K38" s="1930"/>
      <c r="L38" s="1930"/>
      <c r="M38" s="1930"/>
      <c r="N38" s="1930"/>
      <c r="O38" s="1930"/>
      <c r="P38" s="1930"/>
      <c r="Q38" s="1930"/>
      <c r="R38" s="1930"/>
      <c r="S38" s="1930"/>
      <c r="T38" s="1930"/>
      <c r="U38" s="1930"/>
      <c r="V38" s="1930"/>
    </row>
    <row r="39" spans="1:28" s="205" customFormat="1" ht="15.5" hidden="1" x14ac:dyDescent="0.3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5" hidden="1" x14ac:dyDescent="0.3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35">
      <c r="A41" s="188"/>
      <c r="B41" s="1931" t="s">
        <v>216</v>
      </c>
      <c r="C41" s="1931"/>
      <c r="D41" s="1931"/>
      <c r="E41" s="1931"/>
      <c r="F41" s="1931"/>
      <c r="G41" s="1931"/>
      <c r="H41" s="1931"/>
      <c r="I41" s="1931"/>
      <c r="J41" s="1931"/>
      <c r="K41" s="1931"/>
      <c r="L41" s="1931"/>
      <c r="M41" s="1931"/>
      <c r="N41" s="1931"/>
      <c r="O41" s="1931"/>
      <c r="P41" s="1931"/>
      <c r="Q41" s="1931"/>
      <c r="R41" s="1931"/>
      <c r="S41" s="1931"/>
      <c r="T41" s="1931"/>
      <c r="U41" s="1931"/>
      <c r="V41" s="1931"/>
      <c r="W41" s="204"/>
      <c r="X41" s="204"/>
      <c r="Y41" s="188"/>
      <c r="Z41" s="204"/>
      <c r="AA41" s="204"/>
      <c r="AB41" s="204"/>
    </row>
    <row r="42" spans="1:28" s="205" customFormat="1" ht="15.5" hidden="1" x14ac:dyDescent="0.35">
      <c r="A42" s="188"/>
      <c r="B42" s="1931"/>
      <c r="C42" s="1931"/>
      <c r="D42" s="1931"/>
      <c r="E42" s="1931"/>
      <c r="F42" s="1931"/>
      <c r="G42" s="1931"/>
      <c r="H42" s="1931"/>
      <c r="I42" s="1931"/>
      <c r="J42" s="1931"/>
      <c r="K42" s="1931"/>
      <c r="L42" s="1931"/>
      <c r="M42" s="1931"/>
      <c r="N42" s="1931"/>
      <c r="O42" s="1931"/>
      <c r="P42" s="1931"/>
      <c r="Q42" s="1931"/>
      <c r="R42" s="1931"/>
      <c r="S42" s="1931"/>
      <c r="T42" s="1931"/>
      <c r="U42" s="1931"/>
      <c r="V42" s="1931"/>
      <c r="W42" s="204"/>
      <c r="X42" s="204"/>
      <c r="Y42" s="188"/>
      <c r="Z42" s="204"/>
      <c r="AA42" s="204"/>
      <c r="AB42" s="204"/>
    </row>
    <row r="43" spans="1:28" s="205" customFormat="1" ht="15.5" hidden="1" x14ac:dyDescent="0.35">
      <c r="A43" s="188"/>
      <c r="B43" s="1931"/>
      <c r="C43" s="1931"/>
      <c r="D43" s="1931"/>
      <c r="E43" s="1931"/>
      <c r="F43" s="1931"/>
      <c r="G43" s="1931"/>
      <c r="H43" s="1931"/>
      <c r="I43" s="1931"/>
      <c r="J43" s="1931"/>
      <c r="K43" s="1931"/>
      <c r="L43" s="1931"/>
      <c r="M43" s="1931"/>
      <c r="N43" s="1931"/>
      <c r="O43" s="1931"/>
      <c r="P43" s="1931"/>
      <c r="Q43" s="1931"/>
      <c r="R43" s="1931"/>
      <c r="S43" s="1931"/>
      <c r="T43" s="1931"/>
      <c r="U43" s="1931"/>
      <c r="V43" s="1931"/>
      <c r="W43" s="204"/>
      <c r="X43" s="204"/>
      <c r="Y43" s="188"/>
      <c r="Z43" s="204"/>
      <c r="AA43" s="204"/>
      <c r="AB43" s="204"/>
    </row>
    <row r="44" spans="1:28" s="205" customFormat="1" ht="15.5" hidden="1" x14ac:dyDescent="0.35">
      <c r="A44" s="188"/>
      <c r="B44" s="1931"/>
      <c r="C44" s="1931"/>
      <c r="D44" s="1931"/>
      <c r="E44" s="1931"/>
      <c r="F44" s="1931"/>
      <c r="G44" s="1931"/>
      <c r="H44" s="1931"/>
      <c r="I44" s="1931"/>
      <c r="J44" s="1931"/>
      <c r="K44" s="1931"/>
      <c r="L44" s="1931"/>
      <c r="M44" s="1931"/>
      <c r="N44" s="1931"/>
      <c r="O44" s="1931"/>
      <c r="P44" s="1931"/>
      <c r="Q44" s="1931"/>
      <c r="R44" s="1931"/>
      <c r="S44" s="1931"/>
      <c r="T44" s="1931"/>
      <c r="U44" s="1931"/>
      <c r="V44" s="1931"/>
      <c r="W44" s="204"/>
      <c r="X44" s="204"/>
      <c r="Y44" s="188"/>
      <c r="Z44" s="204"/>
      <c r="AA44" s="204"/>
      <c r="AB44" s="204"/>
    </row>
    <row r="45" spans="1:28" s="205" customFormat="1" ht="15" hidden="1" customHeight="1" x14ac:dyDescent="0.3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35">
      <c r="B46" s="1930" t="s">
        <v>217</v>
      </c>
      <c r="C46" s="1930"/>
      <c r="D46" s="1930"/>
      <c r="E46" s="1930"/>
      <c r="F46" s="1930"/>
      <c r="G46" s="1930"/>
      <c r="H46" s="1930"/>
      <c r="I46" s="1930"/>
      <c r="J46" s="1930"/>
      <c r="K46" s="1930"/>
      <c r="L46" s="1930"/>
      <c r="M46" s="1930"/>
      <c r="N46" s="1930"/>
      <c r="O46" s="1930"/>
      <c r="P46" s="1930"/>
      <c r="Q46" s="1930"/>
      <c r="R46" s="1930"/>
      <c r="S46" s="1930"/>
      <c r="T46" s="1930"/>
      <c r="U46" s="1930"/>
      <c r="V46" s="1930"/>
    </row>
    <row r="47" spans="1:28" ht="15.5" hidden="1" x14ac:dyDescent="0.35">
      <c r="B47" s="1930"/>
      <c r="C47" s="1930"/>
      <c r="D47" s="1930"/>
      <c r="E47" s="1930"/>
      <c r="F47" s="1930"/>
      <c r="G47" s="1930"/>
      <c r="H47" s="1930"/>
      <c r="I47" s="1930"/>
      <c r="J47" s="1930"/>
      <c r="K47" s="1930"/>
      <c r="L47" s="1930"/>
      <c r="M47" s="1930"/>
      <c r="N47" s="1930"/>
      <c r="O47" s="1930"/>
      <c r="P47" s="1930"/>
      <c r="Q47" s="1930"/>
      <c r="R47" s="1930"/>
      <c r="S47" s="1930"/>
      <c r="T47" s="1930"/>
      <c r="U47" s="1930"/>
      <c r="V47" s="1930"/>
    </row>
    <row r="48" spans="1:28" ht="15" hidden="1" customHeight="1" x14ac:dyDescent="0.35">
      <c r="B48" s="1930" t="s">
        <v>221</v>
      </c>
      <c r="C48" s="1930"/>
      <c r="D48" s="1930"/>
      <c r="E48" s="1930"/>
      <c r="F48" s="1930"/>
      <c r="G48" s="1930"/>
      <c r="H48" s="1930"/>
      <c r="I48" s="1930"/>
      <c r="J48" s="1930"/>
      <c r="K48" s="1930"/>
      <c r="L48" s="1930"/>
      <c r="M48" s="1930"/>
      <c r="N48" s="1930"/>
      <c r="O48" s="1930"/>
      <c r="P48" s="1930"/>
      <c r="Q48" s="1930"/>
      <c r="R48" s="1930"/>
      <c r="S48" s="1930"/>
      <c r="T48" s="1930"/>
      <c r="U48" s="1930"/>
      <c r="V48" s="1930"/>
    </row>
    <row r="49" spans="1:39" ht="37.5" hidden="1" customHeight="1" x14ac:dyDescent="0.35">
      <c r="B49" s="1930"/>
      <c r="C49" s="1930"/>
      <c r="D49" s="1930"/>
      <c r="E49" s="1930"/>
      <c r="F49" s="1930"/>
      <c r="G49" s="1930"/>
      <c r="H49" s="1930"/>
      <c r="I49" s="1930"/>
      <c r="J49" s="1930"/>
      <c r="K49" s="1930"/>
      <c r="L49" s="1930"/>
      <c r="M49" s="1930"/>
      <c r="N49" s="1930"/>
      <c r="O49" s="1930"/>
      <c r="P49" s="1930"/>
      <c r="Q49" s="1930"/>
      <c r="R49" s="1930"/>
      <c r="S49" s="1930"/>
      <c r="T49" s="1930"/>
      <c r="U49" s="1930"/>
      <c r="V49" s="1930"/>
    </row>
    <row r="50" spans="1:39" ht="15" hidden="1" customHeight="1" x14ac:dyDescent="0.35"/>
    <row r="51" spans="1:39" ht="15" hidden="1" customHeight="1" x14ac:dyDescent="0.35">
      <c r="B51" s="200" t="s">
        <v>184</v>
      </c>
      <c r="F51" s="211" t="s">
        <v>142</v>
      </c>
      <c r="G51" s="211" t="s">
        <v>225</v>
      </c>
    </row>
    <row r="52" spans="1:39" ht="15" hidden="1" customHeight="1" x14ac:dyDescent="0.35">
      <c r="A52" s="188">
        <v>9257021</v>
      </c>
      <c r="B52" s="1908" t="s">
        <v>56</v>
      </c>
      <c r="C52" s="1909"/>
      <c r="D52" s="1909"/>
      <c r="E52" s="1932"/>
      <c r="F52" s="194">
        <v>274420</v>
      </c>
      <c r="G52" s="194">
        <f>F52*(3/12)</f>
        <v>68605</v>
      </c>
      <c r="J52" s="188" t="s">
        <v>226</v>
      </c>
    </row>
    <row r="53" spans="1:39" ht="15" hidden="1" customHeight="1" x14ac:dyDescent="0.35">
      <c r="A53" s="188">
        <v>9257016</v>
      </c>
      <c r="B53" s="1916" t="s">
        <v>95</v>
      </c>
      <c r="C53" s="1917"/>
      <c r="D53" s="1917"/>
      <c r="E53" s="1927"/>
      <c r="F53" s="194">
        <v>582568</v>
      </c>
      <c r="G53" s="194">
        <f>F53</f>
        <v>582568</v>
      </c>
    </row>
    <row r="54" spans="1:39" ht="15" hidden="1" customHeight="1" x14ac:dyDescent="0.35">
      <c r="A54" s="188">
        <v>9257025</v>
      </c>
      <c r="B54" s="1916" t="s">
        <v>52</v>
      </c>
      <c r="C54" s="1917"/>
      <c r="D54" s="1917"/>
      <c r="E54" s="1927"/>
      <c r="F54" s="194">
        <v>327644</v>
      </c>
      <c r="G54" s="194">
        <f>F54</f>
        <v>327644</v>
      </c>
    </row>
    <row r="55" spans="1:39" ht="15" hidden="1" customHeight="1" x14ac:dyDescent="0.35">
      <c r="F55" s="210">
        <f>SUM(F52:F54)</f>
        <v>1184632</v>
      </c>
      <c r="G55" s="212">
        <f>SUM(G52:G54)</f>
        <v>978817</v>
      </c>
      <c r="H55" s="187" t="s">
        <v>227</v>
      </c>
    </row>
    <row r="56" spans="1:39" ht="15" hidden="1" customHeight="1" x14ac:dyDescent="0.35">
      <c r="F56" s="208"/>
      <c r="G56" s="208"/>
    </row>
    <row r="57" spans="1:39" ht="15" hidden="1" customHeight="1" x14ac:dyDescent="0.35">
      <c r="B57" s="187" t="s">
        <v>224</v>
      </c>
    </row>
    <row r="58" spans="1:39" ht="15" hidden="1" customHeight="1" x14ac:dyDescent="0.35"/>
    <row r="59" spans="1:39" ht="15" customHeight="1" x14ac:dyDescent="0.3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35">
      <c r="AC60" s="366"/>
      <c r="AD60" s="208"/>
      <c r="AE60" s="208"/>
      <c r="AG60" s="621"/>
      <c r="AH60" s="621"/>
      <c r="AI60" s="621"/>
      <c r="AJ60" s="621"/>
      <c r="AK60" s="621"/>
      <c r="AL60" s="621"/>
      <c r="AM60" s="621"/>
    </row>
    <row r="61" spans="1:39" ht="15" customHeight="1" x14ac:dyDescent="0.3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35">
      <c r="AA62" s="208">
        <f>((L18+L19+L23+L24+L25)*(7/12))+L11</f>
        <v>235000</v>
      </c>
      <c r="AB62" s="366">
        <f>Q26*(7/12)</f>
        <v>111962.66666666667</v>
      </c>
      <c r="AC62" s="366">
        <f>(7/12)*206000</f>
        <v>120166.66666666667</v>
      </c>
      <c r="AD62" s="208"/>
      <c r="AE62" s="208"/>
      <c r="AG62" s="621"/>
      <c r="AH62" s="620"/>
      <c r="AI62" s="620" t="s">
        <v>402</v>
      </c>
      <c r="AJ62" s="620"/>
      <c r="AK62" s="1925" t="s">
        <v>563</v>
      </c>
      <c r="AL62" s="1925"/>
      <c r="AM62" s="621"/>
    </row>
    <row r="63" spans="1:39" ht="15" customHeight="1" x14ac:dyDescent="0.35">
      <c r="AC63" s="208"/>
      <c r="AD63" s="208"/>
      <c r="AE63" s="208"/>
      <c r="AG63" s="621"/>
      <c r="AH63" s="620"/>
      <c r="AI63" s="620"/>
      <c r="AJ63" s="620"/>
      <c r="AK63" s="1925"/>
      <c r="AL63" s="1925"/>
      <c r="AM63" s="621"/>
    </row>
    <row r="64" spans="1:39" ht="12" customHeight="1" x14ac:dyDescent="0.35">
      <c r="Z64" s="208">
        <f>I26</f>
        <v>317322</v>
      </c>
      <c r="AA64" s="208">
        <f>L26</f>
        <v>360000</v>
      </c>
      <c r="AB64" s="208">
        <f>Q26</f>
        <v>191936</v>
      </c>
      <c r="AC64" s="366">
        <f>206000</f>
        <v>206000</v>
      </c>
      <c r="AD64" s="366">
        <f>U26</f>
        <v>910212</v>
      </c>
      <c r="AE64" s="366">
        <f>SUM(Z64:AD64)</f>
        <v>1985470</v>
      </c>
      <c r="AG64" s="621"/>
      <c r="AH64" s="620"/>
      <c r="AI64" s="620"/>
      <c r="AJ64" s="620"/>
      <c r="AK64" s="1925"/>
      <c r="AL64" s="1925"/>
      <c r="AM64" s="621"/>
    </row>
    <row r="65" spans="2:38" s="189" customFormat="1" ht="12" customHeight="1" x14ac:dyDescent="0.3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3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3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73">
    <mergeCell ref="V2:V3"/>
    <mergeCell ref="F4:F6"/>
    <mergeCell ref="G4:G6"/>
    <mergeCell ref="H4:H6"/>
    <mergeCell ref="I4:I6"/>
    <mergeCell ref="J4:J6"/>
    <mergeCell ref="K4:K6"/>
    <mergeCell ref="L4:L6"/>
    <mergeCell ref="M4:M6"/>
    <mergeCell ref="N4:N6"/>
    <mergeCell ref="AB4:AB6"/>
    <mergeCell ref="O4:O6"/>
    <mergeCell ref="P4:P6"/>
    <mergeCell ref="Q4:Q6"/>
    <mergeCell ref="R4:R6"/>
    <mergeCell ref="S4:S6"/>
    <mergeCell ref="U4:U6"/>
    <mergeCell ref="V4:V6"/>
    <mergeCell ref="X4:X6"/>
    <mergeCell ref="Y4:Y6"/>
    <mergeCell ref="Z4:Z6"/>
    <mergeCell ref="AA4:AA6"/>
    <mergeCell ref="AN4:AN6"/>
    <mergeCell ref="AO4:AO6"/>
    <mergeCell ref="AP4:AP6"/>
    <mergeCell ref="AC4:AC6"/>
    <mergeCell ref="AD4:AD6"/>
    <mergeCell ref="AE4:AE6"/>
    <mergeCell ref="AG4:AG6"/>
    <mergeCell ref="AH4:AH6"/>
    <mergeCell ref="AI4:AI6"/>
    <mergeCell ref="B14:E14"/>
    <mergeCell ref="AX4:AX6"/>
    <mergeCell ref="AY4:AY6"/>
    <mergeCell ref="AZ4:AZ6"/>
    <mergeCell ref="B6:E6"/>
    <mergeCell ref="B7:E7"/>
    <mergeCell ref="B8:E8"/>
    <mergeCell ref="AQ4:AQ6"/>
    <mergeCell ref="AR4:AR6"/>
    <mergeCell ref="AS4:AS6"/>
    <mergeCell ref="AU4:AU6"/>
    <mergeCell ref="AV4:AV6"/>
    <mergeCell ref="AW4:AW6"/>
    <mergeCell ref="AJ4:AJ6"/>
    <mergeCell ref="AK4:AK6"/>
    <mergeCell ref="AL4:AL6"/>
    <mergeCell ref="B9:E9"/>
    <mergeCell ref="B10:E10"/>
    <mergeCell ref="B11:E11"/>
    <mergeCell ref="B12:E12"/>
    <mergeCell ref="B13:E13"/>
    <mergeCell ref="B26:E26"/>
    <mergeCell ref="B15:E15"/>
    <mergeCell ref="B16:E16"/>
    <mergeCell ref="B17:E17"/>
    <mergeCell ref="B18:E18"/>
    <mergeCell ref="B19:E19"/>
    <mergeCell ref="B20:E20"/>
    <mergeCell ref="B21:E21"/>
    <mergeCell ref="B22:E22"/>
    <mergeCell ref="B23:E23"/>
    <mergeCell ref="B24:E24"/>
    <mergeCell ref="B25:E25"/>
    <mergeCell ref="B53:E53"/>
    <mergeCell ref="B54:E54"/>
    <mergeCell ref="AK62:AL64"/>
    <mergeCell ref="B30:V33"/>
    <mergeCell ref="B36:V38"/>
    <mergeCell ref="B41:V44"/>
    <mergeCell ref="B46:V47"/>
    <mergeCell ref="B48:V49"/>
    <mergeCell ref="B52:E52"/>
  </mergeCells>
  <pageMargins left="0.7" right="0.7" top="0.75" bottom="0.75" header="0.3" footer="0.3"/>
  <legacy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workbookViewId="0">
      <selection sqref="A1:XFD1048576"/>
    </sheetView>
  </sheetViews>
  <sheetFormatPr defaultRowHeight="12.5" x14ac:dyDescent="0.25"/>
  <cols>
    <col min="2" max="2" width="32.81640625" customWidth="1"/>
    <col min="3" max="3" width="11.54296875" bestFit="1" customWidth="1"/>
    <col min="6" max="6" width="10.54296875" customWidth="1"/>
    <col min="7" max="7" width="24.54296875" customWidth="1"/>
    <col min="9" max="9" width="9.54296875" bestFit="1" customWidth="1"/>
    <col min="10" max="10" width="10.81640625" customWidth="1"/>
    <col min="11" max="11" width="10.26953125" customWidth="1"/>
  </cols>
  <sheetData>
    <row r="1" spans="1:16" ht="18" thickBot="1" x14ac:dyDescent="0.4">
      <c r="A1" s="913"/>
      <c r="B1" s="919" t="s">
        <v>614</v>
      </c>
      <c r="C1" s="913"/>
      <c r="D1" s="913"/>
    </row>
    <row r="2" spans="1:16" ht="14.5" x14ac:dyDescent="0.35">
      <c r="A2" s="913"/>
      <c r="B2" s="920"/>
      <c r="C2" s="913"/>
      <c r="D2" s="913"/>
      <c r="F2" s="912"/>
      <c r="G2" s="911"/>
      <c r="H2" s="911"/>
      <c r="I2" s="911"/>
      <c r="J2" s="910">
        <v>4000</v>
      </c>
      <c r="K2" s="910">
        <v>33.75</v>
      </c>
      <c r="L2" s="909"/>
      <c r="M2" s="909"/>
      <c r="N2" s="908"/>
      <c r="O2" s="359"/>
    </row>
    <row r="3" spans="1:16" ht="26" x14ac:dyDescent="0.35">
      <c r="A3" s="930" t="s">
        <v>201</v>
      </c>
      <c r="B3" s="914" t="s">
        <v>66</v>
      </c>
      <c r="C3" s="907" t="s">
        <v>21</v>
      </c>
      <c r="D3" s="906" t="s">
        <v>359</v>
      </c>
      <c r="F3" s="905"/>
      <c r="G3" s="20"/>
      <c r="H3" s="20"/>
      <c r="I3" s="904" t="s">
        <v>812</v>
      </c>
      <c r="J3" s="903" t="s">
        <v>813</v>
      </c>
      <c r="K3" s="904" t="s">
        <v>204</v>
      </c>
      <c r="L3" s="904" t="s">
        <v>62</v>
      </c>
      <c r="M3" s="904"/>
      <c r="N3" s="902"/>
      <c r="O3" s="359"/>
    </row>
    <row r="4" spans="1:16" ht="13" x14ac:dyDescent="0.3">
      <c r="A4" s="931">
        <v>9257010</v>
      </c>
      <c r="B4" s="915" t="s">
        <v>67</v>
      </c>
      <c r="C4" s="925">
        <v>69201.680689977453</v>
      </c>
      <c r="D4" s="928">
        <f>C4*$C$32</f>
        <v>5965.833894800965</v>
      </c>
      <c r="F4" s="905"/>
      <c r="G4" s="901" t="s">
        <v>814</v>
      </c>
      <c r="H4" s="903">
        <v>1765</v>
      </c>
      <c r="I4" s="904">
        <v>18</v>
      </c>
      <c r="J4" s="900">
        <f>I4*$J$2</f>
        <v>72000</v>
      </c>
      <c r="K4" s="900">
        <f>H4*$K$2</f>
        <v>59568.75</v>
      </c>
      <c r="L4" s="899">
        <f>SUM(J4:K4)</f>
        <v>131568.75</v>
      </c>
      <c r="M4" s="899"/>
      <c r="N4" s="902"/>
      <c r="O4" s="359"/>
    </row>
    <row r="5" spans="1:16" ht="13" x14ac:dyDescent="0.3">
      <c r="A5" s="931">
        <v>9257005</v>
      </c>
      <c r="B5" s="915" t="s">
        <v>68</v>
      </c>
      <c r="C5" s="925">
        <v>117027.3922528728</v>
      </c>
      <c r="D5" s="928">
        <f t="shared" ref="D5:D15" si="0">C5*$C$32</f>
        <v>10088.858772811171</v>
      </c>
      <c r="F5" s="905"/>
      <c r="G5" s="901" t="s">
        <v>815</v>
      </c>
      <c r="H5" s="903">
        <v>70</v>
      </c>
      <c r="I5" s="904">
        <v>1</v>
      </c>
      <c r="J5" s="900">
        <f>I5*$J$2</f>
        <v>4000</v>
      </c>
      <c r="K5" s="900">
        <f>H5*$K$2</f>
        <v>2362.5</v>
      </c>
      <c r="L5" s="899">
        <f>SUM(J5:K5)</f>
        <v>6362.5</v>
      </c>
      <c r="M5" s="899"/>
      <c r="N5" s="902"/>
      <c r="O5" s="359"/>
    </row>
    <row r="6" spans="1:16" ht="13" x14ac:dyDescent="0.3">
      <c r="A6" s="931">
        <v>9257025</v>
      </c>
      <c r="B6" s="915" t="s">
        <v>69</v>
      </c>
      <c r="C6" s="925">
        <v>88790.687513148558</v>
      </c>
      <c r="D6" s="928">
        <f t="shared" si="0"/>
        <v>7654.5900016752194</v>
      </c>
      <c r="F6" s="905"/>
      <c r="G6" s="901" t="s">
        <v>731</v>
      </c>
      <c r="H6" s="903">
        <v>13</v>
      </c>
      <c r="I6" s="904">
        <v>1</v>
      </c>
      <c r="J6" s="900">
        <f>I6*$J$2</f>
        <v>4000</v>
      </c>
      <c r="K6" s="900">
        <f>H6*$K$2</f>
        <v>438.75</v>
      </c>
      <c r="L6" s="899">
        <f>SUM(J6:K6)</f>
        <v>4438.75</v>
      </c>
      <c r="M6" s="899"/>
      <c r="N6" s="902"/>
      <c r="O6" s="359"/>
    </row>
    <row r="7" spans="1:16" ht="13.5" thickBot="1" x14ac:dyDescent="0.35">
      <c r="A7" s="931">
        <v>9257011</v>
      </c>
      <c r="B7" s="915" t="s">
        <v>70</v>
      </c>
      <c r="C7" s="925">
        <v>88790.687513148558</v>
      </c>
      <c r="D7" s="928">
        <f t="shared" si="0"/>
        <v>7654.5900016752194</v>
      </c>
      <c r="F7" s="905"/>
      <c r="G7" s="901" t="s">
        <v>739</v>
      </c>
      <c r="H7" s="903">
        <v>252</v>
      </c>
      <c r="I7" s="904">
        <v>1</v>
      </c>
      <c r="J7" s="900">
        <f>I7*$J$2</f>
        <v>4000</v>
      </c>
      <c r="K7" s="900">
        <f>H7*$K$2</f>
        <v>8505</v>
      </c>
      <c r="L7" s="899">
        <f>SUM(J7:K7)</f>
        <v>12505</v>
      </c>
      <c r="M7" s="899"/>
      <c r="N7" s="902"/>
      <c r="O7" s="359"/>
    </row>
    <row r="8" spans="1:16" ht="13.5" thickBot="1" x14ac:dyDescent="0.35">
      <c r="A8" s="931">
        <v>9257024</v>
      </c>
      <c r="B8" s="915" t="s">
        <v>71</v>
      </c>
      <c r="C8" s="925">
        <v>69201.680689977453</v>
      </c>
      <c r="D8" s="928">
        <f t="shared" si="0"/>
        <v>5965.833894800965</v>
      </c>
      <c r="F8" s="905"/>
      <c r="G8" s="901"/>
      <c r="H8" s="898">
        <f>SUM(H4:H7)</f>
        <v>2100</v>
      </c>
      <c r="I8" s="903"/>
      <c r="J8" s="899">
        <f>SUM(J4:J7)</f>
        <v>84000</v>
      </c>
      <c r="K8" s="899">
        <f>SUM(K4:K7)</f>
        <v>70875</v>
      </c>
      <c r="L8" s="897">
        <f>SUM(L4:L7)</f>
        <v>154875</v>
      </c>
      <c r="M8" s="896"/>
      <c r="N8" s="902"/>
      <c r="O8" s="359"/>
    </row>
    <row r="9" spans="1:16" x14ac:dyDescent="0.25">
      <c r="A9" s="931">
        <v>9257008</v>
      </c>
      <c r="B9" s="915" t="s">
        <v>73</v>
      </c>
      <c r="C9" s="925">
        <v>88790.687513148558</v>
      </c>
      <c r="D9" s="928">
        <f t="shared" si="0"/>
        <v>7654.5900016752194</v>
      </c>
      <c r="F9" s="905"/>
      <c r="G9" s="901"/>
      <c r="H9" s="903"/>
      <c r="I9" s="903"/>
      <c r="J9" s="903"/>
      <c r="K9" s="903"/>
      <c r="L9" s="903"/>
      <c r="M9" s="903"/>
      <c r="N9" s="902"/>
      <c r="O9" s="359"/>
    </row>
    <row r="10" spans="1:16" ht="13" thickBot="1" x14ac:dyDescent="0.3">
      <c r="A10" s="931">
        <v>9257002</v>
      </c>
      <c r="B10" s="915" t="s">
        <v>75</v>
      </c>
      <c r="C10" s="925">
        <v>88790.687513148558</v>
      </c>
      <c r="D10" s="928">
        <f t="shared" si="0"/>
        <v>7654.5900016752194</v>
      </c>
      <c r="F10" s="895"/>
      <c r="G10" s="894"/>
      <c r="H10" s="894"/>
      <c r="I10" s="894"/>
      <c r="J10" s="894"/>
      <c r="K10" s="894"/>
      <c r="L10" s="894"/>
      <c r="M10" s="894"/>
      <c r="N10" s="893"/>
    </row>
    <row r="11" spans="1:16" x14ac:dyDescent="0.25">
      <c r="A11" s="931">
        <v>9257009</v>
      </c>
      <c r="B11" s="915" t="s">
        <v>76</v>
      </c>
      <c r="C11" s="925">
        <v>88790.687513148558</v>
      </c>
      <c r="D11" s="928">
        <f t="shared" si="0"/>
        <v>7654.5900016752194</v>
      </c>
      <c r="G11" s="359"/>
      <c r="H11" s="359"/>
      <c r="I11" s="359"/>
      <c r="J11" s="359"/>
      <c r="K11" s="359"/>
      <c r="L11" s="359"/>
      <c r="M11" s="359"/>
      <c r="N11" s="359"/>
    </row>
    <row r="12" spans="1:16" x14ac:dyDescent="0.25">
      <c r="A12" s="931">
        <v>9257028</v>
      </c>
      <c r="B12" s="915" t="s">
        <v>77</v>
      </c>
      <c r="C12" s="925">
        <v>88790.687513148558</v>
      </c>
      <c r="D12" s="928">
        <f t="shared" si="0"/>
        <v>7654.5900016752194</v>
      </c>
      <c r="J12" s="359" t="s">
        <v>816</v>
      </c>
      <c r="K12" s="359"/>
      <c r="L12" s="892">
        <f>'[17]Summary V8'!C17</f>
        <v>165614.38426611698</v>
      </c>
      <c r="M12" s="359"/>
      <c r="N12" s="359"/>
      <c r="O12" s="359"/>
    </row>
    <row r="13" spans="1:16" x14ac:dyDescent="0.25">
      <c r="A13" s="931">
        <v>9257021</v>
      </c>
      <c r="B13" s="915" t="s">
        <v>78</v>
      </c>
      <c r="C13" s="925">
        <v>117027.3922528728</v>
      </c>
      <c r="D13" s="928">
        <f t="shared" si="0"/>
        <v>10088.858772811171</v>
      </c>
      <c r="J13" s="359"/>
      <c r="K13" s="359"/>
      <c r="L13" s="360"/>
      <c r="M13" s="360"/>
      <c r="N13" s="359"/>
      <c r="O13" s="359"/>
    </row>
    <row r="14" spans="1:16" x14ac:dyDescent="0.25">
      <c r="A14" s="927">
        <v>9257015</v>
      </c>
      <c r="B14" s="915" t="s">
        <v>55</v>
      </c>
      <c r="C14" s="925">
        <v>131719.7894229154</v>
      </c>
      <c r="D14" s="928">
        <f t="shared" si="0"/>
        <v>11355.481203928119</v>
      </c>
      <c r="J14" s="359"/>
      <c r="K14" s="359"/>
      <c r="L14" s="891">
        <f>(L12-J8)/H8</f>
        <v>38.863992507674752</v>
      </c>
      <c r="M14" s="359" t="s">
        <v>817</v>
      </c>
      <c r="N14" s="359"/>
      <c r="O14" s="359"/>
    </row>
    <row r="15" spans="1:16" x14ac:dyDescent="0.25">
      <c r="A15" s="931">
        <v>9257016</v>
      </c>
      <c r="B15" s="915" t="s">
        <v>80</v>
      </c>
      <c r="C15" s="925">
        <v>131719.7894229154</v>
      </c>
      <c r="D15" s="928">
        <f t="shared" si="0"/>
        <v>11355.481203928119</v>
      </c>
      <c r="F15" s="359"/>
      <c r="G15" s="359"/>
      <c r="H15" s="359"/>
      <c r="I15" s="359"/>
      <c r="J15" s="359"/>
      <c r="K15" s="359"/>
      <c r="L15" s="359"/>
      <c r="M15" s="359"/>
      <c r="N15" s="359"/>
      <c r="O15" s="359"/>
      <c r="P15" s="359"/>
    </row>
    <row r="16" spans="1:16" x14ac:dyDescent="0.25">
      <c r="A16" s="931"/>
      <c r="B16" s="915"/>
      <c r="C16" s="922"/>
      <c r="D16" s="926" t="s">
        <v>818</v>
      </c>
      <c r="F16" s="359"/>
      <c r="G16" s="359"/>
      <c r="H16" s="359"/>
      <c r="I16" s="359"/>
      <c r="J16" s="359"/>
      <c r="K16" s="359"/>
      <c r="L16" s="359"/>
      <c r="M16" s="359"/>
      <c r="N16" s="359"/>
      <c r="O16" s="359"/>
      <c r="P16" s="359"/>
    </row>
    <row r="17" spans="1:16" ht="13" x14ac:dyDescent="0.3">
      <c r="A17" s="931">
        <v>9257031</v>
      </c>
      <c r="B17" s="918" t="s">
        <v>81</v>
      </c>
      <c r="C17" s="925">
        <v>55663.058379368813</v>
      </c>
      <c r="D17" s="928">
        <f>C17*$C$32</f>
        <v>4798.6776774341888</v>
      </c>
      <c r="F17" s="890"/>
      <c r="G17" s="890"/>
      <c r="H17" s="892" t="s">
        <v>138</v>
      </c>
      <c r="I17" s="892" t="s">
        <v>819</v>
      </c>
      <c r="J17" s="892" t="s">
        <v>820</v>
      </c>
      <c r="K17" s="892" t="s">
        <v>62</v>
      </c>
      <c r="L17" s="892"/>
      <c r="M17" s="892"/>
      <c r="N17" s="892"/>
      <c r="O17" s="359"/>
      <c r="P17" s="359"/>
    </row>
    <row r="18" spans="1:16" ht="13" x14ac:dyDescent="0.3">
      <c r="A18" s="931">
        <v>9257029</v>
      </c>
      <c r="B18" s="918" t="s">
        <v>84</v>
      </c>
      <c r="C18" s="925">
        <v>55663.058379368813</v>
      </c>
      <c r="D18" s="928">
        <f>C18*$C$32</f>
        <v>4798.6776774341888</v>
      </c>
      <c r="F18" s="890">
        <v>9257010</v>
      </c>
      <c r="G18" s="890" t="s">
        <v>773</v>
      </c>
      <c r="H18" s="889">
        <v>56</v>
      </c>
      <c r="I18" s="892">
        <v>4000</v>
      </c>
      <c r="J18" s="892">
        <f>H18*$I$54</f>
        <v>2176.16</v>
      </c>
      <c r="K18" s="613">
        <f>I18+J18</f>
        <v>6176.16</v>
      </c>
      <c r="L18" s="892"/>
      <c r="M18" s="892"/>
      <c r="N18" s="892"/>
      <c r="O18" s="359"/>
      <c r="P18" s="359"/>
    </row>
    <row r="19" spans="1:16" ht="13" x14ac:dyDescent="0.3">
      <c r="A19" s="931">
        <v>9257032</v>
      </c>
      <c r="B19" s="918" t="s">
        <v>82</v>
      </c>
      <c r="C19" s="925">
        <v>58044.118057617408</v>
      </c>
      <c r="D19" s="928">
        <f>C19*$C$32</f>
        <v>5003.9473528583676</v>
      </c>
      <c r="F19" s="890">
        <v>9257005</v>
      </c>
      <c r="G19" s="890" t="s">
        <v>774</v>
      </c>
      <c r="H19" s="889">
        <v>70.833333333333329</v>
      </c>
      <c r="I19" s="892">
        <v>4000</v>
      </c>
      <c r="J19" s="892">
        <f t="shared" ref="J19:J40" si="1">H19*$I$54</f>
        <v>2752.583333333333</v>
      </c>
      <c r="K19" s="613">
        <f t="shared" ref="K19:K35" si="2">I19+J19</f>
        <v>6752.583333333333</v>
      </c>
      <c r="L19" s="892"/>
      <c r="M19" s="892"/>
      <c r="N19" s="892"/>
      <c r="O19" s="359"/>
      <c r="P19" s="359"/>
    </row>
    <row r="20" spans="1:16" ht="13" x14ac:dyDescent="0.3">
      <c r="A20" s="931">
        <v>9257030</v>
      </c>
      <c r="B20" s="918" t="s">
        <v>83</v>
      </c>
      <c r="C20" s="925">
        <v>58044.118057617408</v>
      </c>
      <c r="D20" s="928">
        <f>C20*$C$32</f>
        <v>5003.9473528583676</v>
      </c>
      <c r="F20" s="890">
        <v>9257025</v>
      </c>
      <c r="G20" s="890" t="s">
        <v>776</v>
      </c>
      <c r="H20" s="889">
        <v>66.166666666666671</v>
      </c>
      <c r="I20" s="892">
        <v>4000</v>
      </c>
      <c r="J20" s="892">
        <f t="shared" si="1"/>
        <v>2571.2366666666667</v>
      </c>
      <c r="K20" s="613">
        <f t="shared" si="2"/>
        <v>6571.2366666666667</v>
      </c>
      <c r="L20" s="892"/>
      <c r="M20" s="892"/>
      <c r="N20" s="892"/>
      <c r="O20" s="359"/>
      <c r="P20" s="359"/>
    </row>
    <row r="21" spans="1:16" ht="13" x14ac:dyDescent="0.3">
      <c r="A21" s="931"/>
      <c r="B21" s="918"/>
      <c r="C21" s="925"/>
      <c r="D21" s="926" t="s">
        <v>818</v>
      </c>
      <c r="F21" s="890">
        <v>9257011</v>
      </c>
      <c r="G21" s="890" t="s">
        <v>70</v>
      </c>
      <c r="H21" s="889">
        <v>57.416666666666664</v>
      </c>
      <c r="I21" s="892">
        <v>4000</v>
      </c>
      <c r="J21" s="892">
        <f t="shared" si="1"/>
        <v>2231.2116666666666</v>
      </c>
      <c r="K21" s="613">
        <f t="shared" si="2"/>
        <v>6231.2116666666661</v>
      </c>
      <c r="L21" s="892"/>
      <c r="M21" s="892"/>
      <c r="N21" s="892"/>
      <c r="O21" s="359"/>
      <c r="P21" s="359"/>
    </row>
    <row r="22" spans="1:16" x14ac:dyDescent="0.25">
      <c r="A22" s="931">
        <v>9257033</v>
      </c>
      <c r="B22" s="915" t="s">
        <v>72</v>
      </c>
      <c r="C22" s="925">
        <v>69201.680689977453</v>
      </c>
      <c r="D22" s="928">
        <f>C22*$C$32</f>
        <v>5965.833894800965</v>
      </c>
      <c r="F22" s="890">
        <v>9257024</v>
      </c>
      <c r="G22" s="890" t="s">
        <v>777</v>
      </c>
      <c r="H22" s="889">
        <v>74.833333333333343</v>
      </c>
      <c r="I22" s="892">
        <v>4000</v>
      </c>
      <c r="J22" s="892">
        <f t="shared" si="1"/>
        <v>2908.0233333333335</v>
      </c>
      <c r="K22" s="613">
        <f t="shared" si="2"/>
        <v>6908.0233333333335</v>
      </c>
      <c r="L22" s="892"/>
      <c r="M22" s="892"/>
      <c r="N22" s="892"/>
      <c r="O22" s="359"/>
      <c r="P22" s="359"/>
    </row>
    <row r="23" spans="1:16" x14ac:dyDescent="0.25">
      <c r="A23" s="931">
        <v>9257034</v>
      </c>
      <c r="B23" s="915" t="s">
        <v>74</v>
      </c>
      <c r="C23" s="925">
        <v>117027.3922528728</v>
      </c>
      <c r="D23" s="928">
        <f>C23*$C$32</f>
        <v>10088.858772811171</v>
      </c>
      <c r="F23" s="890">
        <v>9257008</v>
      </c>
      <c r="G23" s="890" t="s">
        <v>87</v>
      </c>
      <c r="H23" s="889">
        <v>92.916666666666671</v>
      </c>
      <c r="I23" s="892">
        <v>4000</v>
      </c>
      <c r="J23" s="892">
        <f t="shared" si="1"/>
        <v>3610.7416666666668</v>
      </c>
      <c r="K23" s="613">
        <f t="shared" si="2"/>
        <v>7610.7416666666668</v>
      </c>
      <c r="L23" s="892"/>
      <c r="M23" s="892"/>
      <c r="N23" s="892"/>
      <c r="O23" s="359"/>
      <c r="P23" s="359"/>
    </row>
    <row r="24" spans="1:16" ht="14.5" x14ac:dyDescent="0.35">
      <c r="A24" s="923"/>
      <c r="B24" s="921"/>
      <c r="C24" s="917"/>
      <c r="D24" s="913"/>
      <c r="F24" s="890">
        <v>9257002</v>
      </c>
      <c r="G24" s="890" t="s">
        <v>775</v>
      </c>
      <c r="H24" s="889">
        <v>143.16666666666669</v>
      </c>
      <c r="I24" s="892">
        <v>4000</v>
      </c>
      <c r="J24" s="892">
        <f t="shared" si="1"/>
        <v>5563.4566666666669</v>
      </c>
      <c r="K24" s="613">
        <f t="shared" si="2"/>
        <v>9563.4566666666669</v>
      </c>
      <c r="L24" s="892"/>
      <c r="M24" s="892"/>
      <c r="N24" s="892"/>
      <c r="O24" s="359"/>
      <c r="P24" s="359"/>
    </row>
    <row r="25" spans="1:16" x14ac:dyDescent="0.25">
      <c r="A25" s="931">
        <v>9257012</v>
      </c>
      <c r="B25" s="915" t="s">
        <v>821</v>
      </c>
      <c r="C25" s="922">
        <v>88791</v>
      </c>
      <c r="D25" s="928">
        <f>C25*$C$32</f>
        <v>7654.6169409725226</v>
      </c>
      <c r="F25" s="890">
        <v>9257009</v>
      </c>
      <c r="G25" s="890" t="s">
        <v>411</v>
      </c>
      <c r="H25" s="889">
        <v>131.33333333333334</v>
      </c>
      <c r="I25" s="892">
        <v>4000</v>
      </c>
      <c r="J25" s="892">
        <f t="shared" si="1"/>
        <v>5103.6133333333337</v>
      </c>
      <c r="K25" s="613">
        <f t="shared" si="2"/>
        <v>9103.6133333333346</v>
      </c>
      <c r="L25" s="892"/>
      <c r="M25" s="892"/>
      <c r="N25" s="892"/>
      <c r="O25" s="359"/>
      <c r="P25" s="359"/>
    </row>
    <row r="26" spans="1:16" x14ac:dyDescent="0.25">
      <c r="A26" s="931">
        <v>9257003</v>
      </c>
      <c r="B26" s="915" t="s">
        <v>731</v>
      </c>
      <c r="C26" s="922">
        <v>18682</v>
      </c>
      <c r="D26" s="928">
        <f>C26*$C$32</f>
        <v>1610.5636122044878</v>
      </c>
      <c r="F26" s="890">
        <v>9257028</v>
      </c>
      <c r="G26" s="890" t="s">
        <v>77</v>
      </c>
      <c r="H26" s="889">
        <v>79.25</v>
      </c>
      <c r="I26" s="892">
        <v>4000</v>
      </c>
      <c r="J26" s="892">
        <f t="shared" si="1"/>
        <v>3079.6549999999997</v>
      </c>
      <c r="K26" s="613">
        <f t="shared" si="2"/>
        <v>7079.6549999999997</v>
      </c>
      <c r="L26" s="892"/>
      <c r="M26" s="892"/>
      <c r="N26" s="892"/>
      <c r="O26" s="359"/>
      <c r="P26" s="359"/>
    </row>
    <row r="27" spans="1:16" x14ac:dyDescent="0.25">
      <c r="A27" s="931">
        <v>9251105</v>
      </c>
      <c r="B27" s="915" t="s">
        <v>739</v>
      </c>
      <c r="C27" s="922">
        <v>236900</v>
      </c>
      <c r="D27" s="928">
        <f>C27*$C$32</f>
        <v>20423.001805547756</v>
      </c>
      <c r="F27" s="890">
        <v>9257021</v>
      </c>
      <c r="G27" s="890" t="s">
        <v>778</v>
      </c>
      <c r="H27" s="889">
        <v>154.5</v>
      </c>
      <c r="I27" s="892">
        <v>4000</v>
      </c>
      <c r="J27" s="892">
        <f t="shared" si="1"/>
        <v>6003.87</v>
      </c>
      <c r="K27" s="613">
        <f t="shared" si="2"/>
        <v>10003.869999999999</v>
      </c>
      <c r="L27" s="892"/>
      <c r="M27" s="892"/>
      <c r="N27" s="892"/>
      <c r="O27" s="359"/>
      <c r="P27" s="359"/>
    </row>
    <row r="28" spans="1:16" ht="14.5" x14ac:dyDescent="0.35">
      <c r="A28" s="923"/>
      <c r="B28" s="921"/>
      <c r="C28" s="917"/>
      <c r="D28" s="913"/>
      <c r="F28" s="890">
        <v>9257015</v>
      </c>
      <c r="G28" s="890" t="s">
        <v>55</v>
      </c>
      <c r="H28" s="889">
        <v>249.00000000000003</v>
      </c>
      <c r="I28" s="892">
        <v>4000</v>
      </c>
      <c r="J28" s="892">
        <f t="shared" si="1"/>
        <v>9676.1400000000012</v>
      </c>
      <c r="K28" s="613">
        <f t="shared" si="2"/>
        <v>13676.140000000001</v>
      </c>
      <c r="L28" s="892"/>
      <c r="M28" s="892"/>
      <c r="N28" s="892"/>
      <c r="O28" s="359"/>
      <c r="P28" s="359"/>
    </row>
    <row r="29" spans="1:16" ht="15" thickBot="1" x14ac:dyDescent="0.4">
      <c r="A29" s="923"/>
      <c r="B29" s="913"/>
      <c r="C29" s="929">
        <f>SUM(C4:C28)</f>
        <v>1926658.2756272454</v>
      </c>
      <c r="D29" s="929">
        <f>SUM(D4:D28)</f>
        <v>166096.01284005382</v>
      </c>
      <c r="F29" s="890">
        <v>9257016</v>
      </c>
      <c r="G29" s="890" t="s">
        <v>80</v>
      </c>
      <c r="H29" s="889">
        <v>142.5</v>
      </c>
      <c r="I29" s="892">
        <v>4000</v>
      </c>
      <c r="J29" s="892">
        <f t="shared" si="1"/>
        <v>5537.55</v>
      </c>
      <c r="K29" s="613">
        <f t="shared" si="2"/>
        <v>9537.5499999999993</v>
      </c>
      <c r="L29" s="892"/>
      <c r="M29" s="892"/>
      <c r="N29" s="892"/>
      <c r="O29" s="359"/>
      <c r="P29" s="359"/>
    </row>
    <row r="30" spans="1:16" ht="14.5" x14ac:dyDescent="0.35">
      <c r="A30" s="923"/>
      <c r="B30" s="916"/>
      <c r="C30" s="924"/>
      <c r="D30" s="913"/>
      <c r="F30" s="890">
        <v>9257031</v>
      </c>
      <c r="G30" s="890" t="s">
        <v>422</v>
      </c>
      <c r="H30" s="889">
        <v>71.166666666666671</v>
      </c>
      <c r="I30" s="892">
        <v>4000</v>
      </c>
      <c r="J30" s="892">
        <f t="shared" si="1"/>
        <v>2765.5366666666669</v>
      </c>
      <c r="K30" s="613">
        <f t="shared" si="2"/>
        <v>6765.5366666666669</v>
      </c>
      <c r="L30" s="892"/>
      <c r="M30" s="892"/>
      <c r="N30" s="892"/>
      <c r="O30" s="359"/>
      <c r="P30" s="359"/>
    </row>
    <row r="31" spans="1:16" x14ac:dyDescent="0.25">
      <c r="B31" t="s">
        <v>822</v>
      </c>
      <c r="C31" s="888">
        <f>'[17]Summary V6'!B24</f>
        <v>166096.01284005385</v>
      </c>
      <c r="F31" s="890">
        <v>9257029</v>
      </c>
      <c r="G31" s="890" t="s">
        <v>772</v>
      </c>
      <c r="H31" s="889">
        <v>41.833333333333336</v>
      </c>
      <c r="I31" s="892">
        <v>4000</v>
      </c>
      <c r="J31" s="892">
        <f t="shared" si="1"/>
        <v>1625.6433333333334</v>
      </c>
      <c r="K31" s="613">
        <f t="shared" si="2"/>
        <v>5625.6433333333334</v>
      </c>
      <c r="L31" s="892"/>
      <c r="M31" s="892"/>
      <c r="N31" s="892"/>
      <c r="O31" s="359"/>
      <c r="P31" s="359"/>
    </row>
    <row r="32" spans="1:16" x14ac:dyDescent="0.25">
      <c r="B32" t="s">
        <v>823</v>
      </c>
      <c r="C32" s="887">
        <f>C31/C29</f>
        <v>8.6209378664194827E-2</v>
      </c>
      <c r="F32" s="890">
        <v>9257032</v>
      </c>
      <c r="G32" s="890" t="s">
        <v>770</v>
      </c>
      <c r="H32" s="889">
        <v>61.166666666666671</v>
      </c>
      <c r="I32" s="892">
        <v>4000</v>
      </c>
      <c r="J32" s="892">
        <f t="shared" si="1"/>
        <v>2376.936666666667</v>
      </c>
      <c r="K32" s="613">
        <f t="shared" si="2"/>
        <v>6376.9366666666665</v>
      </c>
      <c r="L32" s="892"/>
      <c r="M32" s="892"/>
      <c r="N32" s="892"/>
      <c r="O32" s="359"/>
      <c r="P32" s="359"/>
    </row>
    <row r="33" spans="6:16" x14ac:dyDescent="0.25">
      <c r="F33" s="890">
        <v>9257030</v>
      </c>
      <c r="G33" s="890" t="s">
        <v>771</v>
      </c>
      <c r="H33" s="889">
        <v>70</v>
      </c>
      <c r="I33" s="892">
        <v>4000</v>
      </c>
      <c r="J33" s="892">
        <f t="shared" si="1"/>
        <v>2720.2</v>
      </c>
      <c r="K33" s="613">
        <f t="shared" si="2"/>
        <v>6720.2</v>
      </c>
      <c r="L33" s="892"/>
      <c r="M33" s="892"/>
      <c r="N33" s="892"/>
      <c r="O33" s="359"/>
      <c r="P33" s="359"/>
    </row>
    <row r="34" spans="6:16" x14ac:dyDescent="0.25">
      <c r="F34" s="890">
        <v>9257033</v>
      </c>
      <c r="G34" s="890" t="s">
        <v>768</v>
      </c>
      <c r="H34" s="889">
        <v>89.666666666666671</v>
      </c>
      <c r="I34" s="892">
        <v>4000</v>
      </c>
      <c r="J34" s="892">
        <f t="shared" si="1"/>
        <v>3484.4466666666667</v>
      </c>
      <c r="K34" s="613">
        <f t="shared" si="2"/>
        <v>7484.4466666666667</v>
      </c>
      <c r="L34" s="892"/>
      <c r="M34" s="892"/>
      <c r="N34" s="892"/>
      <c r="O34" s="359"/>
      <c r="P34" s="359"/>
    </row>
    <row r="35" spans="6:16" x14ac:dyDescent="0.25">
      <c r="F35" s="890">
        <v>9257034</v>
      </c>
      <c r="G35" s="890" t="s">
        <v>769</v>
      </c>
      <c r="H35" s="889">
        <v>113.33333333333334</v>
      </c>
      <c r="I35" s="892">
        <v>4000</v>
      </c>
      <c r="J35" s="892">
        <f t="shared" si="1"/>
        <v>4404.1333333333332</v>
      </c>
      <c r="K35" s="613">
        <f t="shared" si="2"/>
        <v>8404.1333333333332</v>
      </c>
      <c r="L35" s="892"/>
      <c r="M35" s="892"/>
      <c r="N35" s="892"/>
      <c r="O35" s="359"/>
      <c r="P35" s="359"/>
    </row>
    <row r="36" spans="6:16" ht="13" x14ac:dyDescent="0.3">
      <c r="F36" s="890"/>
      <c r="G36" s="890"/>
      <c r="H36" s="876">
        <f>SUM(H18:H35)</f>
        <v>1765.0833333333335</v>
      </c>
      <c r="I36" s="886">
        <f>SUM(I18:I35)</f>
        <v>72000</v>
      </c>
      <c r="J36" s="886">
        <f>SUM(J18:J35)</f>
        <v>68591.138333333336</v>
      </c>
      <c r="K36" s="886">
        <f>SUM(K18:K35)</f>
        <v>140591.13833333331</v>
      </c>
      <c r="L36" s="892"/>
      <c r="M36" s="892"/>
      <c r="N36" s="892"/>
      <c r="O36" s="359"/>
      <c r="P36" s="359"/>
    </row>
    <row r="37" spans="6:16" x14ac:dyDescent="0.25">
      <c r="F37" s="890"/>
      <c r="G37" s="890"/>
      <c r="H37" s="889"/>
      <c r="I37" s="892"/>
      <c r="J37" s="892"/>
      <c r="K37" s="892"/>
      <c r="L37" s="892"/>
      <c r="M37" s="892"/>
      <c r="N37" s="892"/>
      <c r="O37" s="359"/>
      <c r="P37" s="359"/>
    </row>
    <row r="38" spans="6:16" x14ac:dyDescent="0.25">
      <c r="F38" s="359"/>
      <c r="G38" s="890" t="s">
        <v>815</v>
      </c>
      <c r="H38" s="885">
        <v>70</v>
      </c>
      <c r="I38" s="892">
        <v>4000</v>
      </c>
      <c r="J38" s="892">
        <f t="shared" si="1"/>
        <v>2720.2</v>
      </c>
      <c r="K38" s="613">
        <f>I38+J38</f>
        <v>6720.2</v>
      </c>
      <c r="L38" s="892"/>
      <c r="M38" s="892"/>
      <c r="N38" s="892"/>
      <c r="O38" s="359"/>
      <c r="P38" s="359"/>
    </row>
    <row r="39" spans="6:16" x14ac:dyDescent="0.25">
      <c r="F39" s="359"/>
      <c r="G39" s="890" t="s">
        <v>731</v>
      </c>
      <c r="H39" s="885">
        <v>13</v>
      </c>
      <c r="I39" s="892">
        <v>4000</v>
      </c>
      <c r="J39" s="892">
        <f t="shared" si="1"/>
        <v>505.18</v>
      </c>
      <c r="K39" s="613">
        <f>I39+J39</f>
        <v>4505.18</v>
      </c>
      <c r="L39" s="892"/>
      <c r="M39" s="892"/>
      <c r="N39" s="892"/>
      <c r="O39" s="359"/>
      <c r="P39" s="359"/>
    </row>
    <row r="40" spans="6:16" x14ac:dyDescent="0.25">
      <c r="F40" s="359"/>
      <c r="G40" s="890" t="s">
        <v>739</v>
      </c>
      <c r="H40" s="885">
        <v>252</v>
      </c>
      <c r="I40" s="892">
        <v>4000</v>
      </c>
      <c r="J40" s="892">
        <f t="shared" si="1"/>
        <v>9792.7199999999993</v>
      </c>
      <c r="K40" s="613">
        <f>I40+J40</f>
        <v>13792.72</v>
      </c>
      <c r="L40" s="892"/>
      <c r="M40" s="892"/>
      <c r="N40" s="892"/>
      <c r="O40" s="359"/>
      <c r="P40" s="359"/>
    </row>
    <row r="41" spans="6:16" ht="13.5" thickBot="1" x14ac:dyDescent="0.35">
      <c r="F41" s="359"/>
      <c r="G41" s="359"/>
      <c r="H41" s="884">
        <f>SUM(H36:H40)</f>
        <v>2100.0833333333335</v>
      </c>
      <c r="I41" s="883">
        <f>SUM(I36:I40)</f>
        <v>84000</v>
      </c>
      <c r="J41" s="883">
        <f>SUM(J36:J40)</f>
        <v>81609.238333333327</v>
      </c>
      <c r="K41" s="892">
        <f>SUM(I41:J41)</f>
        <v>165609.23833333334</v>
      </c>
      <c r="L41" s="892"/>
      <c r="M41" s="892" t="s">
        <v>524</v>
      </c>
      <c r="N41" s="892">
        <f>L12-K41</f>
        <v>5.1459327836346347</v>
      </c>
      <c r="O41" s="359" t="s">
        <v>824</v>
      </c>
      <c r="P41" s="359"/>
    </row>
    <row r="42" spans="6:16" x14ac:dyDescent="0.25">
      <c r="F42" s="359"/>
      <c r="G42" s="359"/>
      <c r="H42" s="892"/>
      <c r="I42" s="892"/>
      <c r="J42" s="892"/>
      <c r="K42" s="892"/>
      <c r="L42" s="892"/>
      <c r="M42" s="892"/>
      <c r="N42" s="892"/>
      <c r="O42" s="359"/>
      <c r="P42" s="359"/>
    </row>
    <row r="43" spans="6:16" x14ac:dyDescent="0.25">
      <c r="F43" s="359"/>
      <c r="G43" s="890" t="s">
        <v>825</v>
      </c>
      <c r="H43" s="891">
        <v>33.75</v>
      </c>
      <c r="I43" s="892">
        <f>H43*H41</f>
        <v>70877.8125</v>
      </c>
      <c r="J43" s="359"/>
      <c r="K43" s="359"/>
      <c r="L43" s="359"/>
      <c r="M43" s="359"/>
      <c r="N43" s="359"/>
      <c r="O43" s="359"/>
      <c r="P43" s="359"/>
    </row>
    <row r="44" spans="6:16" x14ac:dyDescent="0.25">
      <c r="H44" s="2"/>
      <c r="I44" s="16"/>
    </row>
    <row r="45" spans="6:16" x14ac:dyDescent="0.25">
      <c r="G45" s="360" t="s">
        <v>816</v>
      </c>
      <c r="H45" s="892"/>
      <c r="I45" s="892">
        <f>I41+I43</f>
        <v>154877.8125</v>
      </c>
    </row>
    <row r="46" spans="6:16" x14ac:dyDescent="0.25">
      <c r="G46" s="360"/>
      <c r="H46" s="360"/>
      <c r="I46" s="892"/>
    </row>
    <row r="47" spans="6:16" ht="13" x14ac:dyDescent="0.3">
      <c r="G47" s="882" t="s">
        <v>826</v>
      </c>
      <c r="H47" s="882"/>
      <c r="I47" s="881">
        <f>'[17]Summary V8'!C12*'[17]Special Schools'!I45</f>
        <v>165617.39179125501</v>
      </c>
    </row>
    <row r="48" spans="6:16" x14ac:dyDescent="0.25">
      <c r="G48" s="360"/>
      <c r="H48" s="360"/>
      <c r="I48" s="360"/>
    </row>
    <row r="49" spans="7:10" x14ac:dyDescent="0.25">
      <c r="G49" s="360" t="s">
        <v>827</v>
      </c>
      <c r="H49" s="360"/>
      <c r="I49" s="892">
        <f>I47-I45</f>
        <v>10739.57929125501</v>
      </c>
    </row>
    <row r="50" spans="7:10" ht="13" thickBot="1" x14ac:dyDescent="0.3">
      <c r="G50" s="360"/>
      <c r="H50" s="360"/>
      <c r="I50" s="360"/>
    </row>
    <row r="51" spans="7:10" ht="13.5" thickBot="1" x14ac:dyDescent="0.35">
      <c r="G51" s="360" t="s">
        <v>828</v>
      </c>
      <c r="H51" s="502"/>
      <c r="I51" s="880">
        <f>I49/H41</f>
        <v>5.1138824449450464</v>
      </c>
    </row>
    <row r="52" spans="7:10" ht="13" x14ac:dyDescent="0.3">
      <c r="H52" s="879"/>
      <c r="I52" s="878"/>
    </row>
    <row r="53" spans="7:10" ht="13" thickBot="1" x14ac:dyDescent="0.3">
      <c r="G53" s="359" t="s">
        <v>829</v>
      </c>
      <c r="H53" s="359"/>
      <c r="I53" s="891">
        <f>I51+H43</f>
        <v>38.863882444945048</v>
      </c>
      <c r="J53" s="359"/>
    </row>
    <row r="54" spans="7:10" ht="13.5" thickBot="1" x14ac:dyDescent="0.35">
      <c r="G54" s="359"/>
      <c r="H54" s="359" t="s">
        <v>830</v>
      </c>
      <c r="I54" s="877">
        <v>38.86</v>
      </c>
      <c r="J54" s="359"/>
    </row>
    <row r="55" spans="7:10" x14ac:dyDescent="0.25">
      <c r="G55" s="359"/>
      <c r="H55" s="359"/>
      <c r="I55" s="359"/>
      <c r="J55" s="359"/>
    </row>
    <row r="56" spans="7:10" x14ac:dyDescent="0.25">
      <c r="G56" s="359"/>
      <c r="H56" s="359"/>
      <c r="I56" s="359"/>
      <c r="J56" s="35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A1:N291"/>
  <sheetViews>
    <sheetView topLeftCell="A52" zoomScale="85" zoomScaleNormal="85" workbookViewId="0">
      <selection activeCell="A78" sqref="A78:E107"/>
    </sheetView>
  </sheetViews>
  <sheetFormatPr defaultColWidth="9.1796875" defaultRowHeight="12.5" x14ac:dyDescent="0.25"/>
  <cols>
    <col min="1" max="1" width="47.453125" style="276" bestFit="1" customWidth="1"/>
    <col min="2" max="2" width="30.7265625" style="276" customWidth="1"/>
    <col min="3" max="3" width="2.1796875" style="276" bestFit="1" customWidth="1"/>
    <col min="4" max="4" width="30.7265625" style="269" customWidth="1"/>
    <col min="5" max="5" width="8" style="269" customWidth="1"/>
    <col min="6" max="6" width="1.453125" style="269" customWidth="1"/>
    <col min="7" max="7" width="47.26953125" style="269" customWidth="1"/>
    <col min="8" max="8" width="30.81640625" style="269" customWidth="1"/>
    <col min="9" max="9" width="30.7265625" style="269" customWidth="1"/>
    <col min="10" max="10" width="3" style="269" customWidth="1"/>
    <col min="11" max="16384" width="9.1796875" style="276"/>
  </cols>
  <sheetData>
    <row r="1" spans="1:14" ht="18" x14ac:dyDescent="0.4">
      <c r="A1" s="271" t="s">
        <v>350</v>
      </c>
      <c r="B1" s="272"/>
      <c r="C1" s="272"/>
      <c r="D1" s="270"/>
      <c r="E1" s="273"/>
      <c r="F1" s="273"/>
      <c r="G1" s="270"/>
      <c r="H1" s="274"/>
      <c r="I1" s="274"/>
      <c r="J1" s="274"/>
      <c r="K1" s="275"/>
      <c r="L1" s="275"/>
      <c r="M1" s="275"/>
      <c r="N1" s="274"/>
    </row>
    <row r="2" spans="1:14" ht="15" customHeight="1" x14ac:dyDescent="0.4">
      <c r="A2" s="271"/>
      <c r="B2" s="272"/>
      <c r="C2" s="272"/>
      <c r="D2" s="270"/>
      <c r="E2" s="273"/>
      <c r="F2" s="273"/>
      <c r="G2" s="270"/>
      <c r="H2" s="274"/>
      <c r="I2" s="274"/>
      <c r="J2" s="274"/>
      <c r="K2" s="275"/>
      <c r="L2" s="275"/>
      <c r="M2" s="275"/>
      <c r="N2" s="274"/>
    </row>
    <row r="3" spans="1:14" ht="14" x14ac:dyDescent="0.3">
      <c r="A3" s="277" t="s">
        <v>198</v>
      </c>
      <c r="D3" s="270"/>
      <c r="E3" s="270"/>
      <c r="F3" s="270"/>
      <c r="G3" s="270"/>
      <c r="H3" s="278"/>
      <c r="I3" s="274"/>
      <c r="J3" s="274"/>
      <c r="K3" s="275"/>
      <c r="L3" s="279"/>
      <c r="M3" s="275"/>
      <c r="N3" s="280"/>
    </row>
    <row r="4" spans="1:14" ht="13" x14ac:dyDescent="0.3">
      <c r="A4" s="272"/>
      <c r="H4" s="281"/>
      <c r="I4" s="274"/>
      <c r="J4" s="274"/>
      <c r="K4" s="275"/>
      <c r="L4" s="282"/>
      <c r="M4" s="275"/>
      <c r="N4" s="274"/>
    </row>
    <row r="5" spans="1:14" ht="13" x14ac:dyDescent="0.3">
      <c r="A5" s="283" t="s">
        <v>197</v>
      </c>
      <c r="B5" s="441">
        <v>9257010</v>
      </c>
      <c r="C5" s="284"/>
      <c r="D5" s="304" t="str">
        <f>VLOOKUP(B5,'2014-15 Funding Detail'!A3:AH23,2,FALSE)</f>
        <v>Boston John Fielding</v>
      </c>
      <c r="E5" s="286"/>
      <c r="F5" s="286"/>
      <c r="G5" s="285"/>
      <c r="H5" s="281"/>
      <c r="I5" s="274"/>
      <c r="J5" s="274"/>
      <c r="K5" s="275"/>
      <c r="L5" s="282"/>
      <c r="M5" s="275"/>
      <c r="N5" s="274"/>
    </row>
    <row r="6" spans="1:14" ht="13" x14ac:dyDescent="0.3">
      <c r="A6" s="283"/>
      <c r="B6" s="284"/>
      <c r="C6" s="284"/>
      <c r="D6" s="285"/>
      <c r="E6" s="286"/>
      <c r="F6" s="286"/>
      <c r="G6" s="285"/>
      <c r="H6" s="281"/>
      <c r="I6" s="274"/>
      <c r="J6" s="274"/>
      <c r="K6" s="275"/>
      <c r="L6" s="282"/>
      <c r="M6" s="275"/>
      <c r="N6" s="274"/>
    </row>
    <row r="7" spans="1:14" s="301" customFormat="1" ht="13" x14ac:dyDescent="0.3">
      <c r="A7" s="295"/>
      <c r="B7" s="1858" t="s">
        <v>317</v>
      </c>
      <c r="C7" s="1858"/>
      <c r="D7" s="1858"/>
      <c r="E7" s="297"/>
      <c r="F7" s="297"/>
      <c r="G7" s="1859" t="s">
        <v>535</v>
      </c>
      <c r="H7" s="1859"/>
      <c r="I7" s="297"/>
      <c r="J7" s="297"/>
      <c r="K7" s="299"/>
      <c r="L7" s="300"/>
      <c r="M7" s="300"/>
      <c r="N7" s="297"/>
    </row>
    <row r="8" spans="1:14" s="301" customFormat="1" ht="13" x14ac:dyDescent="0.3">
      <c r="A8" s="295"/>
      <c r="B8" s="296"/>
      <c r="C8" s="296"/>
      <c r="D8" s="296"/>
      <c r="E8" s="297"/>
      <c r="F8" s="297"/>
      <c r="G8" s="297"/>
      <c r="H8" s="297"/>
      <c r="I8" s="297"/>
      <c r="J8" s="297"/>
      <c r="K8" s="299"/>
      <c r="L8" s="300"/>
      <c r="M8" s="300"/>
      <c r="N8" s="297"/>
    </row>
    <row r="9" spans="1:14" s="301" customFormat="1" ht="13" x14ac:dyDescent="0.3">
      <c r="A9" s="302" t="s">
        <v>320</v>
      </c>
      <c r="B9" s="296" t="s">
        <v>533</v>
      </c>
      <c r="C9" s="303"/>
      <c r="D9" s="304" t="s">
        <v>534</v>
      </c>
      <c r="E9" s="297"/>
      <c r="F9" s="297"/>
      <c r="G9" s="302" t="s">
        <v>320</v>
      </c>
      <c r="H9" s="298" t="s">
        <v>536</v>
      </c>
      <c r="I9" s="297"/>
      <c r="J9" s="297"/>
      <c r="K9" s="299"/>
      <c r="L9" s="300"/>
      <c r="M9" s="300"/>
      <c r="N9" s="297"/>
    </row>
    <row r="10" spans="1:14" s="301" customFormat="1" x14ac:dyDescent="0.25">
      <c r="A10" s="295" t="s">
        <v>20</v>
      </c>
      <c r="B10" s="294">
        <f>VLOOKUP(B5,'2015-16 Funding Detail'!$A$4:$X$23,4,FALSE)</f>
        <v>314686.51772419503</v>
      </c>
      <c r="C10" s="294"/>
      <c r="D10" s="294">
        <f>VLOOKUP(B5,'2016-17 Funding Detail'!$A$4:$X$24,4,FALSE)</f>
        <v>314686.51772419503</v>
      </c>
      <c r="E10" s="402"/>
      <c r="F10" s="402"/>
      <c r="G10" s="428" t="s">
        <v>20</v>
      </c>
      <c r="H10" s="400">
        <f>VLOOKUP(B5,'2016-17 Funding Detail'!$A$4:$X$24,4,FALSE)</f>
        <v>314686.51772419503</v>
      </c>
      <c r="I10" s="446"/>
      <c r="J10" s="303"/>
      <c r="K10" s="299"/>
      <c r="L10" s="300"/>
      <c r="M10" s="300"/>
      <c r="N10" s="297"/>
    </row>
    <row r="11" spans="1:14" s="301" customFormat="1" x14ac:dyDescent="0.25">
      <c r="A11" s="295" t="s">
        <v>21</v>
      </c>
      <c r="B11" s="294">
        <f>VLOOKUP(B5,'2015-16 Funding Detail'!$A$4:$X$23,5,FALSE)</f>
        <v>69201.680689977453</v>
      </c>
      <c r="C11" s="294"/>
      <c r="D11" s="294">
        <f>VLOOKUP(B5,'2016-17 Funding Detail'!$A$4:$X$24,5,FALSE)</f>
        <v>69201.680689977453</v>
      </c>
      <c r="E11" s="402"/>
      <c r="F11" s="402"/>
      <c r="G11" s="428" t="s">
        <v>21</v>
      </c>
      <c r="H11" s="400">
        <f>VLOOKUP(B5,'2016-17 Funding Detail'!$A$4:$X$24,5,FALSE)</f>
        <v>69201.680689977453</v>
      </c>
      <c r="I11" s="446"/>
      <c r="J11" s="303"/>
      <c r="K11" s="299"/>
      <c r="L11" s="300"/>
      <c r="M11" s="300"/>
      <c r="N11" s="297"/>
    </row>
    <row r="12" spans="1:14" s="301" customFormat="1" x14ac:dyDescent="0.25">
      <c r="A12" s="295" t="s">
        <v>449</v>
      </c>
      <c r="B12" s="294">
        <f>VLOOKUP(B5,'2015-16 Funding Detail'!$A$4:$X$23,8,FALSE)</f>
        <v>0</v>
      </c>
      <c r="C12" s="294"/>
      <c r="D12" s="294">
        <f>VLOOKUP(B5,'2016-17 Funding Detail'!$A$4:$X$24,8,FALSE)</f>
        <v>0</v>
      </c>
      <c r="E12" s="442">
        <v>2</v>
      </c>
      <c r="F12" s="432"/>
      <c r="G12" s="428" t="s">
        <v>449</v>
      </c>
      <c r="H12" s="400">
        <f>VLOOKUP(B5,'2016-17 Funding Detail'!$A$4:$X$24,8,FALSE)</f>
        <v>0</v>
      </c>
      <c r="I12" s="446"/>
      <c r="J12" s="297"/>
      <c r="K12" s="299"/>
      <c r="L12" s="300"/>
      <c r="M12" s="300"/>
      <c r="N12" s="297"/>
    </row>
    <row r="13" spans="1:14" s="301" customFormat="1" x14ac:dyDescent="0.25">
      <c r="A13" s="295" t="s">
        <v>102</v>
      </c>
      <c r="B13" s="294">
        <f>VLOOKUP(B5,'2015-16 Funding Detail'!$A$4:$X$23,9,FALSE)</f>
        <v>431326.5961502117</v>
      </c>
      <c r="C13" s="294"/>
      <c r="D13" s="294">
        <f>VLOOKUP(B5,'2016-17 Funding Detail'!$A$4:$X$24,9,FALSE)</f>
        <v>459918.32127380528</v>
      </c>
      <c r="E13" s="432"/>
      <c r="F13" s="432"/>
      <c r="G13" s="428" t="s">
        <v>102</v>
      </c>
      <c r="H13" s="400">
        <f>VLOOKUP(B5,'2016-17 Funding Detail'!$A$4:$X$24,9,FALSE)</f>
        <v>459918.32127380528</v>
      </c>
      <c r="I13" s="446"/>
      <c r="J13" s="303"/>
      <c r="K13" s="299"/>
      <c r="L13" s="300"/>
      <c r="M13" s="300"/>
      <c r="N13" s="297"/>
    </row>
    <row r="14" spans="1:14" s="301" customFormat="1" x14ac:dyDescent="0.25">
      <c r="A14" s="295" t="s">
        <v>400</v>
      </c>
      <c r="B14" s="294">
        <f>VLOOKUP(B5,'2015-16 Funding Detail'!$A$4:$X$23,10,FALSE)</f>
        <v>8281.5790802392894</v>
      </c>
      <c r="C14" s="294"/>
      <c r="D14" s="294">
        <f>VLOOKUP(B5,'2016-17 Funding Detail'!$A$4:$X$24,10,FALSE)</f>
        <v>8830.547390482423</v>
      </c>
      <c r="E14" s="432"/>
      <c r="F14" s="432"/>
      <c r="G14" s="428" t="s">
        <v>400</v>
      </c>
      <c r="H14" s="400">
        <f>VLOOKUP(B5,'2016-17 Funding Detail'!$A$4:$X$24,10,FALSE)</f>
        <v>8830.547390482423</v>
      </c>
      <c r="I14" s="446"/>
      <c r="J14" s="303"/>
      <c r="K14" s="299"/>
      <c r="L14" s="300"/>
      <c r="M14" s="300"/>
      <c r="N14" s="297"/>
    </row>
    <row r="15" spans="1:14" s="301" customFormat="1" x14ac:dyDescent="0.25">
      <c r="A15" s="295" t="s">
        <v>85</v>
      </c>
      <c r="B15" s="294">
        <f>VLOOKUP(B5,'2015-16 Funding Detail'!$A$4:$X$23,11,FALSE)</f>
        <v>3572</v>
      </c>
      <c r="C15" s="294"/>
      <c r="D15" s="294">
        <f>VLOOKUP(B5,'2016-17 Funding Detail'!$A$4:$X$24,11,FALSE)</f>
        <v>3572</v>
      </c>
      <c r="E15" s="432"/>
      <c r="F15" s="432"/>
      <c r="G15" s="428" t="s">
        <v>85</v>
      </c>
      <c r="H15" s="400">
        <f>VLOOKUP(B5,'2016-17 Funding Detail'!$A$4:$X$24,11,FALSE)</f>
        <v>3572</v>
      </c>
      <c r="I15" s="446"/>
      <c r="J15" s="297"/>
      <c r="K15" s="299"/>
      <c r="L15" s="300"/>
      <c r="M15" s="300"/>
      <c r="N15" s="297"/>
    </row>
    <row r="16" spans="1:14" s="301" customFormat="1" x14ac:dyDescent="0.25">
      <c r="A16" s="295" t="s">
        <v>232</v>
      </c>
      <c r="B16" s="294">
        <f>VLOOKUP(B5,'2015-16 Funding Detail'!$A$4:$X$23,12,FALSE)</f>
        <v>616.77824313180849</v>
      </c>
      <c r="C16" s="294"/>
      <c r="D16" s="294">
        <f>VLOOKUP(B5,'2016-17 Funding Detail'!$A$4:$X$24,12,FALSE)</f>
        <v>616.77824313180849</v>
      </c>
      <c r="E16" s="432"/>
      <c r="F16" s="432"/>
      <c r="G16" s="428" t="s">
        <v>232</v>
      </c>
      <c r="H16" s="400">
        <f>VLOOKUP(B5,'2016-17 Funding Detail'!$A$4:$X$24,12,FALSE)</f>
        <v>616.77824313180849</v>
      </c>
      <c r="I16" s="446"/>
      <c r="J16" s="297"/>
      <c r="K16" s="299"/>
      <c r="L16" s="300"/>
      <c r="M16" s="300"/>
      <c r="N16" s="297"/>
    </row>
    <row r="17" spans="1:14" s="301" customFormat="1" x14ac:dyDescent="0.25">
      <c r="A17" s="295" t="s">
        <v>325</v>
      </c>
      <c r="B17" s="294">
        <f>VLOOKUP(B5,'2015-16 Funding Detail'!$A$4:$X$23,23,FALSE)</f>
        <v>0</v>
      </c>
      <c r="C17" s="305"/>
      <c r="D17" s="382"/>
      <c r="E17" s="432"/>
      <c r="F17" s="432"/>
      <c r="G17" s="428" t="s">
        <v>325</v>
      </c>
      <c r="H17" s="400">
        <f>VLOOKUP(B5,'2016-17 Funding Detail'!$A$4:$X$24,23,FALSE)</f>
        <v>12486.539915366648</v>
      </c>
      <c r="I17" s="446"/>
      <c r="J17" s="297"/>
      <c r="K17" s="299"/>
      <c r="L17" s="300"/>
      <c r="M17" s="300"/>
      <c r="N17" s="297"/>
    </row>
    <row r="18" spans="1:14" s="301" customFormat="1" x14ac:dyDescent="0.25">
      <c r="A18" s="295" t="s">
        <v>351</v>
      </c>
      <c r="B18" s="429">
        <f>VLOOKUP(B5,'2015-16 Funding Detail'!A4:AK23,24,FALSE)</f>
        <v>827685.15188775538</v>
      </c>
      <c r="C18" s="307">
        <v>1</v>
      </c>
      <c r="D18" s="430">
        <f>VLOOKUP(B5,'2016-17 Funding Detail'!A4:X24,14,FALSE)</f>
        <v>856825.84532159206</v>
      </c>
      <c r="E18" s="442">
        <v>3</v>
      </c>
      <c r="F18" s="432"/>
      <c r="G18" s="428" t="s">
        <v>318</v>
      </c>
      <c r="H18" s="430">
        <f>VLOOKUP(B5,'2016-17 Funding Detail'!A4:X23,24,FALSE)</f>
        <v>869312.38523695874</v>
      </c>
      <c r="I18" s="442">
        <v>11</v>
      </c>
      <c r="J18" s="297"/>
      <c r="K18" s="299"/>
      <c r="L18" s="300"/>
      <c r="M18" s="300"/>
      <c r="N18" s="297"/>
    </row>
    <row r="19" spans="1:14" s="301" customFormat="1" x14ac:dyDescent="0.25">
      <c r="A19" s="295"/>
      <c r="B19" s="294"/>
      <c r="C19" s="305"/>
      <c r="D19" s="294"/>
      <c r="E19" s="442"/>
      <c r="F19" s="432"/>
      <c r="G19" s="400"/>
      <c r="H19" s="328"/>
      <c r="I19" s="328"/>
      <c r="J19" s="297"/>
      <c r="K19" s="299"/>
      <c r="L19" s="300"/>
      <c r="M19" s="300"/>
      <c r="N19" s="297"/>
    </row>
    <row r="20" spans="1:14" s="301" customFormat="1" x14ac:dyDescent="0.25">
      <c r="A20" s="295" t="s">
        <v>315</v>
      </c>
      <c r="B20" s="294">
        <f>VLOOKUP(B5,'2015-16 Funding Detail'!A4:AK23,25,FALSE)</f>
        <v>815269.87460943905</v>
      </c>
      <c r="C20" s="305"/>
      <c r="D20" s="294"/>
      <c r="E20" s="442">
        <v>4</v>
      </c>
      <c r="F20" s="432"/>
      <c r="G20" s="435" t="s">
        <v>319</v>
      </c>
      <c r="H20" s="328"/>
      <c r="I20" s="432"/>
      <c r="J20" s="297"/>
      <c r="K20" s="299"/>
      <c r="L20" s="300"/>
      <c r="M20" s="300"/>
      <c r="N20" s="297"/>
    </row>
    <row r="21" spans="1:14" s="301" customFormat="1" ht="13" x14ac:dyDescent="0.3">
      <c r="A21" s="295"/>
      <c r="B21" s="294"/>
      <c r="C21" s="305"/>
      <c r="D21" s="294"/>
      <c r="E21" s="442"/>
      <c r="F21" s="432"/>
      <c r="G21" s="436" t="s">
        <v>322</v>
      </c>
      <c r="H21" s="328"/>
      <c r="I21" s="447"/>
      <c r="J21" s="297"/>
      <c r="K21" s="299"/>
      <c r="L21" s="300"/>
      <c r="M21" s="300"/>
      <c r="N21" s="297"/>
    </row>
    <row r="22" spans="1:14" s="301" customFormat="1" ht="13" x14ac:dyDescent="0.3">
      <c r="A22" s="295"/>
      <c r="B22" s="434" t="s">
        <v>537</v>
      </c>
      <c r="C22" s="305"/>
      <c r="D22" s="308" t="s">
        <v>538</v>
      </c>
      <c r="E22" s="442"/>
      <c r="F22" s="432"/>
      <c r="G22" s="437" t="s">
        <v>323</v>
      </c>
      <c r="H22" s="328">
        <f>VLOOKUP(B5,'2016-17 Funding Detail'!A4:X23,6,FALSE)</f>
        <v>0</v>
      </c>
      <c r="I22" s="448">
        <v>12</v>
      </c>
      <c r="J22" s="297"/>
      <c r="K22" s="299"/>
      <c r="L22" s="300"/>
      <c r="M22" s="300"/>
      <c r="N22" s="297"/>
    </row>
    <row r="23" spans="1:14" s="301" customFormat="1" x14ac:dyDescent="0.25">
      <c r="A23" s="295" t="s">
        <v>233</v>
      </c>
      <c r="B23" s="443">
        <f>VLOOKUP(B5,'2015-16 Funding Detail'!A4:AK23,15,FALSE)</f>
        <v>44</v>
      </c>
      <c r="C23" s="309"/>
      <c r="D23" s="443">
        <f>VLOOKUP(B5,'2016-17 Funding Detail'!A4:X23,15,FALSE)</f>
        <v>46.916666666666671</v>
      </c>
      <c r="E23" s="442">
        <v>5</v>
      </c>
      <c r="F23" s="432"/>
      <c r="G23" s="569" t="s">
        <v>589</v>
      </c>
      <c r="H23" s="328">
        <f>VLOOKUP(B5,'2016-17 Funding Detail'!A4:X23,7,FALSE)</f>
        <v>0</v>
      </c>
      <c r="I23" s="448">
        <v>13</v>
      </c>
      <c r="J23" s="297"/>
      <c r="K23" s="299"/>
      <c r="L23" s="300"/>
      <c r="M23" s="300"/>
      <c r="N23" s="297"/>
    </row>
    <row r="24" spans="1:14" s="301" customFormat="1" x14ac:dyDescent="0.25">
      <c r="A24" s="295"/>
      <c r="B24" s="444"/>
      <c r="C24" s="305"/>
      <c r="D24" s="294"/>
      <c r="E24" s="442"/>
      <c r="F24" s="432"/>
      <c r="J24" s="297"/>
      <c r="K24" s="299"/>
      <c r="L24" s="300"/>
      <c r="M24" s="300"/>
      <c r="N24" s="297"/>
    </row>
    <row r="25" spans="1:14" s="301" customFormat="1" ht="13" x14ac:dyDescent="0.3">
      <c r="A25" s="295" t="s">
        <v>298</v>
      </c>
      <c r="B25" s="445">
        <f>VLOOKUP(B5,'2015-16 Funding Detail'!A4:AK23,26,FALSE)</f>
        <v>18528.86078657816</v>
      </c>
      <c r="C25" s="305"/>
      <c r="D25" s="294">
        <f>VLOOKUP(B5,'2016-17 Funding Detail'!A3:X23,17,FALSE)</f>
        <v>18262.717839891837</v>
      </c>
      <c r="E25" s="442">
        <v>6</v>
      </c>
      <c r="F25" s="432"/>
      <c r="G25" s="436" t="s">
        <v>321</v>
      </c>
      <c r="H25" s="328"/>
      <c r="I25" s="431"/>
      <c r="J25" s="297"/>
      <c r="K25" s="299"/>
      <c r="L25" s="300"/>
      <c r="M25" s="300"/>
      <c r="N25" s="297"/>
    </row>
    <row r="26" spans="1:14" s="301" customFormat="1" ht="13" x14ac:dyDescent="0.3">
      <c r="A26" s="295"/>
      <c r="B26" s="445"/>
      <c r="C26" s="305"/>
      <c r="D26" s="294"/>
      <c r="E26" s="442"/>
      <c r="F26" s="432"/>
      <c r="G26" s="437" t="s">
        <v>183</v>
      </c>
      <c r="H26" s="328">
        <f>VLOOKUP(B5,'2016-17 Other Funding'!A7:AL25,33,FALSE)</f>
        <v>35258</v>
      </c>
      <c r="I26" s="448">
        <v>14</v>
      </c>
      <c r="J26" s="297"/>
      <c r="K26" s="299"/>
      <c r="L26" s="300"/>
      <c r="M26" s="300"/>
      <c r="N26" s="297"/>
    </row>
    <row r="27" spans="1:14" s="301" customFormat="1" ht="13" x14ac:dyDescent="0.3">
      <c r="A27" s="295" t="s">
        <v>299</v>
      </c>
      <c r="B27" s="445">
        <f>10000</f>
        <v>10000</v>
      </c>
      <c r="C27" s="305"/>
      <c r="D27" s="294">
        <v>10000</v>
      </c>
      <c r="E27" s="442">
        <v>7</v>
      </c>
      <c r="F27" s="432"/>
      <c r="G27" s="569" t="s">
        <v>506</v>
      </c>
      <c r="H27" s="328">
        <f>VLOOKUP(B5,'2016-17 Other Funding'!A7:AL25,35,FALSE)</f>
        <v>0</v>
      </c>
      <c r="I27" s="448">
        <v>15</v>
      </c>
      <c r="J27" s="297"/>
      <c r="K27" s="299"/>
      <c r="L27" s="300"/>
      <c r="M27" s="300"/>
      <c r="N27" s="297"/>
    </row>
    <row r="28" spans="1:14" s="301" customFormat="1" ht="13" x14ac:dyDescent="0.3">
      <c r="A28" s="295"/>
      <c r="B28" s="445"/>
      <c r="C28" s="305"/>
      <c r="D28" s="294"/>
      <c r="E28" s="442"/>
      <c r="F28" s="432"/>
      <c r="G28" s="438" t="s">
        <v>184</v>
      </c>
      <c r="H28" s="328">
        <f>VLOOKUP(B5,'2016-17 Other Funding'!A7:AL25,37,FALSE)</f>
        <v>0</v>
      </c>
      <c r="I28" s="448">
        <v>16</v>
      </c>
      <c r="J28" s="297"/>
      <c r="K28" s="299"/>
      <c r="L28" s="300"/>
      <c r="M28" s="300"/>
      <c r="N28" s="297"/>
    </row>
    <row r="29" spans="1:14" s="301" customFormat="1" ht="13" x14ac:dyDescent="0.3">
      <c r="A29" s="295" t="s">
        <v>316</v>
      </c>
      <c r="B29" s="445">
        <f>VLOOKUP(B5,'2015-16 Funding Detail'!A4:AK23,27,FALSE)</f>
        <v>8528.8607865781596</v>
      </c>
      <c r="C29" s="305"/>
      <c r="D29" s="294">
        <f>VLOOKUP(B5,'2016-17 Funding Detail'!A4:AH23,19,FALSE)</f>
        <v>8262.7178398918368</v>
      </c>
      <c r="E29" s="442">
        <v>8</v>
      </c>
      <c r="F29" s="432"/>
      <c r="G29" s="439"/>
      <c r="H29" s="330"/>
      <c r="I29" s="442"/>
      <c r="J29" s="297"/>
      <c r="K29" s="299"/>
      <c r="L29" s="300"/>
      <c r="M29" s="300"/>
      <c r="N29" s="297"/>
    </row>
    <row r="30" spans="1:14" s="301" customFormat="1" ht="13" x14ac:dyDescent="0.3">
      <c r="A30" s="295"/>
      <c r="B30" s="310"/>
      <c r="C30" s="305"/>
      <c r="D30" s="294"/>
      <c r="E30" s="442"/>
      <c r="F30" s="432"/>
      <c r="G30" s="437" t="s">
        <v>324</v>
      </c>
      <c r="H30" s="430">
        <f>SUM(H22:H29)</f>
        <v>35258</v>
      </c>
      <c r="I30" s="442">
        <v>17</v>
      </c>
      <c r="J30" s="297"/>
      <c r="K30" s="299"/>
      <c r="L30" s="300"/>
      <c r="M30" s="300"/>
      <c r="N30" s="297"/>
    </row>
    <row r="31" spans="1:14" s="301" customFormat="1" ht="13" x14ac:dyDescent="0.3">
      <c r="A31" s="564" t="s">
        <v>539</v>
      </c>
      <c r="B31" s="310"/>
      <c r="C31" s="305"/>
      <c r="D31" s="294">
        <f>VLOOKUP(B5,'2016-17 Funding Detail'!A3:X23,21,FALSE)</f>
        <v>8528.8607865781596</v>
      </c>
      <c r="E31" s="442">
        <v>9</v>
      </c>
      <c r="F31" s="432"/>
      <c r="G31" s="400"/>
      <c r="H31" s="328"/>
      <c r="I31" s="442"/>
      <c r="J31" s="297"/>
      <c r="K31" s="299"/>
      <c r="L31" s="300"/>
      <c r="M31" s="300"/>
      <c r="N31" s="297"/>
    </row>
    <row r="32" spans="1:14" s="301" customFormat="1" ht="13" x14ac:dyDescent="0.3">
      <c r="A32" s="295"/>
      <c r="B32" s="310"/>
      <c r="C32" s="305"/>
      <c r="D32" s="294"/>
      <c r="E32" s="442"/>
      <c r="F32" s="432"/>
      <c r="G32" s="440" t="s">
        <v>532</v>
      </c>
      <c r="H32" s="433">
        <f>H18+H30</f>
        <v>904570.38523695874</v>
      </c>
      <c r="I32" s="442">
        <v>18</v>
      </c>
      <c r="J32" s="297"/>
      <c r="K32" s="299"/>
      <c r="L32" s="300"/>
      <c r="M32" s="300"/>
      <c r="N32" s="297"/>
    </row>
    <row r="33" spans="1:14" s="301" customFormat="1" x14ac:dyDescent="0.25">
      <c r="A33" s="564" t="s">
        <v>540</v>
      </c>
      <c r="B33" s="305"/>
      <c r="C33" s="305"/>
      <c r="D33" s="294">
        <f>VLOOKUP(B5,'2016-17 Funding Detail'!A4:X23,23,FALSE)</f>
        <v>12486.539915366648</v>
      </c>
      <c r="E33" s="442">
        <v>10</v>
      </c>
      <c r="F33" s="432"/>
      <c r="J33" s="297"/>
      <c r="K33" s="299"/>
      <c r="L33" s="300"/>
      <c r="M33" s="300"/>
      <c r="N33" s="297"/>
    </row>
    <row r="34" spans="1:14" s="301" customFormat="1" x14ac:dyDescent="0.25">
      <c r="A34" s="295"/>
      <c r="B34" s="305"/>
      <c r="C34" s="305"/>
      <c r="D34" s="294"/>
      <c r="E34" s="442"/>
      <c r="F34" s="432"/>
      <c r="J34" s="297"/>
      <c r="K34" s="299"/>
      <c r="L34" s="300"/>
      <c r="M34" s="300"/>
      <c r="N34" s="297"/>
    </row>
    <row r="35" spans="1:14" s="301" customFormat="1" ht="13.5" thickBot="1" x14ac:dyDescent="0.35">
      <c r="A35" s="295"/>
      <c r="B35" s="305"/>
      <c r="C35" s="305"/>
      <c r="D35" s="305"/>
      <c r="E35" s="442"/>
      <c r="F35" s="432"/>
      <c r="G35" s="440"/>
      <c r="H35" s="433"/>
      <c r="I35" s="442"/>
      <c r="J35" s="297"/>
      <c r="K35" s="299"/>
      <c r="L35" s="300"/>
      <c r="M35" s="300"/>
      <c r="N35" s="297"/>
    </row>
    <row r="36" spans="1:14" s="301" customFormat="1" ht="13" x14ac:dyDescent="0.3">
      <c r="B36" s="468" t="s">
        <v>239</v>
      </c>
      <c r="C36" s="469"/>
      <c r="D36" s="470" t="s">
        <v>240</v>
      </c>
      <c r="E36" s="442">
        <v>19</v>
      </c>
      <c r="F36" s="432"/>
      <c r="G36" s="312" t="s">
        <v>546</v>
      </c>
      <c r="H36" s="449" t="s">
        <v>138</v>
      </c>
      <c r="I36" s="450"/>
      <c r="J36" s="297"/>
      <c r="K36" s="299"/>
      <c r="L36" s="300"/>
      <c r="M36" s="300"/>
      <c r="N36" s="297"/>
    </row>
    <row r="37" spans="1:14" s="301" customFormat="1" ht="13" x14ac:dyDescent="0.3">
      <c r="A37" s="295"/>
      <c r="B37" s="471" t="s">
        <v>2</v>
      </c>
      <c r="C37" s="472"/>
      <c r="D37" s="473">
        <f>VLOOKUP(B5,'Band Calculations 1617'!A6:H23,4,FALSE)</f>
        <v>0.40476190476190477</v>
      </c>
      <c r="E37" s="442"/>
      <c r="F37" s="432"/>
      <c r="G37" s="566" t="s">
        <v>547</v>
      </c>
      <c r="H37" s="452">
        <f>VLOOKUP(B5,'Band Calculations 1617'!A6:K23,9,FALSE)</f>
        <v>0</v>
      </c>
      <c r="I37" s="442">
        <v>21</v>
      </c>
      <c r="J37" s="297"/>
      <c r="K37" s="299"/>
      <c r="L37" s="300"/>
      <c r="M37" s="300"/>
      <c r="N37" s="297"/>
    </row>
    <row r="38" spans="1:14" s="301" customFormat="1" ht="13" x14ac:dyDescent="0.3">
      <c r="A38" s="295"/>
      <c r="B38" s="471" t="s">
        <v>3</v>
      </c>
      <c r="C38" s="472"/>
      <c r="D38" s="473">
        <f>VLOOKUP(B5,'Band Calculations 1617'!A6:H23,5,FALSE)</f>
        <v>0.2857142857142857</v>
      </c>
      <c r="E38" s="442"/>
      <c r="F38" s="432"/>
      <c r="G38" s="566" t="s">
        <v>548</v>
      </c>
      <c r="H38" s="452">
        <f>VLOOKUP(B5,'Band Calculations 1617'!A50:K67,9,FALSE)</f>
        <v>0</v>
      </c>
      <c r="I38" s="442"/>
      <c r="J38" s="297"/>
      <c r="K38" s="299"/>
      <c r="L38" s="300"/>
      <c r="M38" s="300"/>
      <c r="N38" s="297"/>
    </row>
    <row r="39" spans="1:14" s="301" customFormat="1" ht="13" x14ac:dyDescent="0.3">
      <c r="A39" s="295"/>
      <c r="B39" s="471" t="s">
        <v>5</v>
      </c>
      <c r="C39" s="472"/>
      <c r="D39" s="473">
        <f>VLOOKUP(B5,'Band Calculations 1617'!A6:H23,6,FALSE)</f>
        <v>0.11904761904761904</v>
      </c>
      <c r="E39" s="442"/>
      <c r="F39" s="432"/>
      <c r="G39" s="451"/>
      <c r="H39" s="453"/>
      <c r="I39" s="442"/>
      <c r="J39" s="297"/>
      <c r="K39" s="299"/>
      <c r="L39" s="300"/>
      <c r="M39" s="300"/>
      <c r="N39" s="297"/>
    </row>
    <row r="40" spans="1:14" s="301" customFormat="1" ht="13" x14ac:dyDescent="0.3">
      <c r="A40" s="295"/>
      <c r="B40" s="471" t="s">
        <v>7</v>
      </c>
      <c r="C40" s="472"/>
      <c r="D40" s="473">
        <f>VLOOKUP(B5,'Band Calculations 1617'!A6:H23,7,FALSE)</f>
        <v>0.11904761904761904</v>
      </c>
      <c r="E40" s="442"/>
      <c r="F40" s="432"/>
      <c r="G40" s="567" t="s">
        <v>549</v>
      </c>
      <c r="H40" s="455">
        <f>VLOOKUP(B5,'Band Calculations 1617'!A6:K23,10,FALSE)</f>
        <v>34</v>
      </c>
      <c r="I40" s="442">
        <v>22</v>
      </c>
      <c r="J40" s="297"/>
      <c r="K40" s="299"/>
      <c r="L40" s="300"/>
      <c r="M40" s="300"/>
      <c r="N40" s="297"/>
    </row>
    <row r="41" spans="1:14" s="301" customFormat="1" ht="13.5" thickBot="1" x14ac:dyDescent="0.35">
      <c r="A41" s="295"/>
      <c r="B41" s="474" t="s">
        <v>8</v>
      </c>
      <c r="C41" s="475"/>
      <c r="D41" s="634">
        <f>VLOOKUP(B5,'Band Calculations 1617'!A6:H23,8,FALSE)</f>
        <v>7.1428571428571425E-2</v>
      </c>
      <c r="E41" s="442"/>
      <c r="F41" s="432"/>
      <c r="G41" s="567" t="s">
        <v>550</v>
      </c>
      <c r="H41" s="455">
        <f>VLOOKUP(B5,'Band Calculations 1617'!A50:K67,10,FALSE)</f>
        <v>39</v>
      </c>
      <c r="I41" s="442"/>
      <c r="J41" s="297"/>
      <c r="K41" s="299"/>
      <c r="L41" s="300"/>
      <c r="M41" s="300"/>
      <c r="N41" s="297"/>
    </row>
    <row r="42" spans="1:14" s="301" customFormat="1" ht="13.5" thickBot="1" x14ac:dyDescent="0.35">
      <c r="A42" s="295"/>
      <c r="B42" s="476"/>
      <c r="C42" s="328"/>
      <c r="D42" s="477"/>
      <c r="E42" s="442"/>
      <c r="F42" s="432"/>
      <c r="G42" s="454"/>
      <c r="H42" s="455"/>
      <c r="I42" s="442"/>
      <c r="J42" s="297"/>
      <c r="K42" s="299"/>
      <c r="L42" s="300"/>
      <c r="M42" s="300"/>
      <c r="N42" s="297"/>
    </row>
    <row r="43" spans="1:14" s="301" customFormat="1" ht="12.75" customHeight="1" x14ac:dyDescent="0.3">
      <c r="A43" s="295"/>
      <c r="B43" s="478" t="s">
        <v>327</v>
      </c>
      <c r="C43" s="469"/>
      <c r="D43" s="479" t="s">
        <v>148</v>
      </c>
      <c r="E43" s="442"/>
      <c r="F43" s="432"/>
      <c r="G43" s="567" t="s">
        <v>551</v>
      </c>
      <c r="H43" s="455">
        <f>VLOOKUP(B5,'Band Calculations 1617'!A28:I45,9,FALSE)</f>
        <v>10</v>
      </c>
      <c r="I43" s="442">
        <v>23</v>
      </c>
      <c r="J43" s="297"/>
      <c r="K43" s="299"/>
      <c r="L43" s="300"/>
      <c r="M43" s="300"/>
      <c r="N43" s="297"/>
    </row>
    <row r="44" spans="1:14" s="301" customFormat="1" ht="13.5" thickBot="1" x14ac:dyDescent="0.35">
      <c r="A44" s="295"/>
      <c r="B44" s="474" t="s">
        <v>326</v>
      </c>
      <c r="C44" s="475"/>
      <c r="D44" s="480">
        <f>VLOOKUP(B5,'Band Calculations 1617'!A108:W125,23,FALSE)</f>
        <v>9991.0948916011566</v>
      </c>
      <c r="E44" s="442">
        <v>20</v>
      </c>
      <c r="F44" s="432"/>
      <c r="G44" s="568" t="s">
        <v>552</v>
      </c>
      <c r="H44" s="457">
        <f>VLOOKUP(B5,'Band Calculations 1617'!A72:I89,9,FALSE)</f>
        <v>10</v>
      </c>
      <c r="I44" s="442"/>
      <c r="J44" s="297"/>
      <c r="K44" s="299"/>
      <c r="L44" s="300"/>
      <c r="M44" s="300"/>
      <c r="N44" s="297"/>
    </row>
    <row r="45" spans="1:14" s="301" customFormat="1" ht="13" thickBot="1" x14ac:dyDescent="0.3">
      <c r="A45" s="407"/>
      <c r="B45" s="481"/>
      <c r="C45" s="481"/>
      <c r="D45" s="294"/>
      <c r="E45" s="442"/>
      <c r="F45" s="432"/>
      <c r="G45" s="432"/>
      <c r="H45" s="328"/>
      <c r="I45" s="395"/>
      <c r="J45" s="297"/>
      <c r="K45" s="299"/>
      <c r="L45" s="300"/>
      <c r="M45" s="300"/>
      <c r="N45" s="297"/>
    </row>
    <row r="46" spans="1:14" s="301" customFormat="1" ht="13" x14ac:dyDescent="0.3">
      <c r="A46" s="404" t="s">
        <v>577</v>
      </c>
      <c r="B46" s="482"/>
      <c r="C46" s="482"/>
      <c r="D46" s="483"/>
      <c r="E46" s="1869"/>
      <c r="F46" s="1870"/>
      <c r="G46" s="1870"/>
      <c r="H46" s="1871"/>
      <c r="I46" s="399">
        <v>24</v>
      </c>
      <c r="J46" s="315"/>
    </row>
    <row r="47" spans="1:14" s="301" customFormat="1" ht="13" x14ac:dyDescent="0.3">
      <c r="A47" s="405" t="s">
        <v>235</v>
      </c>
      <c r="B47" s="484" t="s">
        <v>1</v>
      </c>
      <c r="C47" s="485"/>
      <c r="D47" s="484" t="s">
        <v>57</v>
      </c>
      <c r="E47" s="1863" t="s">
        <v>484</v>
      </c>
      <c r="F47" s="1864"/>
      <c r="G47" s="1864"/>
      <c r="H47" s="1865"/>
      <c r="I47" s="398"/>
      <c r="J47" s="306"/>
    </row>
    <row r="48" spans="1:14" s="301" customFormat="1" x14ac:dyDescent="0.25">
      <c r="A48" s="406"/>
      <c r="B48" s="486"/>
      <c r="C48" s="485"/>
      <c r="D48" s="487"/>
      <c r="E48" s="1866"/>
      <c r="F48" s="1867"/>
      <c r="G48" s="1867"/>
      <c r="H48" s="1868"/>
      <c r="I48" s="400"/>
      <c r="J48" s="306"/>
    </row>
    <row r="49" spans="1:10" s="301" customFormat="1" x14ac:dyDescent="0.25">
      <c r="A49" s="318" t="s">
        <v>2</v>
      </c>
      <c r="B49" s="488" t="s">
        <v>50</v>
      </c>
      <c r="C49" s="489"/>
      <c r="D49" s="490">
        <v>11692.020638096787</v>
      </c>
      <c r="E49" s="1860" t="s">
        <v>480</v>
      </c>
      <c r="F49" s="1861"/>
      <c r="G49" s="1861"/>
      <c r="H49" s="1862"/>
      <c r="I49" s="400"/>
      <c r="J49" s="306"/>
    </row>
    <row r="50" spans="1:10" s="301" customFormat="1" x14ac:dyDescent="0.25">
      <c r="A50" s="319"/>
      <c r="B50" s="491"/>
      <c r="C50" s="489"/>
      <c r="D50" s="490"/>
      <c r="E50" s="1855"/>
      <c r="F50" s="1856"/>
      <c r="G50" s="1856"/>
      <c r="H50" s="1857"/>
      <c r="I50" s="400"/>
      <c r="J50" s="306"/>
    </row>
    <row r="51" spans="1:10" s="301" customFormat="1" x14ac:dyDescent="0.25">
      <c r="A51" s="318" t="s">
        <v>3</v>
      </c>
      <c r="B51" s="491" t="s">
        <v>4</v>
      </c>
      <c r="C51" s="489"/>
      <c r="D51" s="490">
        <v>7350.1419469065795</v>
      </c>
      <c r="E51" s="1860" t="s">
        <v>481</v>
      </c>
      <c r="F51" s="1861"/>
      <c r="G51" s="1861"/>
      <c r="H51" s="1862"/>
      <c r="I51" s="400"/>
      <c r="J51" s="306"/>
    </row>
    <row r="52" spans="1:10" s="301" customFormat="1" x14ac:dyDescent="0.25">
      <c r="A52" s="319"/>
      <c r="B52" s="491"/>
      <c r="C52" s="489"/>
      <c r="D52" s="490"/>
      <c r="E52" s="1872"/>
      <c r="F52" s="1873"/>
      <c r="G52" s="1873"/>
      <c r="H52" s="1874"/>
      <c r="I52" s="401"/>
      <c r="J52" s="306"/>
    </row>
    <row r="53" spans="1:10" s="301" customFormat="1" x14ac:dyDescent="0.25">
      <c r="A53" s="318" t="s">
        <v>5</v>
      </c>
      <c r="B53" s="491" t="s">
        <v>6</v>
      </c>
      <c r="C53" s="489"/>
      <c r="D53" s="490">
        <v>6243.7244928897762</v>
      </c>
      <c r="E53" s="1860" t="s">
        <v>482</v>
      </c>
      <c r="F53" s="1861"/>
      <c r="G53" s="1861"/>
      <c r="H53" s="1862"/>
      <c r="I53" s="401"/>
      <c r="J53" s="306"/>
    </row>
    <row r="54" spans="1:10" s="301" customFormat="1" x14ac:dyDescent="0.25">
      <c r="A54" s="319"/>
      <c r="B54" s="491"/>
      <c r="C54" s="489"/>
      <c r="D54" s="490"/>
      <c r="E54" s="1855"/>
      <c r="F54" s="1856"/>
      <c r="G54" s="1856"/>
      <c r="H54" s="1857"/>
      <c r="I54" s="397"/>
      <c r="J54" s="306"/>
    </row>
    <row r="55" spans="1:10" s="301" customFormat="1" x14ac:dyDescent="0.25">
      <c r="A55" s="318" t="s">
        <v>7</v>
      </c>
      <c r="B55" s="491" t="s">
        <v>50</v>
      </c>
      <c r="C55" s="489"/>
      <c r="D55" s="490">
        <v>11692.020638096787</v>
      </c>
      <c r="E55" s="1860" t="s">
        <v>480</v>
      </c>
      <c r="F55" s="1861"/>
      <c r="G55" s="1861"/>
      <c r="H55" s="1862"/>
      <c r="I55" s="397"/>
      <c r="J55" s="306"/>
    </row>
    <row r="56" spans="1:10" s="301" customFormat="1" ht="12" customHeight="1" x14ac:dyDescent="0.25">
      <c r="A56" s="319"/>
      <c r="B56" s="491"/>
      <c r="C56" s="489"/>
      <c r="D56" s="490"/>
      <c r="E56" s="1855"/>
      <c r="F56" s="1856"/>
      <c r="G56" s="1856"/>
      <c r="H56" s="1857"/>
      <c r="I56" s="397"/>
      <c r="J56" s="306"/>
    </row>
    <row r="57" spans="1:10" s="301" customFormat="1" ht="12" customHeight="1" x14ac:dyDescent="0.25">
      <c r="A57" s="318" t="s">
        <v>8</v>
      </c>
      <c r="B57" s="492" t="s">
        <v>50</v>
      </c>
      <c r="C57" s="489"/>
      <c r="D57" s="490">
        <v>11692.020638096787</v>
      </c>
      <c r="E57" s="1860" t="s">
        <v>480</v>
      </c>
      <c r="F57" s="1861"/>
      <c r="G57" s="1861"/>
      <c r="H57" s="1862"/>
      <c r="I57" s="397"/>
      <c r="J57" s="306"/>
    </row>
    <row r="58" spans="1:10" s="301" customFormat="1" ht="12" customHeight="1" x14ac:dyDescent="0.25">
      <c r="A58" s="319"/>
      <c r="B58" s="492"/>
      <c r="C58" s="489"/>
      <c r="D58" s="490"/>
      <c r="E58" s="1855"/>
      <c r="F58" s="1856"/>
      <c r="G58" s="1856"/>
      <c r="H58" s="1857"/>
      <c r="I58" s="397"/>
      <c r="J58" s="306"/>
    </row>
    <row r="59" spans="1:10" s="301" customFormat="1" ht="12" customHeight="1" thickBot="1" x14ac:dyDescent="0.3">
      <c r="A59" s="403" t="s">
        <v>8</v>
      </c>
      <c r="B59" s="493" t="s">
        <v>375</v>
      </c>
      <c r="C59" s="494"/>
      <c r="D59" s="495">
        <v>2635.0478891670464</v>
      </c>
      <c r="E59" s="1880" t="s">
        <v>483</v>
      </c>
      <c r="F59" s="1881"/>
      <c r="G59" s="1881"/>
      <c r="H59" s="1882"/>
      <c r="I59" s="397"/>
      <c r="J59" s="306"/>
    </row>
    <row r="60" spans="1:10" s="301" customFormat="1" ht="12" customHeight="1" thickBot="1" x14ac:dyDescent="0.3">
      <c r="A60" s="315"/>
      <c r="B60" s="402"/>
      <c r="C60" s="496"/>
      <c r="D60" s="402"/>
      <c r="E60" s="459"/>
      <c r="F60" s="329"/>
      <c r="G60" s="402"/>
      <c r="H60" s="402"/>
      <c r="I60" s="402"/>
      <c r="J60" s="306"/>
    </row>
    <row r="61" spans="1:10" s="301" customFormat="1" ht="12" customHeight="1" x14ac:dyDescent="0.3">
      <c r="A61" s="313" t="s">
        <v>45</v>
      </c>
      <c r="B61" s="497"/>
      <c r="C61" s="497"/>
      <c r="D61" s="460"/>
      <c r="E61" s="458"/>
      <c r="F61" s="460"/>
      <c r="G61" s="460"/>
      <c r="H61" s="461"/>
      <c r="I61" s="402"/>
      <c r="J61" s="306"/>
    </row>
    <row r="62" spans="1:10" s="301" customFormat="1" ht="12" customHeight="1" x14ac:dyDescent="0.3">
      <c r="A62" s="316" t="s">
        <v>19</v>
      </c>
      <c r="B62" s="498" t="s">
        <v>20</v>
      </c>
      <c r="C62" s="489"/>
      <c r="D62" s="499" t="s">
        <v>21</v>
      </c>
      <c r="E62" s="399">
        <v>25</v>
      </c>
      <c r="F62" s="402"/>
      <c r="G62" s="462" t="s">
        <v>46</v>
      </c>
      <c r="H62" s="408" t="s">
        <v>64</v>
      </c>
      <c r="I62" s="399"/>
      <c r="J62" s="306"/>
    </row>
    <row r="63" spans="1:10" s="301" customFormat="1" ht="12" customHeight="1" x14ac:dyDescent="0.25">
      <c r="A63" s="317" t="s">
        <v>15</v>
      </c>
      <c r="B63" s="490">
        <v>314686.51772419503</v>
      </c>
      <c r="C63" s="489"/>
      <c r="D63" s="490">
        <v>69201.680689977453</v>
      </c>
      <c r="E63" s="399"/>
      <c r="F63" s="402"/>
      <c r="G63" s="412" t="s">
        <v>81</v>
      </c>
      <c r="H63" s="463">
        <f>'2016-17 Funding Detail'!$F$17</f>
        <v>164817</v>
      </c>
      <c r="I63" s="402"/>
      <c r="J63" s="306"/>
    </row>
    <row r="64" spans="1:10" s="301" customFormat="1" ht="12" customHeight="1" x14ac:dyDescent="0.25">
      <c r="A64" s="317" t="s">
        <v>16</v>
      </c>
      <c r="B64" s="490">
        <v>405763.82046267512</v>
      </c>
      <c r="C64" s="489"/>
      <c r="D64" s="490">
        <v>88790.687513148558</v>
      </c>
      <c r="E64" s="399"/>
      <c r="F64" s="402"/>
      <c r="G64" s="412" t="s">
        <v>84</v>
      </c>
      <c r="H64" s="463">
        <f>'2016-17 Funding Detail'!$F$18</f>
        <v>233134</v>
      </c>
      <c r="I64" s="402"/>
      <c r="J64" s="306"/>
    </row>
    <row r="65" spans="1:12" s="301" customFormat="1" ht="12" customHeight="1" x14ac:dyDescent="0.25">
      <c r="A65" s="317" t="s">
        <v>17</v>
      </c>
      <c r="B65" s="490">
        <v>418723.18610831723</v>
      </c>
      <c r="C65" s="489"/>
      <c r="D65" s="490">
        <v>117027.3922528728</v>
      </c>
      <c r="E65" s="399"/>
      <c r="F65" s="402"/>
      <c r="G65" s="412" t="s">
        <v>82</v>
      </c>
      <c r="H65" s="463">
        <f>'2016-17 Funding Detail'!$F$19</f>
        <v>206948</v>
      </c>
      <c r="I65" s="402"/>
      <c r="J65" s="306"/>
    </row>
    <row r="66" spans="1:12" s="301" customFormat="1" ht="12" customHeight="1" x14ac:dyDescent="0.25">
      <c r="A66" s="383" t="s">
        <v>464</v>
      </c>
      <c r="B66" s="490">
        <v>493762.11190507573</v>
      </c>
      <c r="C66" s="489"/>
      <c r="D66" s="490">
        <v>131719.7894229154</v>
      </c>
      <c r="E66" s="399"/>
      <c r="F66" s="402"/>
      <c r="G66" s="412" t="s">
        <v>83</v>
      </c>
      <c r="H66" s="463">
        <f>'2016-17 Funding Detail'!$F$20</f>
        <v>254108</v>
      </c>
      <c r="I66" s="402"/>
      <c r="J66" s="306"/>
    </row>
    <row r="67" spans="1:12" s="301" customFormat="1" ht="12" customHeight="1" x14ac:dyDescent="0.25">
      <c r="A67" s="320" t="s">
        <v>49</v>
      </c>
      <c r="B67" s="500">
        <v>280697.16623783787</v>
      </c>
      <c r="C67" s="489"/>
      <c r="D67" s="500">
        <v>55663.058379368813</v>
      </c>
      <c r="E67" s="399"/>
      <c r="F67" s="402"/>
      <c r="G67" s="402"/>
      <c r="H67" s="464"/>
      <c r="I67" s="402"/>
      <c r="J67" s="306"/>
    </row>
    <row r="68" spans="1:12" s="301" customFormat="1" ht="12" customHeight="1" thickBot="1" x14ac:dyDescent="0.3">
      <c r="A68" s="409" t="s">
        <v>22</v>
      </c>
      <c r="B68" s="501">
        <v>360067.26321081078</v>
      </c>
      <c r="C68" s="494"/>
      <c r="D68" s="501">
        <v>58044.118057617408</v>
      </c>
      <c r="E68" s="465"/>
      <c r="F68" s="466"/>
      <c r="G68" s="466"/>
      <c r="H68" s="467"/>
      <c r="I68" s="402"/>
      <c r="J68" s="306"/>
    </row>
    <row r="69" spans="1:12" s="301" customFormat="1" ht="12" customHeight="1" x14ac:dyDescent="0.25">
      <c r="A69" s="396"/>
      <c r="B69" s="321"/>
      <c r="C69" s="321"/>
      <c r="D69" s="306"/>
      <c r="E69" s="314"/>
      <c r="F69" s="311"/>
      <c r="G69" s="306"/>
      <c r="H69" s="306"/>
      <c r="I69" s="306"/>
      <c r="J69" s="306"/>
    </row>
    <row r="70" spans="1:12" s="301" customFormat="1" ht="12" customHeight="1" x14ac:dyDescent="0.25">
      <c r="A70" s="396"/>
      <c r="B70" s="321"/>
      <c r="C70" s="321"/>
      <c r="D70" s="306"/>
      <c r="E70" s="314"/>
      <c r="F70" s="311"/>
      <c r="G70" s="306"/>
      <c r="H70" s="306"/>
      <c r="I70" s="306"/>
      <c r="J70" s="306"/>
    </row>
    <row r="71" spans="1:12" s="301" customFormat="1" ht="12" customHeight="1" x14ac:dyDescent="0.25">
      <c r="A71" s="315"/>
      <c r="B71" s="306"/>
      <c r="C71" s="315"/>
      <c r="D71" s="306"/>
      <c r="E71" s="314"/>
      <c r="F71" s="311"/>
      <c r="G71" s="306"/>
      <c r="H71" s="306"/>
      <c r="I71" s="306"/>
      <c r="J71" s="306"/>
    </row>
    <row r="72" spans="1:12" s="301" customFormat="1" ht="12" customHeight="1" x14ac:dyDescent="0.25">
      <c r="D72" s="311"/>
      <c r="E72" s="311"/>
      <c r="F72" s="311"/>
      <c r="G72" s="311"/>
      <c r="H72" s="311"/>
      <c r="I72" s="306"/>
      <c r="J72" s="306"/>
    </row>
    <row r="73" spans="1:12" s="301" customFormat="1" ht="12" customHeight="1" x14ac:dyDescent="0.25">
      <c r="A73" s="1883" t="s">
        <v>596</v>
      </c>
      <c r="B73" s="1883"/>
      <c r="C73" s="1883"/>
      <c r="D73" s="1883"/>
      <c r="E73" s="1883"/>
      <c r="F73" s="311"/>
      <c r="G73" s="1875" t="s">
        <v>599</v>
      </c>
      <c r="H73" s="1875"/>
      <c r="I73" s="1875"/>
      <c r="J73" s="326"/>
      <c r="K73" s="326"/>
    </row>
    <row r="74" spans="1:12" s="301" customFormat="1" x14ac:dyDescent="0.25">
      <c r="A74" s="1883"/>
      <c r="B74" s="1883"/>
      <c r="C74" s="1883"/>
      <c r="D74" s="1883"/>
      <c r="E74" s="1883"/>
      <c r="F74" s="311"/>
      <c r="G74" s="1875"/>
      <c r="H74" s="1875"/>
      <c r="I74" s="1875"/>
      <c r="J74" s="326"/>
      <c r="K74" s="326"/>
    </row>
    <row r="75" spans="1:12" s="301" customFormat="1" ht="12" customHeight="1" x14ac:dyDescent="0.25">
      <c r="A75" s="1883"/>
      <c r="B75" s="1883"/>
      <c r="C75" s="1883"/>
      <c r="D75" s="1883"/>
      <c r="E75" s="1883"/>
      <c r="F75" s="311"/>
      <c r="G75" s="1875"/>
      <c r="H75" s="1875"/>
      <c r="I75" s="1875"/>
      <c r="J75" s="311"/>
    </row>
    <row r="76" spans="1:12" s="301" customFormat="1" ht="15.75" customHeight="1" x14ac:dyDescent="0.25">
      <c r="A76" s="1883"/>
      <c r="B76" s="1883"/>
      <c r="C76" s="1883"/>
      <c r="D76" s="1883"/>
      <c r="E76" s="1883"/>
      <c r="F76" s="311"/>
      <c r="G76" s="1875"/>
      <c r="H76" s="1875"/>
      <c r="I76" s="1875"/>
      <c r="J76" s="311"/>
    </row>
    <row r="77" spans="1:12" s="301" customFormat="1" ht="12.75" customHeight="1" x14ac:dyDescent="0.25">
      <c r="B77" s="643"/>
      <c r="C77" s="643"/>
      <c r="D77" s="643"/>
      <c r="E77" s="643"/>
      <c r="F77" s="311"/>
      <c r="G77" s="326"/>
      <c r="H77" s="326"/>
      <c r="I77" s="326"/>
      <c r="J77" s="311"/>
    </row>
    <row r="78" spans="1:12" s="301" customFormat="1" ht="12" customHeight="1" x14ac:dyDescent="0.25">
      <c r="A78" s="1878" t="s">
        <v>597</v>
      </c>
      <c r="B78" s="1878"/>
      <c r="C78" s="1878"/>
      <c r="D78" s="1878"/>
      <c r="E78" s="1878"/>
      <c r="F78" s="311"/>
      <c r="G78" s="1875" t="s">
        <v>587</v>
      </c>
      <c r="H78" s="1875"/>
      <c r="I78" s="1875"/>
      <c r="J78" s="311"/>
    </row>
    <row r="79" spans="1:12" s="301" customFormat="1" ht="12" customHeight="1" x14ac:dyDescent="0.25">
      <c r="A79" s="1878"/>
      <c r="B79" s="1878"/>
      <c r="C79" s="1878"/>
      <c r="D79" s="1878"/>
      <c r="E79" s="1878"/>
      <c r="F79" s="323"/>
      <c r="G79" s="1875"/>
      <c r="H79" s="1875"/>
      <c r="I79" s="1875"/>
      <c r="J79" s="311"/>
    </row>
    <row r="80" spans="1:12" s="301" customFormat="1" ht="12" customHeight="1" x14ac:dyDescent="0.25">
      <c r="A80" s="1878"/>
      <c r="B80" s="1878"/>
      <c r="C80" s="1878"/>
      <c r="D80" s="1878"/>
      <c r="E80" s="1878"/>
      <c r="F80" s="323"/>
      <c r="G80" s="1875"/>
      <c r="H80" s="1875"/>
      <c r="I80" s="1875"/>
      <c r="J80" s="311"/>
      <c r="L80" s="641"/>
    </row>
    <row r="81" spans="1:10" s="301" customFormat="1" ht="12" customHeight="1" x14ac:dyDescent="0.25">
      <c r="A81" s="1878"/>
      <c r="B81" s="1878"/>
      <c r="C81" s="1878"/>
      <c r="D81" s="1878"/>
      <c r="E81" s="1878"/>
      <c r="F81" s="323"/>
      <c r="G81" s="1875"/>
      <c r="H81" s="1875"/>
      <c r="I81" s="1875"/>
      <c r="J81" s="311"/>
    </row>
    <row r="82" spans="1:10" s="301" customFormat="1" ht="12" customHeight="1" x14ac:dyDescent="0.25">
      <c r="A82" s="1878"/>
      <c r="B82" s="1878"/>
      <c r="C82" s="1878"/>
      <c r="D82" s="1878"/>
      <c r="E82" s="1878"/>
      <c r="F82" s="323"/>
      <c r="G82" s="640"/>
      <c r="H82" s="640"/>
      <c r="I82" s="640"/>
      <c r="J82" s="311"/>
    </row>
    <row r="83" spans="1:10" s="301" customFormat="1" ht="12" customHeight="1" x14ac:dyDescent="0.25">
      <c r="A83" s="1878"/>
      <c r="B83" s="1878"/>
      <c r="C83" s="1878"/>
      <c r="D83" s="1878"/>
      <c r="E83" s="1878"/>
      <c r="F83" s="323"/>
      <c r="G83" s="1885" t="s">
        <v>588</v>
      </c>
      <c r="H83" s="1885"/>
      <c r="I83" s="1885"/>
      <c r="J83" s="311"/>
    </row>
    <row r="84" spans="1:10" s="301" customFormat="1" ht="12" customHeight="1" x14ac:dyDescent="0.25">
      <c r="A84" s="1878"/>
      <c r="B84" s="1878"/>
      <c r="C84" s="1878"/>
      <c r="D84" s="1878"/>
      <c r="E84" s="1878"/>
      <c r="F84" s="323"/>
      <c r="G84" s="1885"/>
      <c r="H84" s="1885"/>
      <c r="I84" s="1885"/>
      <c r="J84" s="311"/>
    </row>
    <row r="85" spans="1:10" s="301" customFormat="1" ht="12" customHeight="1" x14ac:dyDescent="0.25">
      <c r="A85" s="1878"/>
      <c r="B85" s="1878"/>
      <c r="C85" s="1878"/>
      <c r="D85" s="1878"/>
      <c r="E85" s="1878"/>
      <c r="F85" s="323"/>
      <c r="G85" s="326"/>
      <c r="H85" s="326"/>
      <c r="I85" s="326"/>
      <c r="J85" s="311"/>
    </row>
    <row r="86" spans="1:10" s="301" customFormat="1" ht="12" customHeight="1" x14ac:dyDescent="0.25">
      <c r="A86" s="1878"/>
      <c r="B86" s="1878"/>
      <c r="C86" s="1878"/>
      <c r="D86" s="1878"/>
      <c r="E86" s="1878"/>
      <c r="F86" s="323"/>
      <c r="G86" s="1875" t="s">
        <v>582</v>
      </c>
      <c r="H86" s="1875"/>
      <c r="I86" s="1875"/>
      <c r="J86" s="311"/>
    </row>
    <row r="87" spans="1:10" s="301" customFormat="1" ht="12" customHeight="1" x14ac:dyDescent="0.25">
      <c r="A87" s="1878"/>
      <c r="B87" s="1878"/>
      <c r="C87" s="1878"/>
      <c r="D87" s="1878"/>
      <c r="E87" s="1878"/>
      <c r="F87" s="323"/>
      <c r="G87" s="1875"/>
      <c r="H87" s="1875"/>
      <c r="I87" s="1875"/>
      <c r="J87" s="311"/>
    </row>
    <row r="88" spans="1:10" s="301" customFormat="1" ht="12" customHeight="1" x14ac:dyDescent="0.25">
      <c r="A88" s="1878"/>
      <c r="B88" s="1878"/>
      <c r="C88" s="1878"/>
      <c r="D88" s="1878"/>
      <c r="E88" s="1878"/>
      <c r="F88" s="323"/>
      <c r="G88" s="1875"/>
      <c r="H88" s="1875"/>
      <c r="I88" s="1875"/>
      <c r="J88" s="311"/>
    </row>
    <row r="89" spans="1:10" s="301" customFormat="1" ht="12" customHeight="1" x14ac:dyDescent="0.25">
      <c r="A89" s="1878"/>
      <c r="B89" s="1878"/>
      <c r="C89" s="1878"/>
      <c r="D89" s="1878"/>
      <c r="E89" s="1878"/>
      <c r="F89" s="323"/>
      <c r="G89" s="639"/>
      <c r="H89" s="639"/>
      <c r="I89" s="639"/>
      <c r="J89" s="311"/>
    </row>
    <row r="90" spans="1:10" s="301" customFormat="1" ht="12" customHeight="1" x14ac:dyDescent="0.25">
      <c r="A90" s="1878"/>
      <c r="B90" s="1878"/>
      <c r="C90" s="1878"/>
      <c r="D90" s="1878"/>
      <c r="E90" s="1878"/>
      <c r="F90" s="323"/>
      <c r="G90" s="1876" t="s">
        <v>604</v>
      </c>
      <c r="H90" s="1876"/>
      <c r="I90" s="1876"/>
      <c r="J90" s="311"/>
    </row>
    <row r="91" spans="1:10" s="301" customFormat="1" ht="12" customHeight="1" x14ac:dyDescent="0.25">
      <c r="A91" s="1878"/>
      <c r="B91" s="1878"/>
      <c r="C91" s="1878"/>
      <c r="D91" s="1878"/>
      <c r="E91" s="1878"/>
      <c r="F91" s="323"/>
      <c r="G91" s="1876"/>
      <c r="H91" s="1876"/>
      <c r="I91" s="1876"/>
      <c r="J91" s="311"/>
    </row>
    <row r="92" spans="1:10" s="301" customFormat="1" ht="12" customHeight="1" x14ac:dyDescent="0.25">
      <c r="A92" s="1878"/>
      <c r="B92" s="1878"/>
      <c r="C92" s="1878"/>
      <c r="D92" s="1878"/>
      <c r="E92" s="1878"/>
      <c r="F92" s="323"/>
      <c r="G92" s="1876"/>
      <c r="H92" s="1876"/>
      <c r="I92" s="1876"/>
      <c r="J92" s="311"/>
    </row>
    <row r="93" spans="1:10" s="301" customFormat="1" ht="12" customHeight="1" x14ac:dyDescent="0.25">
      <c r="A93" s="1878"/>
      <c r="B93" s="1878"/>
      <c r="C93" s="1878"/>
      <c r="D93" s="1878"/>
      <c r="E93" s="1878"/>
      <c r="F93" s="323"/>
      <c r="G93" s="639"/>
      <c r="H93" s="639"/>
      <c r="I93" s="639"/>
    </row>
    <row r="94" spans="1:10" s="301" customFormat="1" ht="12" customHeight="1" x14ac:dyDescent="0.25">
      <c r="A94" s="1878"/>
      <c r="B94" s="1878"/>
      <c r="C94" s="1878"/>
      <c r="D94" s="1878"/>
      <c r="E94" s="1878"/>
      <c r="F94" s="323"/>
      <c r="G94" s="1876" t="s">
        <v>600</v>
      </c>
      <c r="H94" s="1876"/>
      <c r="I94" s="1876"/>
    </row>
    <row r="95" spans="1:10" s="301" customFormat="1" ht="12" customHeight="1" x14ac:dyDescent="0.25">
      <c r="A95" s="1878"/>
      <c r="B95" s="1878"/>
      <c r="C95" s="1878"/>
      <c r="D95" s="1878"/>
      <c r="E95" s="1878"/>
      <c r="F95" s="323"/>
      <c r="G95" s="1876"/>
      <c r="H95" s="1876"/>
      <c r="I95" s="1876"/>
      <c r="J95" s="311"/>
    </row>
    <row r="96" spans="1:10" s="301" customFormat="1" ht="12" customHeight="1" x14ac:dyDescent="0.25">
      <c r="A96" s="1878"/>
      <c r="B96" s="1878"/>
      <c r="C96" s="1878"/>
      <c r="D96" s="1878"/>
      <c r="E96" s="1878"/>
      <c r="F96" s="323"/>
      <c r="G96" s="327"/>
      <c r="H96" s="327"/>
      <c r="I96" s="327"/>
      <c r="J96" s="311"/>
    </row>
    <row r="97" spans="1:10" s="301" customFormat="1" ht="12" customHeight="1" x14ac:dyDescent="0.25">
      <c r="A97" s="1878"/>
      <c r="B97" s="1878"/>
      <c r="C97" s="1878"/>
      <c r="D97" s="1878"/>
      <c r="E97" s="1878"/>
      <c r="F97" s="323"/>
      <c r="G97" s="1875" t="s">
        <v>581</v>
      </c>
      <c r="H97" s="1879"/>
      <c r="I97" s="1879"/>
      <c r="J97" s="311"/>
    </row>
    <row r="98" spans="1:10" s="301" customFormat="1" ht="12" customHeight="1" x14ac:dyDescent="0.25">
      <c r="A98" s="1878"/>
      <c r="B98" s="1878"/>
      <c r="C98" s="1878"/>
      <c r="D98" s="1878"/>
      <c r="E98" s="1878"/>
      <c r="F98" s="323"/>
      <c r="G98" s="1879"/>
      <c r="H98" s="1879"/>
      <c r="I98" s="1879"/>
      <c r="J98" s="311"/>
    </row>
    <row r="99" spans="1:10" s="301" customFormat="1" ht="12" customHeight="1" x14ac:dyDescent="0.25">
      <c r="A99" s="1878"/>
      <c r="B99" s="1878"/>
      <c r="C99" s="1878"/>
      <c r="D99" s="1878"/>
      <c r="E99" s="1878"/>
      <c r="F99" s="323"/>
      <c r="G99" s="1879"/>
      <c r="H99" s="1879"/>
      <c r="I99" s="1879"/>
      <c r="J99" s="311"/>
    </row>
    <row r="100" spans="1:10" s="301" customFormat="1" ht="12" customHeight="1" x14ac:dyDescent="0.25">
      <c r="A100" s="1878"/>
      <c r="B100" s="1878"/>
      <c r="C100" s="1878"/>
      <c r="D100" s="1878"/>
      <c r="E100" s="1878"/>
      <c r="F100" s="323"/>
      <c r="H100" s="311"/>
      <c r="I100" s="311"/>
      <c r="J100" s="311"/>
    </row>
    <row r="101" spans="1:10" s="301" customFormat="1" ht="12" customHeight="1" x14ac:dyDescent="0.25">
      <c r="A101" s="1878"/>
      <c r="B101" s="1878"/>
      <c r="C101" s="1878"/>
      <c r="D101" s="1878"/>
      <c r="E101" s="1878"/>
      <c r="F101" s="323"/>
      <c r="G101" s="1875" t="s">
        <v>583</v>
      </c>
      <c r="H101" s="1875"/>
      <c r="I101" s="1875"/>
      <c r="J101" s="311"/>
    </row>
    <row r="102" spans="1:10" s="301" customFormat="1" ht="12" customHeight="1" x14ac:dyDescent="0.25">
      <c r="A102" s="1878"/>
      <c r="B102" s="1878"/>
      <c r="C102" s="1878"/>
      <c r="D102" s="1878"/>
      <c r="E102" s="1878"/>
      <c r="F102" s="323"/>
      <c r="G102" s="1875"/>
      <c r="H102" s="1875"/>
      <c r="I102" s="1875"/>
      <c r="J102" s="311"/>
    </row>
    <row r="103" spans="1:10" s="301" customFormat="1" ht="12" customHeight="1" x14ac:dyDescent="0.25">
      <c r="A103" s="1878"/>
      <c r="B103" s="1878"/>
      <c r="C103" s="1878"/>
      <c r="D103" s="1878"/>
      <c r="E103" s="1878"/>
      <c r="F103" s="323"/>
      <c r="G103" s="1875"/>
      <c r="H103" s="1875"/>
      <c r="I103" s="1875"/>
      <c r="J103" s="311"/>
    </row>
    <row r="104" spans="1:10" s="301" customFormat="1" ht="12" customHeight="1" x14ac:dyDescent="0.25">
      <c r="A104" s="1878"/>
      <c r="B104" s="1878"/>
      <c r="C104" s="1878"/>
      <c r="D104" s="1878"/>
      <c r="E104" s="1878"/>
      <c r="F104" s="323"/>
      <c r="H104" s="322"/>
      <c r="I104" s="322"/>
      <c r="J104" s="311"/>
    </row>
    <row r="105" spans="1:10" s="301" customFormat="1" ht="12" customHeight="1" x14ac:dyDescent="0.25">
      <c r="A105" s="1878"/>
      <c r="B105" s="1878"/>
      <c r="C105" s="1878"/>
      <c r="D105" s="1878"/>
      <c r="E105" s="1878"/>
      <c r="F105" s="323"/>
      <c r="G105" s="1875" t="s">
        <v>478</v>
      </c>
      <c r="H105" s="1879"/>
      <c r="I105" s="1879"/>
      <c r="J105" s="311"/>
    </row>
    <row r="106" spans="1:10" s="301" customFormat="1" ht="12" customHeight="1" x14ac:dyDescent="0.25">
      <c r="A106" s="1878"/>
      <c r="B106" s="1878"/>
      <c r="C106" s="1878"/>
      <c r="D106" s="1878"/>
      <c r="E106" s="1878"/>
      <c r="F106" s="323"/>
      <c r="G106" s="1879"/>
      <c r="H106" s="1879"/>
      <c r="I106" s="1879"/>
      <c r="J106" s="311"/>
    </row>
    <row r="107" spans="1:10" s="301" customFormat="1" ht="17.25" customHeight="1" x14ac:dyDescent="0.25">
      <c r="A107" s="1878"/>
      <c r="B107" s="1878"/>
      <c r="C107" s="1878"/>
      <c r="D107" s="1878"/>
      <c r="E107" s="1878"/>
      <c r="F107" s="323"/>
      <c r="G107" s="1879"/>
      <c r="H107" s="1879"/>
      <c r="I107" s="1879"/>
      <c r="J107" s="311"/>
    </row>
    <row r="108" spans="1:10" s="301" customFormat="1" ht="12" customHeight="1" x14ac:dyDescent="0.25">
      <c r="B108" s="644"/>
      <c r="C108" s="644"/>
      <c r="D108" s="644"/>
      <c r="E108" s="644"/>
      <c r="F108" s="323"/>
      <c r="G108" s="311"/>
      <c r="H108" s="311"/>
      <c r="I108" s="311"/>
      <c r="J108" s="311"/>
    </row>
    <row r="109" spans="1:10" s="301" customFormat="1" ht="12" customHeight="1" x14ac:dyDescent="0.25">
      <c r="A109" s="1877" t="s">
        <v>498</v>
      </c>
      <c r="B109" s="1877"/>
      <c r="C109" s="1877"/>
      <c r="D109" s="1877"/>
      <c r="E109" s="1877"/>
      <c r="F109" s="323"/>
      <c r="G109" s="1875" t="s">
        <v>494</v>
      </c>
      <c r="H109" s="1875"/>
      <c r="I109" s="1875"/>
      <c r="J109" s="311"/>
    </row>
    <row r="110" spans="1:10" s="301" customFormat="1" ht="12.75" customHeight="1" x14ac:dyDescent="0.25">
      <c r="A110" s="1877"/>
      <c r="B110" s="1877"/>
      <c r="C110" s="1877"/>
      <c r="D110" s="1877"/>
      <c r="E110" s="1877"/>
      <c r="F110" s="323"/>
      <c r="G110" s="1875"/>
      <c r="H110" s="1875"/>
      <c r="I110" s="1875"/>
      <c r="J110" s="311"/>
    </row>
    <row r="111" spans="1:10" s="301" customFormat="1" ht="12.75" customHeight="1" x14ac:dyDescent="0.25">
      <c r="A111" s="1877"/>
      <c r="B111" s="1877"/>
      <c r="C111" s="1877"/>
      <c r="D111" s="1877"/>
      <c r="E111" s="1877"/>
      <c r="F111" s="323"/>
      <c r="G111" s="1875"/>
      <c r="H111" s="1875"/>
      <c r="I111" s="1875"/>
      <c r="J111" s="311"/>
    </row>
    <row r="112" spans="1:10" s="301" customFormat="1" ht="12.75" customHeight="1" x14ac:dyDescent="0.25">
      <c r="B112" s="644"/>
      <c r="C112" s="644"/>
      <c r="D112" s="644"/>
      <c r="E112" s="644"/>
      <c r="F112" s="323"/>
      <c r="G112" s="1875"/>
      <c r="H112" s="1875"/>
      <c r="I112" s="1875"/>
      <c r="J112" s="311"/>
    </row>
    <row r="113" spans="1:10" s="301" customFormat="1" ht="12.75" customHeight="1" x14ac:dyDescent="0.25">
      <c r="A113" s="1877" t="s">
        <v>553</v>
      </c>
      <c r="B113" s="1877"/>
      <c r="C113" s="1877"/>
      <c r="D113" s="1877"/>
      <c r="E113" s="1877"/>
      <c r="F113" s="323"/>
      <c r="G113" s="1875"/>
      <c r="H113" s="1875"/>
      <c r="I113" s="1875"/>
      <c r="J113" s="311"/>
    </row>
    <row r="114" spans="1:10" s="301" customFormat="1" ht="12.75" customHeight="1" x14ac:dyDescent="0.25">
      <c r="A114" s="1877"/>
      <c r="B114" s="1877"/>
      <c r="C114" s="1877"/>
      <c r="D114" s="1877"/>
      <c r="E114" s="1877"/>
      <c r="F114" s="323"/>
      <c r="G114" s="1875"/>
      <c r="H114" s="1875"/>
      <c r="I114" s="1875"/>
      <c r="J114" s="311"/>
    </row>
    <row r="115" spans="1:10" s="301" customFormat="1" ht="12.75" customHeight="1" x14ac:dyDescent="0.25">
      <c r="B115" s="644"/>
      <c r="C115" s="644"/>
      <c r="D115" s="644"/>
      <c r="E115" s="644"/>
      <c r="F115" s="323"/>
      <c r="G115" s="1875"/>
      <c r="H115" s="1875"/>
      <c r="I115" s="1875"/>
      <c r="J115" s="311"/>
    </row>
    <row r="116" spans="1:10" s="301" customFormat="1" ht="12.75" customHeight="1" x14ac:dyDescent="0.25">
      <c r="A116" s="1877" t="s">
        <v>578</v>
      </c>
      <c r="B116" s="1877"/>
      <c r="C116" s="1877"/>
      <c r="D116" s="1877"/>
      <c r="E116" s="1877"/>
      <c r="F116" s="323"/>
      <c r="G116" s="1875"/>
      <c r="H116" s="1875"/>
      <c r="I116" s="1875"/>
      <c r="J116" s="311"/>
    </row>
    <row r="117" spans="1:10" s="301" customFormat="1" x14ac:dyDescent="0.25">
      <c r="A117" s="1877"/>
      <c r="B117" s="1877"/>
      <c r="C117" s="1877"/>
      <c r="D117" s="1877"/>
      <c r="E117" s="1877"/>
      <c r="F117" s="323"/>
      <c r="G117" s="326"/>
      <c r="H117" s="326"/>
      <c r="I117" s="326"/>
      <c r="J117" s="311"/>
    </row>
    <row r="118" spans="1:10" s="301" customFormat="1" ht="12.75" customHeight="1" x14ac:dyDescent="0.25">
      <c r="A118" s="1877"/>
      <c r="B118" s="1877"/>
      <c r="C118" s="1877"/>
      <c r="D118" s="1877"/>
      <c r="E118" s="1877"/>
      <c r="F118" s="325"/>
      <c r="G118" s="1876" t="s">
        <v>584</v>
      </c>
      <c r="H118" s="1876"/>
      <c r="I118" s="1876"/>
      <c r="J118" s="311"/>
    </row>
    <row r="119" spans="1:10" s="301" customFormat="1" ht="12.75" customHeight="1" x14ac:dyDescent="0.25">
      <c r="A119" s="1877"/>
      <c r="B119" s="1877"/>
      <c r="C119" s="1877"/>
      <c r="D119" s="1877"/>
      <c r="E119" s="1877"/>
      <c r="F119" s="325"/>
      <c r="G119" s="1876"/>
      <c r="H119" s="1876"/>
      <c r="I119" s="1876"/>
      <c r="J119" s="311"/>
    </row>
    <row r="120" spans="1:10" s="301" customFormat="1" ht="12.75" customHeight="1" x14ac:dyDescent="0.25">
      <c r="B120" s="639"/>
      <c r="C120" s="639"/>
      <c r="D120" s="639"/>
      <c r="E120" s="639"/>
      <c r="F120" s="311"/>
      <c r="G120" s="1876"/>
      <c r="H120" s="1876"/>
      <c r="I120" s="1876"/>
      <c r="J120" s="311"/>
    </row>
    <row r="121" spans="1:10" s="301" customFormat="1" x14ac:dyDescent="0.25">
      <c r="A121" s="1876" t="s">
        <v>598</v>
      </c>
      <c r="B121" s="1876"/>
      <c r="C121" s="1876"/>
      <c r="D121" s="1876"/>
      <c r="E121" s="1876"/>
      <c r="F121" s="311"/>
      <c r="G121" s="639"/>
      <c r="H121" s="639"/>
      <c r="I121" s="639"/>
      <c r="J121" s="311"/>
    </row>
    <row r="122" spans="1:10" s="301" customFormat="1" ht="12.75" customHeight="1" x14ac:dyDescent="0.25">
      <c r="A122" s="1876"/>
      <c r="B122" s="1876"/>
      <c r="C122" s="1876"/>
      <c r="D122" s="1876"/>
      <c r="E122" s="1876"/>
      <c r="F122" s="311"/>
      <c r="G122" s="1875" t="s">
        <v>606</v>
      </c>
      <c r="H122" s="1875"/>
      <c r="I122" s="1875"/>
      <c r="J122" s="311"/>
    </row>
    <row r="123" spans="1:10" s="301" customFormat="1" ht="12.75" customHeight="1" x14ac:dyDescent="0.25">
      <c r="B123" s="326"/>
      <c r="C123" s="326"/>
      <c r="D123" s="326"/>
      <c r="E123" s="326"/>
      <c r="F123" s="311"/>
      <c r="G123" s="1875"/>
      <c r="H123" s="1875"/>
      <c r="I123" s="1875"/>
      <c r="J123" s="311"/>
    </row>
    <row r="124" spans="1:10" s="301" customFormat="1" ht="12.75" customHeight="1" x14ac:dyDescent="0.25">
      <c r="A124" s="1879" t="s">
        <v>470</v>
      </c>
      <c r="B124" s="1879"/>
      <c r="C124" s="1879"/>
      <c r="D124" s="1879"/>
      <c r="E124" s="1879"/>
      <c r="F124" s="311"/>
      <c r="G124" s="1875"/>
      <c r="H124" s="1875"/>
      <c r="I124" s="1875"/>
      <c r="J124" s="311"/>
    </row>
    <row r="125" spans="1:10" s="301" customFormat="1" ht="12.75" customHeight="1" x14ac:dyDescent="0.25">
      <c r="A125" s="1879"/>
      <c r="B125" s="1879"/>
      <c r="C125" s="1879"/>
      <c r="D125" s="1879"/>
      <c r="E125" s="1879"/>
      <c r="F125" s="311"/>
      <c r="G125" s="1875"/>
      <c r="H125" s="1875"/>
      <c r="I125" s="1875"/>
      <c r="J125" s="311"/>
    </row>
    <row r="126" spans="1:10" s="301" customFormat="1" ht="12.75" customHeight="1" x14ac:dyDescent="0.25">
      <c r="B126" s="411"/>
      <c r="C126" s="411"/>
      <c r="D126" s="411"/>
      <c r="E126" s="411"/>
      <c r="F126" s="322"/>
      <c r="G126" s="1875"/>
      <c r="H126" s="1875"/>
      <c r="I126" s="1875"/>
      <c r="J126" s="311"/>
    </row>
    <row r="127" spans="1:10" s="301" customFormat="1" ht="12.75" customHeight="1" x14ac:dyDescent="0.25">
      <c r="A127" s="1884" t="s">
        <v>479</v>
      </c>
      <c r="B127" s="1884"/>
      <c r="C127" s="1884"/>
      <c r="D127" s="1884"/>
      <c r="E127" s="1884"/>
      <c r="F127" s="322"/>
      <c r="G127" s="1875"/>
      <c r="H127" s="1875"/>
      <c r="I127" s="1875"/>
      <c r="J127" s="311"/>
    </row>
    <row r="128" spans="1:10" s="301" customFormat="1" ht="12.75" customHeight="1" x14ac:dyDescent="0.25">
      <c r="A128" s="1884"/>
      <c r="B128" s="1884"/>
      <c r="C128" s="1884"/>
      <c r="D128" s="1884"/>
      <c r="E128" s="1884"/>
      <c r="F128" s="326"/>
      <c r="G128" s="1875"/>
      <c r="H128" s="1875"/>
      <c r="I128" s="1875"/>
      <c r="J128" s="311"/>
    </row>
    <row r="129" spans="1:10" s="301" customFormat="1" ht="12.75" customHeight="1" x14ac:dyDescent="0.25">
      <c r="A129" s="1884"/>
      <c r="B129" s="1884"/>
      <c r="C129" s="1884"/>
      <c r="D129" s="1884"/>
      <c r="E129" s="1884"/>
      <c r="F129" s="327"/>
      <c r="G129" s="640"/>
      <c r="H129" s="640"/>
      <c r="I129" s="640"/>
      <c r="J129" s="311"/>
    </row>
    <row r="130" spans="1:10" s="301" customFormat="1" ht="12.75" customHeight="1" x14ac:dyDescent="0.25">
      <c r="A130" s="324"/>
      <c r="B130" s="327"/>
      <c r="C130" s="327"/>
      <c r="D130" s="327"/>
      <c r="E130" s="327"/>
      <c r="F130" s="327"/>
      <c r="G130" s="1875" t="s">
        <v>590</v>
      </c>
      <c r="H130" s="1875"/>
      <c r="I130" s="1875"/>
      <c r="J130" s="311"/>
    </row>
    <row r="131" spans="1:10" s="301" customFormat="1" x14ac:dyDescent="0.25">
      <c r="A131" s="1875" t="s">
        <v>554</v>
      </c>
      <c r="B131" s="1879"/>
      <c r="C131" s="1879"/>
      <c r="D131" s="1879"/>
      <c r="E131" s="1879"/>
      <c r="F131" s="327"/>
      <c r="G131" s="1875"/>
      <c r="H131" s="1875"/>
      <c r="I131" s="1875"/>
      <c r="J131" s="311"/>
    </row>
    <row r="132" spans="1:10" s="301" customFormat="1" ht="12.75" customHeight="1" x14ac:dyDescent="0.25">
      <c r="A132" s="1879"/>
      <c r="B132" s="1879"/>
      <c r="C132" s="1879"/>
      <c r="D132" s="1879"/>
      <c r="E132" s="1879"/>
      <c r="F132" s="327"/>
      <c r="G132" s="1875"/>
      <c r="H132" s="1875"/>
      <c r="I132" s="1875"/>
      <c r="J132" s="311"/>
    </row>
    <row r="133" spans="1:10" s="301" customFormat="1" ht="12.75" customHeight="1" x14ac:dyDescent="0.25">
      <c r="A133" s="1879"/>
      <c r="B133" s="1879"/>
      <c r="C133" s="1879"/>
      <c r="D133" s="1879"/>
      <c r="E133" s="1879"/>
      <c r="F133" s="311"/>
      <c r="G133" s="1875"/>
      <c r="H133" s="1875"/>
      <c r="I133" s="1875"/>
      <c r="J133" s="311"/>
    </row>
    <row r="134" spans="1:10" s="301" customFormat="1" ht="12.75" customHeight="1" x14ac:dyDescent="0.25">
      <c r="A134" s="326"/>
      <c r="B134" s="327"/>
      <c r="C134" s="327"/>
      <c r="D134" s="327"/>
      <c r="E134" s="327"/>
      <c r="F134" s="311"/>
      <c r="G134" s="640"/>
      <c r="H134" s="640"/>
      <c r="I134" s="640"/>
      <c r="J134" s="311"/>
    </row>
    <row r="135" spans="1:10" s="301" customFormat="1" ht="12.75" customHeight="1" x14ac:dyDescent="0.25">
      <c r="A135" s="1875" t="s">
        <v>579</v>
      </c>
      <c r="B135" s="1879"/>
      <c r="C135" s="1879"/>
      <c r="D135" s="1879"/>
      <c r="E135" s="1879"/>
      <c r="F135" s="311"/>
      <c r="G135" s="1875" t="s">
        <v>585</v>
      </c>
      <c r="H135" s="1875"/>
      <c r="I135" s="1875"/>
      <c r="J135" s="311"/>
    </row>
    <row r="136" spans="1:10" s="301" customFormat="1" ht="12.75" customHeight="1" x14ac:dyDescent="0.25">
      <c r="A136" s="1879"/>
      <c r="B136" s="1879"/>
      <c r="C136" s="1879"/>
      <c r="D136" s="1879"/>
      <c r="E136" s="1879"/>
      <c r="F136" s="311"/>
      <c r="G136" s="1875"/>
      <c r="H136" s="1875"/>
      <c r="I136" s="1875"/>
      <c r="J136" s="311"/>
    </row>
    <row r="137" spans="1:10" s="301" customFormat="1" ht="12.75" customHeight="1" x14ac:dyDescent="0.25">
      <c r="A137" s="1879"/>
      <c r="B137" s="1879"/>
      <c r="C137" s="1879"/>
      <c r="D137" s="1879"/>
      <c r="E137" s="1879"/>
      <c r="F137" s="311"/>
      <c r="G137" s="1875"/>
      <c r="H137" s="1875"/>
      <c r="I137" s="1875"/>
      <c r="J137" s="311"/>
    </row>
    <row r="138" spans="1:10" s="301" customFormat="1" ht="12.75" customHeight="1" x14ac:dyDescent="0.25">
      <c r="A138" s="1879"/>
      <c r="B138" s="1879"/>
      <c r="C138" s="1879"/>
      <c r="D138" s="1879"/>
      <c r="E138" s="1879"/>
      <c r="F138" s="311"/>
      <c r="G138" s="1875"/>
      <c r="H138" s="1875"/>
      <c r="I138" s="1875"/>
      <c r="J138" s="311"/>
    </row>
    <row r="139" spans="1:10" s="301" customFormat="1" ht="12.75" customHeight="1" x14ac:dyDescent="0.25">
      <c r="A139" s="1879"/>
      <c r="B139" s="1879"/>
      <c r="C139" s="1879"/>
      <c r="D139" s="1879"/>
      <c r="E139" s="1879"/>
      <c r="F139" s="311"/>
      <c r="G139" s="640"/>
      <c r="H139" s="640"/>
      <c r="I139" s="640"/>
      <c r="J139" s="311"/>
    </row>
    <row r="140" spans="1:10" s="301" customFormat="1" x14ac:dyDescent="0.25">
      <c r="A140" s="1879"/>
      <c r="B140" s="1879"/>
      <c r="C140" s="1879"/>
      <c r="D140" s="1879"/>
      <c r="E140" s="1879"/>
      <c r="F140" s="311"/>
      <c r="G140" s="1875" t="s">
        <v>586</v>
      </c>
      <c r="H140" s="1875"/>
      <c r="I140" s="1875"/>
      <c r="J140" s="311"/>
    </row>
    <row r="141" spans="1:10" s="301" customFormat="1" ht="12.75" customHeight="1" x14ac:dyDescent="0.25">
      <c r="A141" s="1879"/>
      <c r="B141" s="1879"/>
      <c r="C141" s="1879"/>
      <c r="D141" s="1879"/>
      <c r="E141" s="1879"/>
      <c r="F141" s="311"/>
      <c r="G141" s="1875"/>
      <c r="H141" s="1875"/>
      <c r="I141" s="1875"/>
      <c r="J141" s="311"/>
    </row>
    <row r="142" spans="1:10" s="301" customFormat="1" ht="12.75" customHeight="1" x14ac:dyDescent="0.25">
      <c r="F142" s="311"/>
      <c r="H142" s="327"/>
      <c r="I142" s="327"/>
      <c r="J142" s="311"/>
    </row>
    <row r="143" spans="1:10" s="301" customFormat="1" ht="12.75" customHeight="1" x14ac:dyDescent="0.25">
      <c r="A143" s="1875" t="s">
        <v>580</v>
      </c>
      <c r="B143" s="1879"/>
      <c r="C143" s="1879"/>
      <c r="D143" s="1879"/>
      <c r="E143" s="1879"/>
      <c r="F143" s="311"/>
      <c r="H143" s="640"/>
      <c r="I143" s="640"/>
      <c r="J143" s="311"/>
    </row>
    <row r="144" spans="1:10" s="301" customFormat="1" x14ac:dyDescent="0.25">
      <c r="A144" s="1879"/>
      <c r="B144" s="1879"/>
      <c r="C144" s="1879"/>
      <c r="D144" s="1879"/>
      <c r="E144" s="1879"/>
      <c r="F144" s="311"/>
      <c r="G144" s="640"/>
      <c r="H144" s="640"/>
      <c r="I144" s="640"/>
      <c r="J144" s="311"/>
    </row>
    <row r="145" spans="1:10" s="301" customFormat="1" ht="12.75" customHeight="1" x14ac:dyDescent="0.25">
      <c r="A145" s="1879"/>
      <c r="B145" s="1879"/>
      <c r="C145" s="1879"/>
      <c r="D145" s="1879"/>
      <c r="E145" s="1879"/>
      <c r="F145" s="311"/>
      <c r="J145" s="311"/>
    </row>
    <row r="146" spans="1:10" s="301" customFormat="1" ht="12.75" customHeight="1" x14ac:dyDescent="0.25">
      <c r="A146" s="1879"/>
      <c r="B146" s="1879"/>
      <c r="C146" s="1879"/>
      <c r="D146" s="1879"/>
      <c r="E146" s="1879"/>
      <c r="F146" s="311"/>
      <c r="J146" s="311"/>
    </row>
    <row r="147" spans="1:10" s="301" customFormat="1" ht="12.75" customHeight="1" x14ac:dyDescent="0.25">
      <c r="B147" s="326"/>
      <c r="C147" s="326"/>
      <c r="D147" s="326"/>
      <c r="E147" s="326"/>
      <c r="F147" s="311"/>
      <c r="G147" s="327"/>
      <c r="H147" s="327"/>
      <c r="I147" s="327"/>
      <c r="J147" s="311"/>
    </row>
    <row r="148" spans="1:10" s="301" customFormat="1" ht="12.75" customHeight="1" x14ac:dyDescent="0.25">
      <c r="A148" s="326"/>
      <c r="B148" s="326"/>
      <c r="C148" s="326"/>
      <c r="D148" s="326"/>
      <c r="E148" s="326"/>
      <c r="F148" s="311"/>
      <c r="J148" s="311"/>
    </row>
    <row r="149" spans="1:10" s="301" customFormat="1" ht="12.75" customHeight="1" x14ac:dyDescent="0.25">
      <c r="A149" s="326"/>
      <c r="B149" s="326"/>
      <c r="C149" s="326"/>
      <c r="D149" s="326"/>
      <c r="E149" s="326"/>
      <c r="F149" s="311"/>
      <c r="J149" s="311"/>
    </row>
    <row r="150" spans="1:10" s="301" customFormat="1" x14ac:dyDescent="0.25">
      <c r="A150" s="326"/>
      <c r="B150" s="326"/>
      <c r="C150" s="326"/>
      <c r="D150" s="326"/>
      <c r="E150" s="326"/>
      <c r="F150" s="311"/>
      <c r="J150" s="311"/>
    </row>
    <row r="151" spans="1:10" s="301" customFormat="1" x14ac:dyDescent="0.25">
      <c r="F151" s="311"/>
      <c r="G151" s="311"/>
      <c r="H151" s="311"/>
      <c r="I151" s="311"/>
      <c r="J151" s="311"/>
    </row>
    <row r="152" spans="1:10" s="301" customFormat="1" x14ac:dyDescent="0.25">
      <c r="F152" s="311"/>
      <c r="G152" s="311"/>
      <c r="H152" s="311"/>
      <c r="I152" s="311"/>
      <c r="J152" s="311"/>
    </row>
    <row r="153" spans="1:10" s="301" customFormat="1" x14ac:dyDescent="0.25">
      <c r="D153" s="311"/>
      <c r="E153" s="311"/>
      <c r="F153" s="311"/>
      <c r="G153" s="311"/>
      <c r="H153" s="311"/>
      <c r="I153" s="311"/>
      <c r="J153" s="311"/>
    </row>
    <row r="154" spans="1:10" s="301" customFormat="1" x14ac:dyDescent="0.25">
      <c r="D154" s="311"/>
      <c r="E154" s="311"/>
      <c r="F154" s="311"/>
      <c r="G154" s="311"/>
      <c r="H154" s="311"/>
      <c r="I154" s="311"/>
      <c r="J154" s="311"/>
    </row>
    <row r="155" spans="1:10" s="301" customFormat="1" x14ac:dyDescent="0.25">
      <c r="D155" s="311"/>
      <c r="E155" s="311"/>
      <c r="F155" s="311"/>
      <c r="G155" s="311"/>
      <c r="H155" s="311"/>
      <c r="I155" s="311"/>
      <c r="J155" s="311"/>
    </row>
    <row r="156" spans="1:10" s="301" customFormat="1" x14ac:dyDescent="0.25">
      <c r="D156" s="311"/>
      <c r="E156" s="311"/>
      <c r="F156" s="311"/>
      <c r="G156" s="311"/>
      <c r="H156" s="311"/>
      <c r="I156" s="311"/>
      <c r="J156" s="311"/>
    </row>
    <row r="157" spans="1:10" s="301" customFormat="1" x14ac:dyDescent="0.25">
      <c r="D157" s="311"/>
      <c r="E157" s="311"/>
      <c r="F157" s="311"/>
      <c r="G157" s="311"/>
      <c r="H157" s="311"/>
      <c r="I157" s="311"/>
      <c r="J157" s="311"/>
    </row>
    <row r="158" spans="1:10" s="301" customFormat="1" x14ac:dyDescent="0.25">
      <c r="D158" s="311"/>
      <c r="E158" s="311"/>
      <c r="F158" s="311"/>
      <c r="G158" s="311"/>
      <c r="H158" s="311"/>
      <c r="I158" s="311"/>
      <c r="J158" s="311"/>
    </row>
    <row r="159" spans="1:10" s="301" customFormat="1" x14ac:dyDescent="0.25">
      <c r="D159" s="311"/>
      <c r="E159" s="311"/>
      <c r="F159" s="311"/>
      <c r="G159" s="311"/>
      <c r="H159" s="311"/>
      <c r="I159" s="311"/>
      <c r="J159" s="311"/>
    </row>
    <row r="160" spans="1:10" s="301" customFormat="1" x14ac:dyDescent="0.25">
      <c r="D160" s="311"/>
      <c r="E160" s="311"/>
      <c r="F160" s="311"/>
      <c r="G160" s="311"/>
      <c r="H160" s="311"/>
      <c r="I160" s="311"/>
      <c r="J160" s="311"/>
    </row>
    <row r="161" spans="4:10" s="301" customFormat="1" x14ac:dyDescent="0.25">
      <c r="D161" s="311"/>
      <c r="E161" s="311"/>
      <c r="F161" s="311"/>
      <c r="G161" s="311"/>
      <c r="H161" s="311"/>
      <c r="I161" s="311"/>
      <c r="J161" s="311"/>
    </row>
    <row r="162" spans="4:10" s="301" customFormat="1" x14ac:dyDescent="0.25">
      <c r="D162" s="311"/>
      <c r="E162" s="311"/>
      <c r="F162" s="311"/>
      <c r="G162" s="311"/>
      <c r="H162" s="311"/>
      <c r="I162" s="311"/>
      <c r="J162" s="311"/>
    </row>
    <row r="163" spans="4:10" s="301" customFormat="1" x14ac:dyDescent="0.25">
      <c r="D163" s="311"/>
      <c r="E163" s="311"/>
      <c r="F163" s="311"/>
      <c r="G163" s="311"/>
      <c r="H163" s="311"/>
      <c r="I163" s="311"/>
      <c r="J163" s="311"/>
    </row>
    <row r="164" spans="4:10" s="301" customFormat="1" x14ac:dyDescent="0.25">
      <c r="D164" s="311"/>
      <c r="E164" s="311"/>
      <c r="F164" s="311"/>
      <c r="G164" s="311"/>
      <c r="H164" s="311"/>
      <c r="I164" s="311"/>
      <c r="J164" s="311"/>
    </row>
    <row r="165" spans="4:10" s="301" customFormat="1" x14ac:dyDescent="0.25">
      <c r="D165" s="311"/>
      <c r="E165" s="311"/>
      <c r="F165" s="311"/>
      <c r="G165" s="311"/>
      <c r="H165" s="311"/>
      <c r="I165" s="311"/>
      <c r="J165" s="311"/>
    </row>
    <row r="166" spans="4:10" s="301" customFormat="1" x14ac:dyDescent="0.25">
      <c r="D166" s="311"/>
      <c r="E166" s="311"/>
      <c r="F166" s="311"/>
      <c r="G166" s="311"/>
      <c r="H166" s="311"/>
      <c r="I166" s="311"/>
      <c r="J166" s="311"/>
    </row>
    <row r="167" spans="4:10" s="301" customFormat="1" x14ac:dyDescent="0.25">
      <c r="D167" s="311"/>
      <c r="E167" s="311"/>
      <c r="F167" s="311"/>
      <c r="G167" s="311"/>
      <c r="H167" s="311"/>
      <c r="I167" s="311"/>
      <c r="J167" s="311"/>
    </row>
    <row r="168" spans="4:10" s="301" customFormat="1" x14ac:dyDescent="0.25">
      <c r="D168" s="311"/>
      <c r="E168" s="311"/>
      <c r="F168" s="311"/>
      <c r="G168" s="311"/>
      <c r="H168" s="311"/>
      <c r="I168" s="311"/>
      <c r="J168" s="311"/>
    </row>
    <row r="169" spans="4:10" s="301" customFormat="1" x14ac:dyDescent="0.25">
      <c r="D169" s="311"/>
      <c r="E169" s="311"/>
      <c r="F169" s="311"/>
      <c r="G169" s="311"/>
      <c r="H169" s="311"/>
      <c r="I169" s="311"/>
      <c r="J169" s="311"/>
    </row>
    <row r="170" spans="4:10" s="301" customFormat="1" x14ac:dyDescent="0.25">
      <c r="D170" s="311"/>
      <c r="E170" s="311"/>
      <c r="F170" s="311"/>
      <c r="G170" s="311"/>
      <c r="H170" s="311"/>
      <c r="I170" s="311"/>
      <c r="J170" s="311"/>
    </row>
    <row r="171" spans="4:10" s="301" customFormat="1" x14ac:dyDescent="0.25">
      <c r="D171" s="311"/>
      <c r="E171" s="311"/>
      <c r="F171" s="311"/>
      <c r="G171" s="311"/>
      <c r="H171" s="311"/>
      <c r="I171" s="311"/>
      <c r="J171" s="311"/>
    </row>
    <row r="172" spans="4:10" s="301" customFormat="1" x14ac:dyDescent="0.25">
      <c r="D172" s="311"/>
      <c r="E172" s="311"/>
      <c r="F172" s="311"/>
      <c r="G172" s="311"/>
      <c r="H172" s="311"/>
      <c r="I172" s="311"/>
      <c r="J172" s="311"/>
    </row>
    <row r="173" spans="4:10" s="301" customFormat="1" x14ac:dyDescent="0.25">
      <c r="D173" s="311"/>
      <c r="E173" s="311"/>
      <c r="F173" s="311"/>
      <c r="G173" s="311"/>
      <c r="H173" s="311"/>
      <c r="I173" s="311"/>
      <c r="J173" s="311"/>
    </row>
    <row r="174" spans="4:10" s="301" customFormat="1" x14ac:dyDescent="0.25">
      <c r="D174" s="311"/>
      <c r="E174" s="311"/>
      <c r="F174" s="311"/>
      <c r="G174" s="311"/>
      <c r="H174" s="311"/>
      <c r="I174" s="311"/>
      <c r="J174" s="311"/>
    </row>
    <row r="175" spans="4:10" s="301" customFormat="1" x14ac:dyDescent="0.25">
      <c r="D175" s="311"/>
      <c r="E175" s="311"/>
      <c r="F175" s="311"/>
      <c r="G175" s="311"/>
      <c r="H175" s="311"/>
      <c r="I175" s="311"/>
      <c r="J175" s="311"/>
    </row>
    <row r="176" spans="4:10" s="301" customFormat="1" x14ac:dyDescent="0.25">
      <c r="D176" s="311"/>
      <c r="E176" s="311"/>
      <c r="F176" s="311"/>
      <c r="G176" s="311"/>
      <c r="H176" s="311"/>
      <c r="I176" s="311"/>
      <c r="J176" s="311"/>
    </row>
    <row r="177" spans="4:10" s="301" customFormat="1" x14ac:dyDescent="0.25">
      <c r="D177" s="311"/>
      <c r="E177" s="311"/>
      <c r="F177" s="311"/>
      <c r="G177" s="311"/>
      <c r="H177" s="311"/>
      <c r="I177" s="311"/>
      <c r="J177" s="311"/>
    </row>
    <row r="178" spans="4:10" s="301" customFormat="1" x14ac:dyDescent="0.25">
      <c r="D178" s="311"/>
      <c r="E178" s="311"/>
      <c r="F178" s="311"/>
      <c r="G178" s="311"/>
      <c r="H178" s="311"/>
      <c r="I178" s="311"/>
      <c r="J178" s="311"/>
    </row>
    <row r="179" spans="4:10" s="301" customFormat="1" x14ac:dyDescent="0.25">
      <c r="D179" s="311"/>
      <c r="E179" s="311"/>
      <c r="F179" s="311"/>
      <c r="G179" s="311"/>
      <c r="H179" s="311"/>
      <c r="I179" s="311"/>
      <c r="J179" s="311"/>
    </row>
    <row r="180" spans="4:10" s="301" customFormat="1" x14ac:dyDescent="0.25">
      <c r="D180" s="311"/>
      <c r="E180" s="311"/>
      <c r="F180" s="311"/>
      <c r="G180" s="311"/>
      <c r="H180" s="311"/>
      <c r="I180" s="311"/>
      <c r="J180" s="311"/>
    </row>
    <row r="181" spans="4:10" s="301" customFormat="1" x14ac:dyDescent="0.25">
      <c r="D181" s="311"/>
      <c r="E181" s="311"/>
      <c r="F181" s="311"/>
      <c r="G181" s="311"/>
      <c r="H181" s="311"/>
      <c r="I181" s="311"/>
      <c r="J181" s="311"/>
    </row>
    <row r="182" spans="4:10" s="301" customFormat="1" x14ac:dyDescent="0.25">
      <c r="D182" s="311"/>
      <c r="E182" s="311"/>
      <c r="F182" s="311"/>
      <c r="G182" s="311"/>
      <c r="H182" s="311"/>
      <c r="I182" s="311"/>
      <c r="J182" s="311"/>
    </row>
    <row r="183" spans="4:10" s="301" customFormat="1" x14ac:dyDescent="0.25">
      <c r="D183" s="311"/>
      <c r="E183" s="311"/>
      <c r="F183" s="311"/>
      <c r="G183" s="311"/>
      <c r="H183" s="311"/>
      <c r="I183" s="311"/>
      <c r="J183" s="311"/>
    </row>
    <row r="184" spans="4:10" s="301" customFormat="1" x14ac:dyDescent="0.25">
      <c r="D184" s="311"/>
      <c r="E184" s="311"/>
      <c r="F184" s="311"/>
      <c r="G184" s="311"/>
      <c r="H184" s="311"/>
      <c r="I184" s="311"/>
      <c r="J184" s="311"/>
    </row>
    <row r="185" spans="4:10" s="301" customFormat="1" x14ac:dyDescent="0.25">
      <c r="D185" s="311"/>
      <c r="E185" s="311"/>
      <c r="F185" s="311"/>
      <c r="G185" s="311"/>
      <c r="H185" s="311"/>
      <c r="I185" s="311"/>
      <c r="J185" s="311"/>
    </row>
    <row r="186" spans="4:10" s="301" customFormat="1" x14ac:dyDescent="0.25">
      <c r="D186" s="311"/>
      <c r="E186" s="311"/>
      <c r="F186" s="311"/>
      <c r="G186" s="311"/>
      <c r="H186" s="311"/>
      <c r="I186" s="311"/>
      <c r="J186" s="311"/>
    </row>
    <row r="187" spans="4:10" s="301" customFormat="1" x14ac:dyDescent="0.25">
      <c r="D187" s="311"/>
      <c r="E187" s="311"/>
      <c r="F187" s="311"/>
      <c r="G187" s="311"/>
      <c r="H187" s="311"/>
      <c r="I187" s="311"/>
      <c r="J187" s="311"/>
    </row>
    <row r="188" spans="4:10" s="301" customFormat="1" x14ac:dyDescent="0.25">
      <c r="D188" s="311"/>
      <c r="E188" s="311"/>
      <c r="F188" s="311"/>
      <c r="G188" s="311"/>
      <c r="H188" s="311"/>
      <c r="I188" s="311"/>
      <c r="J188" s="311"/>
    </row>
    <row r="189" spans="4:10" s="301" customFormat="1" x14ac:dyDescent="0.25">
      <c r="D189" s="311"/>
      <c r="E189" s="311"/>
      <c r="F189" s="311"/>
      <c r="G189" s="311"/>
      <c r="H189" s="311"/>
      <c r="I189" s="311"/>
      <c r="J189" s="311"/>
    </row>
    <row r="190" spans="4:10" s="301" customFormat="1" x14ac:dyDescent="0.25">
      <c r="D190" s="311"/>
      <c r="E190" s="311"/>
      <c r="F190" s="311"/>
      <c r="G190" s="311"/>
      <c r="H190" s="311"/>
      <c r="I190" s="311"/>
      <c r="J190" s="311"/>
    </row>
    <row r="191" spans="4:10" s="301" customFormat="1" x14ac:dyDescent="0.25">
      <c r="D191" s="311"/>
      <c r="E191" s="311"/>
      <c r="F191" s="311"/>
      <c r="G191" s="311"/>
      <c r="H191" s="311"/>
      <c r="I191" s="311"/>
      <c r="J191" s="311"/>
    </row>
    <row r="192" spans="4:10" s="301" customFormat="1" x14ac:dyDescent="0.25">
      <c r="D192" s="311"/>
      <c r="E192" s="311"/>
      <c r="F192" s="311"/>
      <c r="G192" s="311"/>
      <c r="H192" s="311"/>
      <c r="I192" s="311"/>
      <c r="J192" s="311"/>
    </row>
    <row r="193" spans="4:10" s="301" customFormat="1" x14ac:dyDescent="0.25">
      <c r="D193" s="311"/>
      <c r="E193" s="311"/>
      <c r="F193" s="311"/>
      <c r="G193" s="311"/>
      <c r="H193" s="311"/>
      <c r="I193" s="311"/>
      <c r="J193" s="311"/>
    </row>
    <row r="194" spans="4:10" s="301" customFormat="1" x14ac:dyDescent="0.25">
      <c r="D194" s="311"/>
      <c r="E194" s="311"/>
      <c r="F194" s="311"/>
      <c r="G194" s="311"/>
      <c r="H194" s="311"/>
      <c r="I194" s="311"/>
      <c r="J194" s="311"/>
    </row>
    <row r="195" spans="4:10" s="301" customFormat="1" x14ac:dyDescent="0.25">
      <c r="D195" s="311"/>
      <c r="E195" s="311"/>
      <c r="F195" s="311"/>
      <c r="G195" s="311"/>
      <c r="H195" s="311"/>
      <c r="I195" s="311"/>
      <c r="J195" s="311"/>
    </row>
    <row r="196" spans="4:10" s="301" customFormat="1" x14ac:dyDescent="0.25">
      <c r="D196" s="311"/>
      <c r="E196" s="311"/>
      <c r="F196" s="311"/>
      <c r="G196" s="311"/>
      <c r="H196" s="311"/>
      <c r="I196" s="311"/>
      <c r="J196" s="311"/>
    </row>
    <row r="197" spans="4:10" s="301" customFormat="1" x14ac:dyDescent="0.25">
      <c r="D197" s="311"/>
      <c r="E197" s="311"/>
      <c r="F197" s="311"/>
      <c r="G197" s="311"/>
      <c r="H197" s="311"/>
      <c r="I197" s="311"/>
      <c r="J197" s="311"/>
    </row>
    <row r="198" spans="4:10" s="301" customFormat="1" x14ac:dyDescent="0.25">
      <c r="D198" s="311"/>
      <c r="E198" s="311"/>
      <c r="F198" s="311"/>
      <c r="G198" s="311"/>
      <c r="H198" s="311"/>
      <c r="I198" s="311"/>
      <c r="J198" s="311"/>
    </row>
    <row r="199" spans="4:10" s="301" customFormat="1" x14ac:dyDescent="0.25">
      <c r="D199" s="311"/>
      <c r="E199" s="311"/>
      <c r="F199" s="311"/>
      <c r="G199" s="311"/>
      <c r="H199" s="311"/>
      <c r="I199" s="311"/>
      <c r="J199" s="311"/>
    </row>
    <row r="200" spans="4:10" s="301" customFormat="1" x14ac:dyDescent="0.25">
      <c r="D200" s="311"/>
      <c r="E200" s="311"/>
      <c r="F200" s="311"/>
      <c r="G200" s="311"/>
      <c r="H200" s="311"/>
      <c r="I200" s="311"/>
      <c r="J200" s="311"/>
    </row>
    <row r="201" spans="4:10" s="301" customFormat="1" x14ac:dyDescent="0.25">
      <c r="D201" s="311"/>
      <c r="E201" s="311"/>
      <c r="F201" s="311"/>
      <c r="G201" s="311"/>
      <c r="H201" s="311"/>
      <c r="I201" s="311"/>
      <c r="J201" s="311"/>
    </row>
    <row r="202" spans="4:10" s="301" customFormat="1" x14ac:dyDescent="0.25">
      <c r="D202" s="311"/>
      <c r="E202" s="311"/>
      <c r="F202" s="311"/>
      <c r="G202" s="311"/>
      <c r="H202" s="311"/>
      <c r="I202" s="311"/>
      <c r="J202" s="311"/>
    </row>
    <row r="203" spans="4:10" s="301" customFormat="1" x14ac:dyDescent="0.25">
      <c r="D203" s="311"/>
      <c r="E203" s="311"/>
      <c r="F203" s="311"/>
      <c r="G203" s="311"/>
      <c r="H203" s="311"/>
      <c r="I203" s="311"/>
      <c r="J203" s="311"/>
    </row>
    <row r="204" spans="4:10" s="301" customFormat="1" x14ac:dyDescent="0.25">
      <c r="D204" s="311"/>
      <c r="E204" s="311"/>
      <c r="F204" s="311"/>
      <c r="G204" s="311"/>
      <c r="H204" s="311"/>
      <c r="I204" s="311"/>
      <c r="J204" s="311"/>
    </row>
    <row r="205" spans="4:10" s="301" customFormat="1" x14ac:dyDescent="0.25">
      <c r="D205" s="311"/>
      <c r="E205" s="311"/>
      <c r="F205" s="311"/>
      <c r="G205" s="311"/>
      <c r="H205" s="311"/>
      <c r="I205" s="311"/>
      <c r="J205" s="311"/>
    </row>
    <row r="206" spans="4:10" s="301" customFormat="1" x14ac:dyDescent="0.25">
      <c r="D206" s="311"/>
      <c r="E206" s="311"/>
      <c r="F206" s="311"/>
      <c r="G206" s="311"/>
      <c r="H206" s="311"/>
      <c r="I206" s="311"/>
      <c r="J206" s="311"/>
    </row>
    <row r="207" spans="4:10" s="301" customFormat="1" x14ac:dyDescent="0.25">
      <c r="D207" s="311"/>
      <c r="E207" s="311"/>
      <c r="F207" s="311"/>
      <c r="G207" s="311"/>
      <c r="H207" s="311"/>
      <c r="I207" s="311"/>
      <c r="J207" s="311"/>
    </row>
    <row r="208" spans="4:10" s="301" customFormat="1" x14ac:dyDescent="0.25">
      <c r="D208" s="311"/>
      <c r="E208" s="311"/>
      <c r="F208" s="311"/>
      <c r="G208" s="311"/>
      <c r="H208" s="311"/>
      <c r="I208" s="311"/>
      <c r="J208" s="311"/>
    </row>
    <row r="209" spans="4:10" s="301" customFormat="1" x14ac:dyDescent="0.25">
      <c r="D209" s="311"/>
      <c r="E209" s="311"/>
      <c r="F209" s="311"/>
      <c r="G209" s="311"/>
      <c r="H209" s="311"/>
      <c r="I209" s="311"/>
      <c r="J209" s="311"/>
    </row>
    <row r="210" spans="4:10" s="301" customFormat="1" x14ac:dyDescent="0.25">
      <c r="D210" s="311"/>
      <c r="E210" s="311"/>
      <c r="F210" s="311"/>
      <c r="G210" s="311"/>
      <c r="H210" s="311"/>
      <c r="I210" s="311"/>
      <c r="J210" s="311"/>
    </row>
    <row r="211" spans="4:10" s="301" customFormat="1" x14ac:dyDescent="0.25">
      <c r="D211" s="311"/>
      <c r="E211" s="311"/>
      <c r="F211" s="311"/>
      <c r="G211" s="311"/>
      <c r="H211" s="311"/>
      <c r="I211" s="311"/>
      <c r="J211" s="311"/>
    </row>
    <row r="212" spans="4:10" s="301" customFormat="1" x14ac:dyDescent="0.25">
      <c r="D212" s="311"/>
      <c r="E212" s="311"/>
      <c r="F212" s="311"/>
      <c r="G212" s="311"/>
      <c r="H212" s="311"/>
      <c r="I212" s="311"/>
      <c r="J212" s="311"/>
    </row>
    <row r="213" spans="4:10" s="301" customFormat="1" x14ac:dyDescent="0.25">
      <c r="D213" s="311"/>
      <c r="E213" s="311"/>
      <c r="F213" s="311"/>
      <c r="G213" s="311"/>
      <c r="H213" s="311"/>
      <c r="I213" s="311"/>
      <c r="J213" s="311"/>
    </row>
    <row r="214" spans="4:10" s="301" customFormat="1" x14ac:dyDescent="0.25">
      <c r="D214" s="311"/>
      <c r="E214" s="311"/>
      <c r="F214" s="311"/>
      <c r="G214" s="311"/>
      <c r="H214" s="311"/>
      <c r="I214" s="311"/>
      <c r="J214" s="311"/>
    </row>
    <row r="215" spans="4:10" s="301" customFormat="1" x14ac:dyDescent="0.25">
      <c r="D215" s="311"/>
      <c r="E215" s="311"/>
      <c r="F215" s="311"/>
      <c r="G215" s="311"/>
      <c r="H215" s="311"/>
      <c r="I215" s="311"/>
      <c r="J215" s="311"/>
    </row>
    <row r="216" spans="4:10" s="301" customFormat="1" x14ac:dyDescent="0.25">
      <c r="D216" s="311"/>
      <c r="E216" s="311"/>
      <c r="F216" s="311"/>
      <c r="G216" s="311"/>
      <c r="H216" s="311"/>
      <c r="I216" s="311"/>
      <c r="J216" s="311"/>
    </row>
    <row r="217" spans="4:10" s="301" customFormat="1" x14ac:dyDescent="0.25">
      <c r="D217" s="311"/>
      <c r="E217" s="311"/>
      <c r="F217" s="311"/>
      <c r="G217" s="311"/>
      <c r="H217" s="311"/>
      <c r="I217" s="311"/>
      <c r="J217" s="311"/>
    </row>
    <row r="218" spans="4:10" s="301" customFormat="1" x14ac:dyDescent="0.25">
      <c r="D218" s="311"/>
      <c r="E218" s="311"/>
      <c r="F218" s="311"/>
      <c r="G218" s="311"/>
      <c r="H218" s="311"/>
      <c r="I218" s="311"/>
      <c r="J218" s="311"/>
    </row>
    <row r="219" spans="4:10" s="301" customFormat="1" x14ac:dyDescent="0.25">
      <c r="D219" s="311"/>
      <c r="E219" s="311"/>
      <c r="F219" s="311"/>
      <c r="G219" s="311"/>
      <c r="H219" s="311"/>
      <c r="I219" s="311"/>
      <c r="J219" s="311"/>
    </row>
    <row r="220" spans="4:10" s="301" customFormat="1" x14ac:dyDescent="0.25">
      <c r="D220" s="311"/>
      <c r="E220" s="311"/>
      <c r="F220" s="311"/>
      <c r="G220" s="311"/>
      <c r="H220" s="311"/>
      <c r="I220" s="311"/>
      <c r="J220" s="311"/>
    </row>
    <row r="221" spans="4:10" s="301" customFormat="1" x14ac:dyDescent="0.25">
      <c r="D221" s="311"/>
      <c r="E221" s="311"/>
      <c r="F221" s="311"/>
      <c r="G221" s="311"/>
      <c r="H221" s="311"/>
      <c r="I221" s="311"/>
      <c r="J221" s="311"/>
    </row>
    <row r="222" spans="4:10" s="301" customFormat="1" x14ac:dyDescent="0.25">
      <c r="D222" s="311"/>
      <c r="E222" s="311"/>
      <c r="F222" s="311"/>
      <c r="G222" s="311"/>
      <c r="H222" s="311"/>
      <c r="I222" s="311"/>
      <c r="J222" s="311"/>
    </row>
    <row r="223" spans="4:10" s="301" customFormat="1" x14ac:dyDescent="0.25">
      <c r="D223" s="311"/>
      <c r="E223" s="311"/>
      <c r="F223" s="311"/>
      <c r="G223" s="311"/>
      <c r="H223" s="311"/>
      <c r="I223" s="311"/>
      <c r="J223" s="311"/>
    </row>
    <row r="224" spans="4:10" s="301" customFormat="1" x14ac:dyDescent="0.25">
      <c r="D224" s="311"/>
      <c r="E224" s="311"/>
      <c r="F224" s="311"/>
      <c r="G224" s="311"/>
      <c r="H224" s="311"/>
      <c r="I224" s="311"/>
      <c r="J224" s="311"/>
    </row>
    <row r="225" spans="4:10" s="301" customFormat="1" x14ac:dyDescent="0.25">
      <c r="D225" s="311"/>
      <c r="E225" s="311"/>
      <c r="F225" s="311"/>
      <c r="G225" s="311"/>
      <c r="H225" s="311"/>
      <c r="I225" s="311"/>
      <c r="J225" s="311"/>
    </row>
    <row r="226" spans="4:10" s="301" customFormat="1" x14ac:dyDescent="0.25">
      <c r="D226" s="311"/>
      <c r="E226" s="311"/>
      <c r="F226" s="311"/>
      <c r="G226" s="311"/>
      <c r="H226" s="311"/>
      <c r="I226" s="311"/>
      <c r="J226" s="311"/>
    </row>
    <row r="227" spans="4:10" s="301" customFormat="1" x14ac:dyDescent="0.25">
      <c r="D227" s="311"/>
      <c r="E227" s="311"/>
      <c r="F227" s="311"/>
      <c r="G227" s="311"/>
      <c r="H227" s="311"/>
      <c r="I227" s="311"/>
      <c r="J227" s="311"/>
    </row>
    <row r="228" spans="4:10" s="301" customFormat="1" x14ac:dyDescent="0.25">
      <c r="D228" s="311"/>
      <c r="E228" s="311"/>
      <c r="F228" s="311"/>
      <c r="G228" s="311"/>
      <c r="H228" s="311"/>
      <c r="I228" s="311"/>
      <c r="J228" s="311"/>
    </row>
    <row r="229" spans="4:10" s="301" customFormat="1" x14ac:dyDescent="0.25">
      <c r="D229" s="311"/>
      <c r="E229" s="311"/>
      <c r="F229" s="311"/>
      <c r="G229" s="311"/>
      <c r="H229" s="311"/>
      <c r="I229" s="311"/>
      <c r="J229" s="311"/>
    </row>
    <row r="230" spans="4:10" s="301" customFormat="1" x14ac:dyDescent="0.25">
      <c r="D230" s="311"/>
      <c r="E230" s="311"/>
      <c r="F230" s="311"/>
      <c r="G230" s="311"/>
      <c r="H230" s="311"/>
      <c r="I230" s="311"/>
      <c r="J230" s="311"/>
    </row>
    <row r="231" spans="4:10" s="301" customFormat="1" x14ac:dyDescent="0.25">
      <c r="D231" s="311"/>
      <c r="E231" s="311"/>
      <c r="F231" s="311"/>
      <c r="G231" s="311"/>
      <c r="H231" s="311"/>
      <c r="I231" s="311"/>
      <c r="J231" s="311"/>
    </row>
    <row r="232" spans="4:10" s="301" customFormat="1" x14ac:dyDescent="0.25">
      <c r="D232" s="311"/>
      <c r="E232" s="311"/>
      <c r="F232" s="311"/>
      <c r="G232" s="311"/>
      <c r="H232" s="311"/>
      <c r="I232" s="311"/>
      <c r="J232" s="311"/>
    </row>
    <row r="233" spans="4:10" s="301" customFormat="1" x14ac:dyDescent="0.25">
      <c r="D233" s="311"/>
      <c r="E233" s="311"/>
      <c r="F233" s="311"/>
      <c r="G233" s="311"/>
      <c r="H233" s="311"/>
      <c r="I233" s="311"/>
      <c r="J233" s="311"/>
    </row>
    <row r="234" spans="4:10" s="301" customFormat="1" x14ac:dyDescent="0.25">
      <c r="D234" s="311"/>
      <c r="E234" s="311"/>
      <c r="F234" s="311"/>
      <c r="G234" s="311"/>
      <c r="H234" s="311"/>
      <c r="I234" s="311"/>
      <c r="J234" s="311"/>
    </row>
    <row r="235" spans="4:10" s="301" customFormat="1" x14ac:dyDescent="0.25">
      <c r="D235" s="311"/>
      <c r="E235" s="311"/>
      <c r="F235" s="311"/>
      <c r="G235" s="311"/>
      <c r="H235" s="311"/>
      <c r="I235" s="311"/>
      <c r="J235" s="311"/>
    </row>
    <row r="236" spans="4:10" s="301" customFormat="1" x14ac:dyDescent="0.25">
      <c r="D236" s="311"/>
      <c r="E236" s="311"/>
      <c r="F236" s="311"/>
      <c r="G236" s="311"/>
      <c r="H236" s="311"/>
      <c r="I236" s="311"/>
      <c r="J236" s="311"/>
    </row>
    <row r="237" spans="4:10" s="301" customFormat="1" x14ac:dyDescent="0.25">
      <c r="D237" s="311"/>
      <c r="E237" s="311"/>
      <c r="F237" s="311"/>
      <c r="G237" s="311"/>
      <c r="H237" s="311"/>
      <c r="I237" s="311"/>
      <c r="J237" s="311"/>
    </row>
    <row r="238" spans="4:10" s="301" customFormat="1" x14ac:dyDescent="0.25">
      <c r="D238" s="311"/>
      <c r="E238" s="311"/>
      <c r="F238" s="311"/>
      <c r="G238" s="311"/>
      <c r="H238" s="311"/>
      <c r="I238" s="311"/>
      <c r="J238" s="311"/>
    </row>
    <row r="239" spans="4:10" s="301" customFormat="1" x14ac:dyDescent="0.25">
      <c r="D239" s="311"/>
      <c r="E239" s="311"/>
      <c r="F239" s="311"/>
      <c r="G239" s="311"/>
      <c r="H239" s="311"/>
      <c r="I239" s="311"/>
      <c r="J239" s="311"/>
    </row>
    <row r="240" spans="4:10" s="301" customFormat="1" x14ac:dyDescent="0.25">
      <c r="D240" s="311"/>
      <c r="E240" s="311"/>
      <c r="F240" s="311"/>
      <c r="G240" s="311"/>
      <c r="H240" s="311"/>
      <c r="I240" s="311"/>
      <c r="J240" s="311"/>
    </row>
    <row r="241" spans="4:10" s="301" customFormat="1" x14ac:dyDescent="0.25">
      <c r="D241" s="311"/>
      <c r="E241" s="311"/>
      <c r="F241" s="311"/>
      <c r="G241" s="311"/>
      <c r="H241" s="311"/>
      <c r="I241" s="311"/>
      <c r="J241" s="311"/>
    </row>
    <row r="242" spans="4:10" s="301" customFormat="1" x14ac:dyDescent="0.25">
      <c r="D242" s="311"/>
      <c r="E242" s="311"/>
      <c r="F242" s="311"/>
      <c r="G242" s="311"/>
      <c r="H242" s="311"/>
      <c r="I242" s="311"/>
      <c r="J242" s="311"/>
    </row>
    <row r="243" spans="4:10" s="301" customFormat="1" x14ac:dyDescent="0.25">
      <c r="D243" s="311"/>
      <c r="E243" s="311"/>
      <c r="F243" s="311"/>
      <c r="G243" s="311"/>
      <c r="H243" s="311"/>
      <c r="I243" s="311"/>
      <c r="J243" s="311"/>
    </row>
    <row r="244" spans="4:10" s="301" customFormat="1" x14ac:dyDescent="0.25">
      <c r="D244" s="311"/>
      <c r="E244" s="311"/>
      <c r="F244" s="311"/>
      <c r="G244" s="311"/>
      <c r="H244" s="311"/>
      <c r="I244" s="311"/>
      <c r="J244" s="311"/>
    </row>
    <row r="245" spans="4:10" s="301" customFormat="1" x14ac:dyDescent="0.25">
      <c r="D245" s="311"/>
      <c r="E245" s="311"/>
      <c r="F245" s="311"/>
      <c r="G245" s="311"/>
      <c r="H245" s="311"/>
      <c r="I245" s="311"/>
      <c r="J245" s="311"/>
    </row>
    <row r="246" spans="4:10" s="301" customFormat="1" x14ac:dyDescent="0.25">
      <c r="D246" s="311"/>
      <c r="E246" s="311"/>
      <c r="F246" s="311"/>
      <c r="G246" s="311"/>
      <c r="H246" s="311"/>
      <c r="I246" s="311"/>
      <c r="J246" s="311"/>
    </row>
    <row r="247" spans="4:10" s="301" customFormat="1" x14ac:dyDescent="0.25">
      <c r="D247" s="311"/>
      <c r="E247" s="311"/>
      <c r="F247" s="311"/>
      <c r="G247" s="311"/>
      <c r="H247" s="311"/>
      <c r="I247" s="311"/>
      <c r="J247" s="311"/>
    </row>
    <row r="248" spans="4:10" s="301" customFormat="1" x14ac:dyDescent="0.25">
      <c r="D248" s="311"/>
      <c r="E248" s="311"/>
      <c r="F248" s="311"/>
      <c r="G248" s="311"/>
      <c r="H248" s="311"/>
      <c r="I248" s="311"/>
      <c r="J248" s="311"/>
    </row>
    <row r="249" spans="4:10" s="301" customFormat="1" x14ac:dyDescent="0.25">
      <c r="D249" s="311"/>
      <c r="E249" s="311"/>
      <c r="F249" s="311"/>
      <c r="G249" s="311"/>
      <c r="H249" s="311"/>
      <c r="I249" s="311"/>
      <c r="J249" s="311"/>
    </row>
    <row r="250" spans="4:10" s="301" customFormat="1" x14ac:dyDescent="0.25">
      <c r="D250" s="311"/>
      <c r="E250" s="311"/>
      <c r="F250" s="311"/>
      <c r="G250" s="311"/>
      <c r="H250" s="311"/>
      <c r="I250" s="311"/>
      <c r="J250" s="311"/>
    </row>
    <row r="251" spans="4:10" s="301" customFormat="1" x14ac:dyDescent="0.25">
      <c r="D251" s="311"/>
      <c r="E251" s="311"/>
      <c r="F251" s="311"/>
      <c r="G251" s="311"/>
      <c r="H251" s="311"/>
      <c r="I251" s="311"/>
      <c r="J251" s="311"/>
    </row>
    <row r="252" spans="4:10" s="301" customFormat="1" x14ac:dyDescent="0.25">
      <c r="D252" s="311"/>
      <c r="E252" s="311"/>
      <c r="F252" s="311"/>
      <c r="G252" s="311"/>
      <c r="H252" s="311"/>
      <c r="I252" s="311"/>
      <c r="J252" s="311"/>
    </row>
    <row r="253" spans="4:10" s="301" customFormat="1" x14ac:dyDescent="0.25">
      <c r="D253" s="311"/>
      <c r="E253" s="311"/>
      <c r="F253" s="311"/>
      <c r="G253" s="311"/>
      <c r="H253" s="311"/>
      <c r="I253" s="311"/>
      <c r="J253" s="311"/>
    </row>
    <row r="254" spans="4:10" s="301" customFormat="1" x14ac:dyDescent="0.25">
      <c r="D254" s="311"/>
      <c r="E254" s="311"/>
      <c r="F254" s="311"/>
      <c r="G254" s="311"/>
      <c r="H254" s="311"/>
      <c r="I254" s="311"/>
      <c r="J254" s="311"/>
    </row>
    <row r="255" spans="4:10" s="301" customFormat="1" x14ac:dyDescent="0.25">
      <c r="D255" s="311"/>
      <c r="E255" s="311"/>
      <c r="F255" s="311"/>
      <c r="G255" s="311"/>
      <c r="H255" s="311"/>
      <c r="I255" s="311"/>
      <c r="J255" s="311"/>
    </row>
    <row r="256" spans="4:10" s="301" customFormat="1" x14ac:dyDescent="0.25">
      <c r="D256" s="311"/>
      <c r="E256" s="311"/>
      <c r="F256" s="311"/>
      <c r="G256" s="311"/>
      <c r="H256" s="311"/>
      <c r="I256" s="311"/>
      <c r="J256" s="311"/>
    </row>
    <row r="257" spans="4:10" s="301" customFormat="1" x14ac:dyDescent="0.25">
      <c r="D257" s="311"/>
      <c r="E257" s="311"/>
      <c r="F257" s="311"/>
      <c r="G257" s="311"/>
      <c r="H257" s="311"/>
      <c r="I257" s="311"/>
      <c r="J257" s="311"/>
    </row>
    <row r="258" spans="4:10" s="301" customFormat="1" x14ac:dyDescent="0.25">
      <c r="D258" s="311"/>
      <c r="E258" s="311"/>
      <c r="F258" s="311"/>
      <c r="G258" s="311"/>
      <c r="H258" s="311"/>
      <c r="I258" s="311"/>
      <c r="J258" s="311"/>
    </row>
    <row r="259" spans="4:10" s="301" customFormat="1" x14ac:dyDescent="0.25">
      <c r="D259" s="311"/>
      <c r="E259" s="311"/>
      <c r="F259" s="311"/>
      <c r="G259" s="311"/>
      <c r="H259" s="311"/>
      <c r="I259" s="311"/>
      <c r="J259" s="311"/>
    </row>
    <row r="260" spans="4:10" s="301" customFormat="1" x14ac:dyDescent="0.25">
      <c r="D260" s="311"/>
      <c r="E260" s="311"/>
      <c r="F260" s="311"/>
      <c r="G260" s="311"/>
      <c r="H260" s="311"/>
      <c r="I260" s="311"/>
      <c r="J260" s="311"/>
    </row>
    <row r="261" spans="4:10" s="301" customFormat="1" x14ac:dyDescent="0.25">
      <c r="D261" s="311"/>
      <c r="E261" s="311"/>
      <c r="F261" s="311"/>
      <c r="G261" s="311"/>
      <c r="H261" s="311"/>
      <c r="I261" s="311"/>
      <c r="J261" s="311"/>
    </row>
    <row r="262" spans="4:10" s="301" customFormat="1" x14ac:dyDescent="0.25">
      <c r="D262" s="311"/>
      <c r="E262" s="311"/>
      <c r="F262" s="311"/>
      <c r="G262" s="311"/>
      <c r="H262" s="311"/>
      <c r="I262" s="311"/>
      <c r="J262" s="311"/>
    </row>
    <row r="263" spans="4:10" s="301" customFormat="1" x14ac:dyDescent="0.25">
      <c r="D263" s="311"/>
      <c r="E263" s="311"/>
      <c r="F263" s="311"/>
      <c r="G263" s="311"/>
      <c r="H263" s="311"/>
      <c r="I263" s="311"/>
      <c r="J263" s="311"/>
    </row>
    <row r="264" spans="4:10" s="301" customFormat="1" x14ac:dyDescent="0.25">
      <c r="D264" s="311"/>
      <c r="E264" s="311"/>
      <c r="F264" s="311"/>
      <c r="G264" s="311"/>
      <c r="H264" s="311"/>
      <c r="I264" s="311"/>
      <c r="J264" s="311"/>
    </row>
    <row r="265" spans="4:10" s="301" customFormat="1" x14ac:dyDescent="0.25">
      <c r="D265" s="311"/>
      <c r="E265" s="311"/>
      <c r="F265" s="311"/>
      <c r="G265" s="311"/>
      <c r="H265" s="311"/>
      <c r="I265" s="311"/>
      <c r="J265" s="311"/>
    </row>
    <row r="266" spans="4:10" s="301" customFormat="1" x14ac:dyDescent="0.25">
      <c r="D266" s="311"/>
      <c r="E266" s="311"/>
      <c r="F266" s="311"/>
      <c r="G266" s="311"/>
      <c r="H266" s="311"/>
      <c r="I266" s="311"/>
      <c r="J266" s="311"/>
    </row>
    <row r="267" spans="4:10" s="301" customFormat="1" x14ac:dyDescent="0.25">
      <c r="D267" s="311"/>
      <c r="E267" s="311"/>
      <c r="F267" s="311"/>
      <c r="G267" s="311"/>
      <c r="H267" s="311"/>
      <c r="I267" s="311"/>
      <c r="J267" s="311"/>
    </row>
    <row r="268" spans="4:10" s="301" customFormat="1" x14ac:dyDescent="0.25">
      <c r="D268" s="311"/>
      <c r="E268" s="311"/>
      <c r="F268" s="311"/>
      <c r="G268" s="311"/>
      <c r="H268" s="311"/>
      <c r="I268" s="311"/>
      <c r="J268" s="311"/>
    </row>
    <row r="269" spans="4:10" s="301" customFormat="1" x14ac:dyDescent="0.25">
      <c r="D269" s="311"/>
      <c r="E269" s="311"/>
      <c r="F269" s="311"/>
      <c r="G269" s="311"/>
      <c r="H269" s="311"/>
      <c r="I269" s="311"/>
      <c r="J269" s="311"/>
    </row>
    <row r="270" spans="4:10" s="301" customFormat="1" x14ac:dyDescent="0.25">
      <c r="D270" s="311"/>
      <c r="E270" s="311"/>
      <c r="F270" s="311"/>
      <c r="G270" s="311"/>
      <c r="H270" s="311"/>
      <c r="I270" s="311"/>
      <c r="J270" s="311"/>
    </row>
    <row r="271" spans="4:10" s="301" customFormat="1" x14ac:dyDescent="0.25">
      <c r="D271" s="311"/>
      <c r="E271" s="311"/>
      <c r="F271" s="311"/>
      <c r="G271" s="311"/>
      <c r="H271" s="311"/>
      <c r="I271" s="311"/>
      <c r="J271" s="311"/>
    </row>
    <row r="272" spans="4:10" s="301" customFormat="1" x14ac:dyDescent="0.25">
      <c r="D272" s="311"/>
      <c r="E272" s="311"/>
      <c r="F272" s="311"/>
      <c r="G272" s="311"/>
      <c r="H272" s="311"/>
      <c r="I272" s="311"/>
      <c r="J272" s="311"/>
    </row>
    <row r="273" spans="4:10" s="301" customFormat="1" x14ac:dyDescent="0.25">
      <c r="D273" s="311"/>
      <c r="E273" s="311"/>
      <c r="F273" s="311"/>
      <c r="G273" s="311"/>
      <c r="H273" s="311"/>
      <c r="I273" s="311"/>
      <c r="J273" s="311"/>
    </row>
    <row r="274" spans="4:10" s="301" customFormat="1" x14ac:dyDescent="0.25">
      <c r="D274" s="311"/>
      <c r="E274" s="311"/>
      <c r="F274" s="311"/>
      <c r="G274" s="311"/>
      <c r="H274" s="311"/>
      <c r="I274" s="311"/>
      <c r="J274" s="311"/>
    </row>
    <row r="275" spans="4:10" s="301" customFormat="1" x14ac:dyDescent="0.25">
      <c r="D275" s="311"/>
      <c r="E275" s="311"/>
      <c r="F275" s="311"/>
      <c r="G275" s="311"/>
      <c r="H275" s="311"/>
      <c r="I275" s="311"/>
      <c r="J275" s="311"/>
    </row>
    <row r="276" spans="4:10" s="301" customFormat="1" x14ac:dyDescent="0.25">
      <c r="D276" s="311"/>
      <c r="E276" s="311"/>
      <c r="F276" s="311"/>
      <c r="G276" s="311"/>
      <c r="H276" s="311"/>
      <c r="I276" s="311"/>
      <c r="J276" s="311"/>
    </row>
    <row r="277" spans="4:10" s="301" customFormat="1" x14ac:dyDescent="0.25">
      <c r="D277" s="311"/>
      <c r="E277" s="311"/>
      <c r="F277" s="311"/>
      <c r="G277" s="311"/>
      <c r="H277" s="311"/>
      <c r="I277" s="311"/>
      <c r="J277" s="311"/>
    </row>
    <row r="278" spans="4:10" s="301" customFormat="1" x14ac:dyDescent="0.25">
      <c r="D278" s="311"/>
      <c r="E278" s="311"/>
      <c r="F278" s="311"/>
      <c r="G278" s="311"/>
      <c r="H278" s="311"/>
      <c r="I278" s="311"/>
      <c r="J278" s="311"/>
    </row>
    <row r="279" spans="4:10" s="301" customFormat="1" x14ac:dyDescent="0.25">
      <c r="D279" s="311"/>
      <c r="E279" s="311"/>
      <c r="F279" s="311"/>
      <c r="G279" s="311"/>
      <c r="H279" s="311"/>
      <c r="I279" s="311"/>
      <c r="J279" s="311"/>
    </row>
    <row r="280" spans="4:10" s="301" customFormat="1" x14ac:dyDescent="0.25">
      <c r="D280" s="311"/>
      <c r="E280" s="311"/>
      <c r="F280" s="311"/>
      <c r="G280" s="311"/>
      <c r="H280" s="311"/>
      <c r="I280" s="311"/>
      <c r="J280" s="311"/>
    </row>
    <row r="281" spans="4:10" s="301" customFormat="1" x14ac:dyDescent="0.25">
      <c r="D281" s="311"/>
      <c r="E281" s="311"/>
      <c r="F281" s="311"/>
      <c r="G281" s="311"/>
      <c r="H281" s="311"/>
      <c r="I281" s="311"/>
      <c r="J281" s="311"/>
    </row>
    <row r="282" spans="4:10" s="301" customFormat="1" x14ac:dyDescent="0.25">
      <c r="D282" s="311"/>
      <c r="E282" s="311"/>
      <c r="F282" s="311"/>
      <c r="G282" s="311"/>
      <c r="H282" s="311"/>
      <c r="I282" s="311"/>
      <c r="J282" s="311"/>
    </row>
    <row r="283" spans="4:10" s="301" customFormat="1" x14ac:dyDescent="0.25">
      <c r="D283" s="311"/>
      <c r="E283" s="311"/>
      <c r="F283" s="311"/>
      <c r="G283" s="311"/>
      <c r="H283" s="311"/>
      <c r="I283" s="311"/>
      <c r="J283" s="311"/>
    </row>
    <row r="284" spans="4:10" s="301" customFormat="1" x14ac:dyDescent="0.25">
      <c r="D284" s="311"/>
      <c r="E284" s="311"/>
      <c r="F284" s="311"/>
      <c r="G284" s="311"/>
      <c r="H284" s="311"/>
      <c r="I284" s="311"/>
      <c r="J284" s="311"/>
    </row>
    <row r="285" spans="4:10" s="301" customFormat="1" x14ac:dyDescent="0.25">
      <c r="D285" s="311"/>
      <c r="E285" s="311"/>
      <c r="F285" s="311"/>
      <c r="G285" s="311"/>
      <c r="H285" s="311"/>
      <c r="I285" s="311"/>
      <c r="J285" s="311"/>
    </row>
    <row r="286" spans="4:10" s="301" customFormat="1" x14ac:dyDescent="0.25">
      <c r="D286" s="311"/>
      <c r="E286" s="311"/>
      <c r="F286" s="311"/>
      <c r="G286" s="311"/>
      <c r="H286" s="311"/>
      <c r="I286" s="311"/>
      <c r="J286" s="311"/>
    </row>
    <row r="287" spans="4:10" s="301" customFormat="1" x14ac:dyDescent="0.25">
      <c r="D287" s="311"/>
      <c r="E287" s="311"/>
      <c r="F287" s="311"/>
      <c r="G287" s="269"/>
      <c r="H287" s="269"/>
      <c r="I287" s="269"/>
      <c r="J287" s="311"/>
    </row>
    <row r="288" spans="4:10" s="301" customFormat="1" x14ac:dyDescent="0.25">
      <c r="D288" s="311"/>
      <c r="E288" s="311"/>
      <c r="F288" s="311"/>
      <c r="G288" s="269"/>
      <c r="H288" s="269"/>
      <c r="I288" s="269"/>
      <c r="J288" s="311"/>
    </row>
    <row r="289" spans="4:10" s="301" customFormat="1" x14ac:dyDescent="0.25">
      <c r="D289" s="311"/>
      <c r="E289" s="311"/>
      <c r="F289" s="311"/>
      <c r="G289" s="269"/>
      <c r="H289" s="269"/>
      <c r="I289" s="269"/>
      <c r="J289" s="311"/>
    </row>
    <row r="290" spans="4:10" s="301" customFormat="1" x14ac:dyDescent="0.25">
      <c r="D290" s="311"/>
      <c r="E290" s="311"/>
      <c r="F290" s="311"/>
      <c r="G290" s="269"/>
      <c r="H290" s="269"/>
      <c r="I290" s="269"/>
      <c r="J290" s="311"/>
    </row>
    <row r="291" spans="4:10" s="301" customFormat="1" x14ac:dyDescent="0.25">
      <c r="D291" s="311"/>
      <c r="E291" s="311"/>
      <c r="F291" s="311"/>
      <c r="G291" s="269"/>
      <c r="H291" s="269"/>
      <c r="I291" s="269"/>
      <c r="J291" s="311"/>
    </row>
  </sheetData>
  <mergeCells count="42">
    <mergeCell ref="G135:I138"/>
    <mergeCell ref="G140:I141"/>
    <mergeCell ref="A135:E141"/>
    <mergeCell ref="A143:E146"/>
    <mergeCell ref="A73:E76"/>
    <mergeCell ref="A127:E129"/>
    <mergeCell ref="A131:E133"/>
    <mergeCell ref="G130:I133"/>
    <mergeCell ref="G118:I120"/>
    <mergeCell ref="G122:I128"/>
    <mergeCell ref="G83:I84"/>
    <mergeCell ref="G86:I88"/>
    <mergeCell ref="G90:I92"/>
    <mergeCell ref="A124:E125"/>
    <mergeCell ref="A121:E122"/>
    <mergeCell ref="A116:E119"/>
    <mergeCell ref="G109:I116"/>
    <mergeCell ref="G73:I76"/>
    <mergeCell ref="G78:I81"/>
    <mergeCell ref="G94:I95"/>
    <mergeCell ref="E55:H55"/>
    <mergeCell ref="E56:H56"/>
    <mergeCell ref="A113:E114"/>
    <mergeCell ref="A78:E107"/>
    <mergeCell ref="G105:I107"/>
    <mergeCell ref="G101:I103"/>
    <mergeCell ref="A109:E111"/>
    <mergeCell ref="G97:I99"/>
    <mergeCell ref="E57:H57"/>
    <mergeCell ref="E59:H59"/>
    <mergeCell ref="E58:H58"/>
    <mergeCell ref="E54:H54"/>
    <mergeCell ref="B7:D7"/>
    <mergeCell ref="G7:H7"/>
    <mergeCell ref="E49:H49"/>
    <mergeCell ref="E51:H51"/>
    <mergeCell ref="E53:H53"/>
    <mergeCell ref="E47:H47"/>
    <mergeCell ref="E48:H48"/>
    <mergeCell ref="E50:H50"/>
    <mergeCell ref="E46:H46"/>
    <mergeCell ref="E52:H52"/>
  </mergeCells>
  <phoneticPr fontId="61" type="noConversion"/>
  <pageMargins left="0.70866141732283472" right="0.70866141732283472" top="0.74803149606299213" bottom="0.74803149606299213" header="0.31496062992125984" footer="0.31496062992125984"/>
  <pageSetup paperSize="9" scale="54" fitToHeight="2" orientation="landscape" r:id="rId1"/>
  <headerFooter>
    <oddHeader xml:space="preserve">&amp;CLincolnshire County Council </oddHeader>
    <oddFooter>&amp;C2016/17 Special School Budget Share Calculation
2016/17 Funding Summary</oddFooter>
  </headerFooter>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3"/>
  <sheetViews>
    <sheetView workbookViewId="0">
      <selection sqref="A1:XFD1048576"/>
    </sheetView>
  </sheetViews>
  <sheetFormatPr defaultRowHeight="12.5" x14ac:dyDescent="0.25"/>
  <cols>
    <col min="1" max="1" width="29.453125" bestFit="1" customWidth="1"/>
    <col min="2" max="2" width="11.1796875" bestFit="1" customWidth="1"/>
    <col min="4" max="4" width="11.1796875" bestFit="1" customWidth="1"/>
    <col min="6" max="6" width="10.1796875" bestFit="1" customWidth="1"/>
  </cols>
  <sheetData>
    <row r="2" spans="1:8" ht="13" x14ac:dyDescent="0.3">
      <c r="A2" s="1" t="s">
        <v>505</v>
      </c>
      <c r="B2" s="503" t="s">
        <v>834</v>
      </c>
      <c r="C2" s="503"/>
      <c r="D2" s="503" t="s">
        <v>622</v>
      </c>
      <c r="E2" s="504"/>
      <c r="F2" s="503" t="s">
        <v>524</v>
      </c>
    </row>
    <row r="3" spans="1:8" x14ac:dyDescent="0.25">
      <c r="B3" s="16"/>
      <c r="C3" s="2"/>
      <c r="D3" s="2"/>
      <c r="F3" s="2"/>
    </row>
    <row r="4" spans="1:8" x14ac:dyDescent="0.25">
      <c r="A4" s="612" t="s">
        <v>511</v>
      </c>
      <c r="B4" s="418">
        <f>'1819 Funding Detail'!AI25</f>
        <v>28123653.133561216</v>
      </c>
      <c r="C4" s="2"/>
      <c r="D4" s="16">
        <v>25776508.120230969</v>
      </c>
      <c r="E4" s="502"/>
      <c r="F4" s="16">
        <f>B4-D4</f>
        <v>2347145.0133302473</v>
      </c>
      <c r="H4" s="612" t="s">
        <v>835</v>
      </c>
    </row>
    <row r="5" spans="1:8" x14ac:dyDescent="0.25">
      <c r="A5" s="612" t="s">
        <v>512</v>
      </c>
      <c r="B5" s="418">
        <f>'1819 Funding Detail'!F25</f>
        <v>909110</v>
      </c>
      <c r="C5" s="2"/>
      <c r="D5" s="16">
        <v>889975.85</v>
      </c>
      <c r="E5" s="502"/>
      <c r="F5" s="16">
        <f t="shared" ref="F5:F11" si="0">B5-D5</f>
        <v>19134.150000000023</v>
      </c>
      <c r="H5" s="612" t="s">
        <v>836</v>
      </c>
    </row>
    <row r="6" spans="1:8" x14ac:dyDescent="0.25">
      <c r="A6" s="612" t="s">
        <v>603</v>
      </c>
      <c r="B6" s="418">
        <f>'1819 Funding Detail'!G25</f>
        <v>41787</v>
      </c>
      <c r="C6" s="2"/>
      <c r="D6" s="16">
        <v>41787</v>
      </c>
      <c r="E6" s="502"/>
      <c r="F6" s="16">
        <f t="shared" si="0"/>
        <v>0</v>
      </c>
      <c r="H6" s="612"/>
    </row>
    <row r="7" spans="1:8" x14ac:dyDescent="0.25">
      <c r="A7" s="612" t="s">
        <v>506</v>
      </c>
      <c r="B7" s="418">
        <f>SUM('2018-19 Other Funding'!AW26)</f>
        <v>757936</v>
      </c>
      <c r="C7" s="2"/>
      <c r="D7" s="16">
        <v>757936</v>
      </c>
      <c r="E7" s="502"/>
      <c r="F7" s="16">
        <f t="shared" si="0"/>
        <v>0</v>
      </c>
      <c r="H7" s="610"/>
    </row>
    <row r="8" spans="1:8" ht="13" x14ac:dyDescent="0.3">
      <c r="A8" s="612" t="s">
        <v>183</v>
      </c>
      <c r="B8" s="418">
        <f>'2018-19 Other Funding'!AU26</f>
        <v>317322</v>
      </c>
      <c r="C8" s="2"/>
      <c r="D8" s="16">
        <v>317322</v>
      </c>
      <c r="E8" s="502"/>
      <c r="F8" s="16">
        <f t="shared" si="0"/>
        <v>0</v>
      </c>
      <c r="H8" s="416"/>
    </row>
    <row r="9" spans="1:8" x14ac:dyDescent="0.25">
      <c r="A9" s="612" t="s">
        <v>184</v>
      </c>
      <c r="B9" s="418">
        <f>'2018-19 Other Funding'!AY26</f>
        <v>1119519</v>
      </c>
      <c r="C9" s="2"/>
      <c r="D9" s="16">
        <v>1119519</v>
      </c>
      <c r="E9" s="502"/>
      <c r="F9" s="16">
        <f t="shared" si="0"/>
        <v>0</v>
      </c>
      <c r="H9" s="20"/>
    </row>
    <row r="10" spans="1:8" x14ac:dyDescent="0.25">
      <c r="A10" s="612" t="s">
        <v>507</v>
      </c>
      <c r="B10" s="670">
        <v>1326280</v>
      </c>
      <c r="C10" s="2"/>
      <c r="D10" s="16">
        <v>1312995</v>
      </c>
      <c r="E10" s="502"/>
      <c r="F10" s="16">
        <f t="shared" si="0"/>
        <v>13285</v>
      </c>
      <c r="H10" s="611" t="s">
        <v>837</v>
      </c>
    </row>
    <row r="11" spans="1:8" x14ac:dyDescent="0.25">
      <c r="A11" s="612" t="s">
        <v>508</v>
      </c>
      <c r="B11" s="671">
        <v>297956</v>
      </c>
      <c r="C11" s="2"/>
      <c r="D11" s="16">
        <v>291991</v>
      </c>
      <c r="E11" s="502"/>
      <c r="F11" s="16">
        <f t="shared" si="0"/>
        <v>5965</v>
      </c>
      <c r="H11" s="611" t="s">
        <v>837</v>
      </c>
    </row>
    <row r="12" spans="1:8" ht="13" x14ac:dyDescent="0.3">
      <c r="A12" s="612"/>
      <c r="B12" s="346"/>
      <c r="C12" s="2"/>
      <c r="D12" s="16"/>
      <c r="E12" s="502"/>
      <c r="F12" s="419"/>
    </row>
    <row r="13" spans="1:8" ht="13" x14ac:dyDescent="0.3">
      <c r="A13" s="424" t="s">
        <v>838</v>
      </c>
      <c r="B13" s="174">
        <f>SUM(B4:B11)</f>
        <v>32893563.133561216</v>
      </c>
      <c r="C13" s="2"/>
      <c r="D13" s="419">
        <v>30508033.970230971</v>
      </c>
      <c r="E13" s="419"/>
      <c r="F13" s="419">
        <f>SUM(F4:F12)</f>
        <v>2385529.1633302472</v>
      </c>
      <c r="G13" s="20"/>
      <c r="H13" s="423"/>
    </row>
  </sheetData>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6"/>
  <sheetViews>
    <sheetView workbookViewId="0">
      <selection sqref="A1:XFD1048576"/>
    </sheetView>
  </sheetViews>
  <sheetFormatPr defaultRowHeight="12.5" x14ac:dyDescent="0.25"/>
  <cols>
    <col min="1" max="1" width="29.453125" bestFit="1" customWidth="1"/>
    <col min="2" max="2" width="11.1796875" bestFit="1" customWidth="1"/>
    <col min="4" max="4" width="11.1796875" bestFit="1" customWidth="1"/>
    <col min="6" max="6" width="10.1796875" bestFit="1" customWidth="1"/>
  </cols>
  <sheetData>
    <row r="2" spans="1:8" ht="13" x14ac:dyDescent="0.3">
      <c r="A2" s="1" t="s">
        <v>505</v>
      </c>
      <c r="B2" s="503" t="s">
        <v>846</v>
      </c>
      <c r="C2" s="503"/>
      <c r="D2" s="503" t="s">
        <v>834</v>
      </c>
      <c r="E2" s="504"/>
      <c r="F2" s="503" t="s">
        <v>524</v>
      </c>
    </row>
    <row r="3" spans="1:8" x14ac:dyDescent="0.25">
      <c r="B3" s="16"/>
      <c r="C3" s="2"/>
      <c r="D3" s="2"/>
      <c r="F3" s="2"/>
    </row>
    <row r="4" spans="1:8" x14ac:dyDescent="0.25">
      <c r="A4" s="612" t="s">
        <v>511</v>
      </c>
      <c r="B4" s="418">
        <f>'1920 Funding Detail'!AG25</f>
        <v>28779099.21874008</v>
      </c>
      <c r="C4" s="2"/>
      <c r="D4" s="16">
        <f>'1819 Funding Detail'!AI25</f>
        <v>28123653.133561216</v>
      </c>
      <c r="E4" s="502"/>
      <c r="F4" s="16">
        <f>B4-D4</f>
        <v>655446.08517886326</v>
      </c>
      <c r="H4" s="612" t="s">
        <v>888</v>
      </c>
    </row>
    <row r="5" spans="1:8" x14ac:dyDescent="0.25">
      <c r="A5" s="612" t="s">
        <v>512</v>
      </c>
      <c r="B5" s="418">
        <f>'1920 Funding Detail'!F25</f>
        <v>939529</v>
      </c>
      <c r="C5" s="2"/>
      <c r="D5" s="16">
        <f>SUM('1819 Funding Detail'!F25)</f>
        <v>909110</v>
      </c>
      <c r="E5" s="502"/>
      <c r="F5" s="16">
        <f t="shared" ref="F5:F11" si="0">B5-D5</f>
        <v>30419</v>
      </c>
      <c r="H5" s="612" t="s">
        <v>836</v>
      </c>
    </row>
    <row r="6" spans="1:8" x14ac:dyDescent="0.25">
      <c r="A6" s="612" t="s">
        <v>603</v>
      </c>
      <c r="B6" s="418">
        <f>'1920 Funding Detail'!G25</f>
        <v>41787</v>
      </c>
      <c r="C6" s="2"/>
      <c r="D6" s="16">
        <f>'1819 Funding Detail'!G25</f>
        <v>41787</v>
      </c>
      <c r="E6" s="502"/>
      <c r="F6" s="16">
        <f t="shared" si="0"/>
        <v>0</v>
      </c>
      <c r="H6" s="612"/>
    </row>
    <row r="7" spans="1:8" x14ac:dyDescent="0.25">
      <c r="A7" s="612" t="s">
        <v>506</v>
      </c>
      <c r="B7" s="418">
        <f>SUM('1920 Other Funding'!BC26)</f>
        <v>757936</v>
      </c>
      <c r="C7" s="2"/>
      <c r="D7" s="16">
        <f>'1920 Other Funding'!AW26</f>
        <v>757936</v>
      </c>
      <c r="E7" s="502"/>
      <c r="F7" s="16">
        <f t="shared" si="0"/>
        <v>0</v>
      </c>
      <c r="H7" s="610"/>
    </row>
    <row r="8" spans="1:8" ht="13" x14ac:dyDescent="0.3">
      <c r="A8" s="612" t="s">
        <v>183</v>
      </c>
      <c r="B8" s="418">
        <f>'1920 Other Funding'!BB26</f>
        <v>317322</v>
      </c>
      <c r="C8" s="2"/>
      <c r="D8" s="16">
        <f>'1920 Other Funding'!AU26</f>
        <v>317322</v>
      </c>
      <c r="E8" s="502"/>
      <c r="F8" s="16">
        <f t="shared" si="0"/>
        <v>0</v>
      </c>
      <c r="H8" s="416"/>
    </row>
    <row r="9" spans="1:8" x14ac:dyDescent="0.25">
      <c r="A9" s="612" t="s">
        <v>184</v>
      </c>
      <c r="B9" s="418">
        <f>'1920 Other Funding'!BD26</f>
        <v>1119519</v>
      </c>
      <c r="C9" s="2"/>
      <c r="D9" s="16">
        <f>'1920 Other Funding'!AY26</f>
        <v>1119519</v>
      </c>
      <c r="E9" s="502"/>
      <c r="F9" s="16">
        <f t="shared" si="0"/>
        <v>0</v>
      </c>
      <c r="H9" s="20"/>
    </row>
    <row r="10" spans="1:8" x14ac:dyDescent="0.25">
      <c r="A10" s="612" t="s">
        <v>507</v>
      </c>
      <c r="B10" s="670">
        <v>1326125</v>
      </c>
      <c r="C10" s="2"/>
      <c r="D10" s="16">
        <v>1326280</v>
      </c>
      <c r="E10" s="502"/>
      <c r="F10" s="16">
        <f t="shared" si="0"/>
        <v>-155</v>
      </c>
      <c r="H10" s="611" t="s">
        <v>892</v>
      </c>
    </row>
    <row r="11" spans="1:8" x14ac:dyDescent="0.25">
      <c r="A11" s="612" t="s">
        <v>508</v>
      </c>
      <c r="B11" s="671">
        <v>294911</v>
      </c>
      <c r="C11" s="2"/>
      <c r="D11" s="16">
        <v>297956</v>
      </c>
      <c r="E11" s="502"/>
      <c r="F11" s="16">
        <f t="shared" si="0"/>
        <v>-3045</v>
      </c>
      <c r="H11" s="611" t="s">
        <v>892</v>
      </c>
    </row>
    <row r="12" spans="1:8" ht="13" x14ac:dyDescent="0.3">
      <c r="A12" s="612"/>
      <c r="B12" s="346"/>
      <c r="C12" s="2"/>
      <c r="D12" s="16"/>
      <c r="E12" s="502"/>
      <c r="F12" s="419"/>
    </row>
    <row r="13" spans="1:8" ht="13" x14ac:dyDescent="0.3">
      <c r="A13" s="424" t="s">
        <v>847</v>
      </c>
      <c r="B13" s="174">
        <f>SUM(B4:B11)</f>
        <v>33576228.218740076</v>
      </c>
      <c r="C13" s="2"/>
      <c r="D13" s="174">
        <f>SUM(D4:D11)</f>
        <v>32893563.133561216</v>
      </c>
      <c r="E13" s="419"/>
      <c r="F13" s="419">
        <f>SUM(F4:F12)</f>
        <v>682665.08517886326</v>
      </c>
      <c r="G13" s="20"/>
      <c r="H13" s="423"/>
    </row>
    <row r="15" spans="1:8" x14ac:dyDescent="0.25">
      <c r="A15" s="612" t="s">
        <v>913</v>
      </c>
      <c r="B15" s="502">
        <f>'1920 Funding Detail'!AJ25+700000+130000</f>
        <v>19005833.333333332</v>
      </c>
    </row>
    <row r="16" spans="1:8" x14ac:dyDescent="0.25">
      <c r="A16" s="612" t="s">
        <v>914</v>
      </c>
      <c r="B16" s="502">
        <f>B13-B15</f>
        <v>14570394.885406744</v>
      </c>
    </row>
  </sheetData>
  <pageMargins left="0.7" right="0.7" top="0.75" bottom="0.75" header="0.3" footer="0.3"/>
  <legacy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2"/>
  <sheetViews>
    <sheetView topLeftCell="AA1" workbookViewId="0">
      <selection activeCell="AN30" sqref="AN30"/>
    </sheetView>
  </sheetViews>
  <sheetFormatPr defaultColWidth="10.26953125" defaultRowHeight="12.5" x14ac:dyDescent="0.25"/>
  <cols>
    <col min="1" max="1" width="10.26953125" style="34"/>
    <col min="2" max="2" width="31.54296875" style="34" customWidth="1"/>
    <col min="3" max="3" width="26.54296875" style="34" customWidth="1"/>
    <col min="4" max="7" width="15.7265625" style="933" customWidth="1"/>
    <col min="8" max="9" width="15.7265625" style="34" customWidth="1"/>
    <col min="10" max="10" width="15.7265625" style="40" customWidth="1"/>
    <col min="11" max="11" width="15.7265625" style="933" customWidth="1"/>
    <col min="12" max="12" width="17.26953125" style="34" customWidth="1"/>
    <col min="13" max="13" width="10.26953125" style="933" customWidth="1"/>
    <col min="14" max="14" width="13.81640625" style="34" customWidth="1"/>
    <col min="15" max="15" width="13" style="968" customWidth="1"/>
    <col min="16" max="16" width="12.1796875" style="968" customWidth="1"/>
    <col min="17" max="17" width="11.26953125" style="34" customWidth="1"/>
    <col min="18" max="22" width="10.26953125" style="34" customWidth="1"/>
    <col min="23" max="24" width="11.1796875" style="34" customWidth="1"/>
    <col min="25" max="25" width="10.26953125" style="34" customWidth="1"/>
    <col min="26" max="26" width="10.26953125" style="42" customWidth="1"/>
    <col min="27" max="27" width="11.81640625" style="933" customWidth="1"/>
    <col min="28" max="28" width="10.26953125" style="933" customWidth="1"/>
    <col min="29" max="30" width="10.26953125" style="34" customWidth="1"/>
    <col min="31" max="31" width="9.54296875" style="933" customWidth="1"/>
    <col min="32" max="32" width="10.26953125" style="933" customWidth="1"/>
    <col min="33" max="39" width="10.81640625" style="933" customWidth="1"/>
    <col min="40" max="40" width="10.26953125" style="34" customWidth="1"/>
    <col min="41" max="45" width="10.26953125" style="34"/>
    <col min="46" max="48" width="14.453125" style="34" bestFit="1" customWidth="1"/>
    <col min="49" max="16384" width="10.26953125" style="34"/>
  </cols>
  <sheetData>
    <row r="1" spans="1:50" ht="17.5" x14ac:dyDescent="0.35">
      <c r="B1" s="919" t="s">
        <v>851</v>
      </c>
      <c r="C1" s="33"/>
      <c r="T1" s="49">
        <v>0</v>
      </c>
      <c r="Z1" s="80"/>
      <c r="AP1" s="574" t="s">
        <v>644</v>
      </c>
      <c r="AQ1" s="574"/>
      <c r="AR1" s="574"/>
    </row>
    <row r="2" spans="1:50" x14ac:dyDescent="0.25">
      <c r="B2" s="47"/>
      <c r="C2" s="47"/>
      <c r="M2" s="932"/>
      <c r="R2" s="686"/>
      <c r="S2" s="686"/>
      <c r="T2" s="1977" t="s">
        <v>643</v>
      </c>
      <c r="AN2" s="932"/>
      <c r="AP2" s="996"/>
      <c r="AQ2" s="996"/>
      <c r="AR2" s="1889" t="s">
        <v>643</v>
      </c>
    </row>
    <row r="3" spans="1:50" ht="39" customHeight="1" x14ac:dyDescent="0.25">
      <c r="A3" s="184" t="s">
        <v>201</v>
      </c>
      <c r="B3" s="36" t="s">
        <v>66</v>
      </c>
      <c r="C3" s="39" t="s">
        <v>51</v>
      </c>
      <c r="D3" s="538" t="s">
        <v>736</v>
      </c>
      <c r="E3" s="141" t="s">
        <v>21</v>
      </c>
      <c r="F3" s="935" t="s">
        <v>64</v>
      </c>
      <c r="G3" s="935" t="s">
        <v>113</v>
      </c>
      <c r="H3" s="943" t="s">
        <v>450</v>
      </c>
      <c r="I3" s="943" t="s">
        <v>400</v>
      </c>
      <c r="J3" s="157" t="s">
        <v>173</v>
      </c>
      <c r="K3" s="935" t="s">
        <v>103</v>
      </c>
      <c r="L3" s="943" t="s">
        <v>297</v>
      </c>
      <c r="M3" s="540" t="s">
        <v>897</v>
      </c>
      <c r="O3" s="970" t="s">
        <v>898</v>
      </c>
      <c r="P3" s="970" t="s">
        <v>899</v>
      </c>
      <c r="Q3" s="541" t="s">
        <v>909</v>
      </c>
      <c r="R3" s="946" t="s">
        <v>641</v>
      </c>
      <c r="S3" s="946" t="s">
        <v>642</v>
      </c>
      <c r="T3" s="1977"/>
      <c r="U3" s="688" t="s">
        <v>104</v>
      </c>
      <c r="V3" s="689" t="s">
        <v>645</v>
      </c>
      <c r="W3" s="689" t="s">
        <v>646</v>
      </c>
      <c r="X3" s="689" t="s">
        <v>647</v>
      </c>
      <c r="Y3" s="689" t="s">
        <v>648</v>
      </c>
      <c r="Z3" s="943" t="s">
        <v>152</v>
      </c>
      <c r="AA3" s="942" t="s">
        <v>151</v>
      </c>
      <c r="AB3" s="942" t="s">
        <v>310</v>
      </c>
      <c r="AC3" s="942" t="s">
        <v>311</v>
      </c>
      <c r="AD3" s="942" t="s">
        <v>455</v>
      </c>
      <c r="AE3" s="943" t="s">
        <v>238</v>
      </c>
      <c r="AF3" s="695" t="s">
        <v>309</v>
      </c>
      <c r="AG3" s="691" t="s">
        <v>196</v>
      </c>
      <c r="AH3" s="693" t="s">
        <v>649</v>
      </c>
      <c r="AI3" s="693" t="s">
        <v>524</v>
      </c>
      <c r="AJ3" s="692" t="s">
        <v>331</v>
      </c>
      <c r="AK3" s="692" t="s">
        <v>650</v>
      </c>
      <c r="AL3" s="692" t="s">
        <v>651</v>
      </c>
      <c r="AM3" s="692" t="s">
        <v>654</v>
      </c>
      <c r="AN3" s="384"/>
      <c r="AP3" s="997" t="s">
        <v>641</v>
      </c>
      <c r="AQ3" s="997" t="s">
        <v>642</v>
      </c>
      <c r="AR3" s="1889"/>
      <c r="AT3" s="940" t="s">
        <v>783</v>
      </c>
      <c r="AU3" s="940" t="s">
        <v>784</v>
      </c>
      <c r="AV3" s="588" t="s">
        <v>800</v>
      </c>
      <c r="AX3" s="986" t="s">
        <v>907</v>
      </c>
    </row>
    <row r="4" spans="1:50" ht="13" x14ac:dyDescent="0.3">
      <c r="A4" s="185">
        <v>9257010</v>
      </c>
      <c r="B4" s="915" t="s">
        <v>773</v>
      </c>
      <c r="C4" s="861" t="s">
        <v>750</v>
      </c>
      <c r="D4" s="94">
        <v>340000</v>
      </c>
      <c r="E4" s="94">
        <v>105000</v>
      </c>
      <c r="F4" s="944"/>
      <c r="G4" s="944"/>
      <c r="H4" s="333">
        <f>VLOOKUP(A4,'1920 Band Calculations'!$A$112:$T$129,10,FALSE)</f>
        <v>711642.87323168188</v>
      </c>
      <c r="I4" s="333">
        <f>VLOOKUP(A4,'1920 Band Calculations'!$A$112:$T$129,17,FALSE)</f>
        <v>10349.694444444445</v>
      </c>
      <c r="J4" s="94">
        <f>VLOOKUP(A4,'1920 FSM Calculation'!$A$4:$D$21,4,FALSE)</f>
        <v>6732.75</v>
      </c>
      <c r="K4" s="944">
        <f t="shared" ref="K4:K15" si="0">SUM(D4:J4)</f>
        <v>1173725.3176761265</v>
      </c>
      <c r="L4" s="333">
        <f t="shared" ref="L4:L13" si="1">K4-F4</f>
        <v>1173725.3176761265</v>
      </c>
      <c r="M4" s="751">
        <f>VLOOKUP(A4,'1920 Band Calculations'!$A$112:$T$129,19,FALSE)</f>
        <v>58.916666666666671</v>
      </c>
      <c r="O4" s="165">
        <f>M4-(M4*'1920 Band Calculations'!J6)</f>
        <v>52.043055555555561</v>
      </c>
      <c r="P4" s="42">
        <f>'1920 Band Calculations'!AV112</f>
        <v>154743.89373670361</v>
      </c>
      <c r="Q4" s="42">
        <f>(H4+I4-P4)/O4</f>
        <v>10899.603566394926</v>
      </c>
      <c r="R4" s="724">
        <f>L4-D4-E4-P4</f>
        <v>573981.42393942294</v>
      </c>
      <c r="S4" s="724">
        <f>R4/O4</f>
        <v>11028.97241163525</v>
      </c>
      <c r="T4" s="724">
        <f>VLOOKUP(A4,'1819 Funding Detail'!$A$4:$AX$23,45,(FALSE))</f>
        <v>11382.677297146334</v>
      </c>
      <c r="U4" s="42">
        <f>S4-T4</f>
        <v>-353.70488551108429</v>
      </c>
      <c r="V4" s="724">
        <f>IF(U4&lt;0,((U4*O4)*-1),(0))</f>
        <v>18407.883006924778</v>
      </c>
      <c r="W4" s="724">
        <f>L4+V4</f>
        <v>1192133.2006830513</v>
      </c>
      <c r="X4" s="42">
        <f>M4*10000</f>
        <v>589166.66666666674</v>
      </c>
      <c r="Y4" s="42">
        <f>IF(X4&gt;W4,(X4-W4),(0))</f>
        <v>0</v>
      </c>
      <c r="Z4" s="942">
        <f>L4/M4</f>
        <v>19921.787570174707</v>
      </c>
      <c r="AA4" s="942">
        <f t="shared" ref="AA4:AA15" si="2">M4*10000</f>
        <v>589166.66666666674</v>
      </c>
      <c r="AB4" s="942">
        <f t="shared" ref="AB4:AB15" si="3">Z4-10000</f>
        <v>9921.7875701747071</v>
      </c>
      <c r="AC4" s="669">
        <f>VLOOKUP(A4,'1819 Funding Detail'!$A$4:$AK$23,27,FALSE)</f>
        <v>0</v>
      </c>
      <c r="AD4" s="94">
        <f>IF(AB4&gt;AC4,(AB4),(AC4))</f>
        <v>9921.7875701747071</v>
      </c>
      <c r="AE4" s="944">
        <f>10000+AD4</f>
        <v>19921.787570174707</v>
      </c>
      <c r="AF4" s="726">
        <f t="shared" ref="AF4:AF15" si="4">V4+Y4</f>
        <v>18407.883006924778</v>
      </c>
      <c r="AG4" s="727">
        <f t="shared" ref="AG4:AG15" si="5">L4+AF4</f>
        <v>1192133.2006830513</v>
      </c>
      <c r="AH4" s="549">
        <f>VLOOKUP(A4,'1819 Funding Detail'!$A$4:$AJ$23,32,(FALSE))</f>
        <v>11041.424862213076</v>
      </c>
      <c r="AI4" s="549">
        <f>AG4-AH4</f>
        <v>1181091.7758208383</v>
      </c>
      <c r="AJ4" s="387">
        <f>M4*10000</f>
        <v>589166.66666666674</v>
      </c>
      <c r="AK4" s="387">
        <f>AG4-AJ4</f>
        <v>602966.53401638451</v>
      </c>
      <c r="AL4" s="387">
        <f>AK4/M4</f>
        <v>10234.226885709495</v>
      </c>
      <c r="AM4" s="696">
        <f t="shared" ref="AM4:AM15" si="6">AG4/M4</f>
        <v>20234.226885709497</v>
      </c>
      <c r="AN4" s="609" t="s">
        <v>556</v>
      </c>
      <c r="AP4" s="988">
        <f>SUM(AG4-'2021 Funding Detail'!D4-'2021 Funding Detail'!E4-P4)</f>
        <v>592389.3069463477</v>
      </c>
      <c r="AQ4" s="723">
        <f>AP4/O4</f>
        <v>11382.677297146334</v>
      </c>
      <c r="AR4" s="723">
        <f>AQ4*98.5%</f>
        <v>11211.937137689139</v>
      </c>
      <c r="AS4" s="125"/>
      <c r="AT4" s="869">
        <f>(S4-T4)/T4</f>
        <v>-3.1073962326926285E-2</v>
      </c>
      <c r="AU4" s="869">
        <f>IF(AT4&gt;=0,(AT4),(AT4*-1))</f>
        <v>3.1073962326926285E-2</v>
      </c>
      <c r="AV4" s="869">
        <f>IF(AT4&lt;0,(AT4+AU4),(AT4))</f>
        <v>0</v>
      </c>
      <c r="AW4" s="873"/>
      <c r="AX4" s="125"/>
    </row>
    <row r="5" spans="1:50" ht="13" x14ac:dyDescent="0.3">
      <c r="A5" s="185">
        <v>9257005</v>
      </c>
      <c r="B5" s="915" t="s">
        <v>774</v>
      </c>
      <c r="C5" s="861" t="s">
        <v>750</v>
      </c>
      <c r="D5" s="94">
        <v>340000</v>
      </c>
      <c r="E5" s="94">
        <v>105000</v>
      </c>
      <c r="F5" s="944"/>
      <c r="G5" s="944"/>
      <c r="H5" s="333">
        <f>VLOOKUP(A5,'1920 Band Calculations'!$A$112:$T$129,10,FALSE)</f>
        <v>876979.64353980159</v>
      </c>
      <c r="I5" s="333">
        <f>VLOOKUP(A5,'1920 Band Calculations'!$A$112:$T$129,17,FALSE)</f>
        <v>23474.64527027027</v>
      </c>
      <c r="J5" s="94">
        <f>VLOOKUP(A5,'1920 FSM Calculation'!$A$4:$D$21,4,FALSE)</f>
        <v>7181.6</v>
      </c>
      <c r="K5" s="944">
        <f t="shared" si="0"/>
        <v>1352635.8888100721</v>
      </c>
      <c r="L5" s="333">
        <f t="shared" si="1"/>
        <v>1352635.8888100721</v>
      </c>
      <c r="M5" s="751">
        <f>VLOOKUP(A5,'1920 Band Calculations'!$A$112:$T$129,19,FALSE)</f>
        <v>73.25</v>
      </c>
      <c r="O5" s="165">
        <f>M5-(M5*'1920 Band Calculations'!J7)</f>
        <v>67.310810810810807</v>
      </c>
      <c r="P5" s="42">
        <f>'1920 Band Calculations'!AV113</f>
        <v>133707.485907725</v>
      </c>
      <c r="Q5" s="42">
        <f t="shared" ref="Q5:Q23" si="7">(H5+I5-P5)/O5</f>
        <v>11391.139011197285</v>
      </c>
      <c r="R5" s="724">
        <f t="shared" ref="R5:R23" si="8">L5-D5-E5-P5</f>
        <v>773928.40290234704</v>
      </c>
      <c r="S5" s="724">
        <f t="shared" ref="S5:S23" si="9">R5/O5</f>
        <v>11497.83212502985</v>
      </c>
      <c r="T5" s="724">
        <f>VLOOKUP(A5,'1819 Funding Detail'!$A$4:$AX$23,45,(FALSE))</f>
        <v>11628.385009411224</v>
      </c>
      <c r="U5" s="42">
        <f t="shared" ref="U5:U23" si="10">S5-T5</f>
        <v>-130.55288438137359</v>
      </c>
      <c r="V5" s="724">
        <f t="shared" ref="V5:V23" si="11">IF(U5&lt;0,((U5*O5)*-1),(0))</f>
        <v>8787.6205014002953</v>
      </c>
      <c r="W5" s="724">
        <f t="shared" ref="W5:W23" si="12">L5+V5</f>
        <v>1361423.5093114723</v>
      </c>
      <c r="X5" s="42">
        <f t="shared" ref="X5:X23" si="13">M5*10000</f>
        <v>732500</v>
      </c>
      <c r="Y5" s="42">
        <f t="shared" ref="Y5:Y23" si="14">IF(X5&gt;W5,(X5-W5),(0))</f>
        <v>0</v>
      </c>
      <c r="Z5" s="942">
        <f t="shared" ref="Z5:Z23" si="15">L5/M5</f>
        <v>18466.018959864465</v>
      </c>
      <c r="AA5" s="942">
        <f t="shared" si="2"/>
        <v>732500</v>
      </c>
      <c r="AB5" s="942">
        <f t="shared" si="3"/>
        <v>8466.0189598644647</v>
      </c>
      <c r="AC5" s="669">
        <f>VLOOKUP(A5,'1819 Funding Detail'!$A$4:$AK$23,27,FALSE)</f>
        <v>0</v>
      </c>
      <c r="AD5" s="944">
        <f>IF(AB5&gt;AC5,(AB5),(AC5))</f>
        <v>8466.0189598644647</v>
      </c>
      <c r="AE5" s="944">
        <f t="shared" ref="AE5:AE23" si="16">10000+AD5</f>
        <v>18466.018959864465</v>
      </c>
      <c r="AF5" s="726">
        <f t="shared" si="4"/>
        <v>8787.6205014002953</v>
      </c>
      <c r="AG5" s="727">
        <f t="shared" si="5"/>
        <v>1361423.5093114723</v>
      </c>
      <c r="AH5" s="549">
        <f>VLOOKUP(A5,'1819 Funding Detail'!$A$4:$AJ$23,32,(FALSE))</f>
        <v>8726.2637015489781</v>
      </c>
      <c r="AI5" s="549">
        <f>AG5-AH5</f>
        <v>1352697.2456099233</v>
      </c>
      <c r="AJ5" s="387">
        <f t="shared" ref="AJ5:AJ15" si="17">M5*10000</f>
        <v>732500</v>
      </c>
      <c r="AK5" s="387">
        <f t="shared" ref="AK5:AK15" si="18">AG5-AJ5</f>
        <v>628923.5093114723</v>
      </c>
      <c r="AL5" s="387">
        <f t="shared" ref="AL5:AL15" si="19">AK5/M5</f>
        <v>8585.9864752419435</v>
      </c>
      <c r="AM5" s="696">
        <f t="shared" si="6"/>
        <v>18585.986475241942</v>
      </c>
      <c r="AN5" s="609" t="s">
        <v>556</v>
      </c>
      <c r="AP5" s="988">
        <f>SUM(AG5-'2021 Funding Detail'!D5-'2021 Funding Detail'!E5-P5)</f>
        <v>782716.02340374724</v>
      </c>
      <c r="AQ5" s="723">
        <f t="shared" ref="AQ5:AQ23" si="20">AP5/O5</f>
        <v>11628.385009411222</v>
      </c>
      <c r="AR5" s="723">
        <f t="shared" ref="AR5:AR23" si="21">AQ5*98.5%</f>
        <v>11453.959234270054</v>
      </c>
      <c r="AS5" s="125"/>
      <c r="AT5" s="869">
        <f t="shared" ref="AT5:AT23" si="22">(S5-T5)/T5</f>
        <v>-1.1227086502185209E-2</v>
      </c>
      <c r="AU5" s="869">
        <f t="shared" ref="AU5:AU23" si="23">IF(AT5&gt;=0,(AT5),(AT5*-1))</f>
        <v>1.1227086502185209E-2</v>
      </c>
      <c r="AV5" s="869">
        <f t="shared" ref="AV5:AV23" si="24">IF(AT5&lt;0,(AT5+AU5),(AT5))</f>
        <v>0</v>
      </c>
      <c r="AW5" s="873"/>
    </row>
    <row r="6" spans="1:50" ht="13" x14ac:dyDescent="0.3">
      <c r="A6" s="185">
        <v>9257025</v>
      </c>
      <c r="B6" s="915" t="s">
        <v>776</v>
      </c>
      <c r="C6" s="861" t="s">
        <v>750</v>
      </c>
      <c r="D6" s="94">
        <v>340000</v>
      </c>
      <c r="E6" s="94">
        <v>105000</v>
      </c>
      <c r="F6" s="944"/>
      <c r="G6" s="944"/>
      <c r="H6" s="333">
        <f>VLOOKUP(A6,'1920 Band Calculations'!$A$112:$T$129,10,FALSE)</f>
        <v>719787.34726412012</v>
      </c>
      <c r="I6" s="333">
        <f>VLOOKUP(A6,'1920 Band Calculations'!$A$112:$T$129,17,FALSE)</f>
        <v>22887.111486486487</v>
      </c>
      <c r="J6" s="94">
        <f>VLOOKUP(A6,'1920 FSM Calculation'!$A$4:$D$21,4,FALSE)</f>
        <v>8528.15</v>
      </c>
      <c r="K6" s="944">
        <f t="shared" si="0"/>
        <v>1196202.6087506064</v>
      </c>
      <c r="L6" s="333">
        <f t="shared" si="1"/>
        <v>1196202.6087506064</v>
      </c>
      <c r="M6" s="751">
        <f>VLOOKUP(A6,'1920 Band Calculations'!$A$112:$T$129,19,FALSE)</f>
        <v>71.416666666666686</v>
      </c>
      <c r="O6" s="165">
        <f>M6-(M6*'1920 Band Calculations'!J8)</f>
        <v>68.521396396396412</v>
      </c>
      <c r="P6" s="42">
        <f>'1920 Band Calculations'!AV114</f>
        <v>65180.497965256167</v>
      </c>
      <c r="Q6" s="42">
        <f t="shared" si="7"/>
        <v>9887.3344154582974</v>
      </c>
      <c r="R6" s="724">
        <f t="shared" si="8"/>
        <v>686022.1107853502</v>
      </c>
      <c r="S6" s="724">
        <f t="shared" si="9"/>
        <v>10011.794079862455</v>
      </c>
      <c r="T6" s="724">
        <f>VLOOKUP(A6,'1819 Funding Detail'!$A$4:$AX$23,45,(FALSE))</f>
        <v>10507.537783550193</v>
      </c>
      <c r="U6" s="42">
        <f t="shared" si="10"/>
        <v>-495.74370368773816</v>
      </c>
      <c r="V6" s="724">
        <f t="shared" si="11"/>
        <v>33969.050831405191</v>
      </c>
      <c r="W6" s="724">
        <f t="shared" si="12"/>
        <v>1230171.6595820116</v>
      </c>
      <c r="X6" s="42">
        <f t="shared" si="13"/>
        <v>714166.66666666686</v>
      </c>
      <c r="Y6" s="42">
        <f t="shared" si="14"/>
        <v>0</v>
      </c>
      <c r="Z6" s="942">
        <f t="shared" si="15"/>
        <v>16749.628127196353</v>
      </c>
      <c r="AA6" s="942">
        <f t="shared" si="2"/>
        <v>714166.66666666686</v>
      </c>
      <c r="AB6" s="942">
        <f t="shared" si="3"/>
        <v>6749.6281271963526</v>
      </c>
      <c r="AC6" s="669">
        <f>VLOOKUP(A6,'1819 Funding Detail'!$A$4:$AK$23,27,FALSE)</f>
        <v>0</v>
      </c>
      <c r="AD6" s="944">
        <f t="shared" ref="AD6:AD23" si="25">IF(AB6&gt;AC6,(AB6),(AC6))</f>
        <v>6749.6281271963526</v>
      </c>
      <c r="AE6" s="944">
        <f t="shared" si="16"/>
        <v>16749.628127196353</v>
      </c>
      <c r="AF6" s="726">
        <f t="shared" si="4"/>
        <v>33969.050831405191</v>
      </c>
      <c r="AG6" s="727">
        <f t="shared" si="5"/>
        <v>1230171.6595820116</v>
      </c>
      <c r="AH6" s="549">
        <f>VLOOKUP(A6,'1819 Funding Detail'!$A$4:$AJ$23,32,(FALSE))</f>
        <v>8308.0722886024778</v>
      </c>
      <c r="AI6" s="549">
        <f t="shared" ref="AI6:AI23" si="26">AG6-AH6</f>
        <v>1221863.587293409</v>
      </c>
      <c r="AJ6" s="387">
        <f t="shared" si="17"/>
        <v>714166.66666666686</v>
      </c>
      <c r="AK6" s="387">
        <f t="shared" si="18"/>
        <v>516004.99291534477</v>
      </c>
      <c r="AL6" s="387">
        <f t="shared" si="19"/>
        <v>7225.2741131670191</v>
      </c>
      <c r="AM6" s="696">
        <f t="shared" si="6"/>
        <v>17225.274113167019</v>
      </c>
      <c r="AN6" s="609" t="s">
        <v>556</v>
      </c>
      <c r="AP6" s="988">
        <f>SUM(AG6-'2021 Funding Detail'!D6-'2021 Funding Detail'!E6-P6)</f>
        <v>719991.16161675542</v>
      </c>
      <c r="AQ6" s="723">
        <f t="shared" si="20"/>
        <v>10507.537783550195</v>
      </c>
      <c r="AR6" s="723">
        <f t="shared" si="21"/>
        <v>10349.924716796942</v>
      </c>
      <c r="AS6" s="125"/>
      <c r="AT6" s="869">
        <f>(S6-T6)/T6</f>
        <v>-4.717981642320021E-2</v>
      </c>
      <c r="AU6" s="869">
        <f t="shared" si="23"/>
        <v>4.717981642320021E-2</v>
      </c>
      <c r="AV6" s="869">
        <f t="shared" si="24"/>
        <v>0</v>
      </c>
      <c r="AW6" s="873"/>
    </row>
    <row r="7" spans="1:50" ht="13" x14ac:dyDescent="0.3">
      <c r="A7" s="185">
        <v>9257011</v>
      </c>
      <c r="B7" s="38" t="s">
        <v>70</v>
      </c>
      <c r="C7" s="861" t="s">
        <v>750</v>
      </c>
      <c r="D7" s="94">
        <v>340000</v>
      </c>
      <c r="E7" s="94">
        <v>105000</v>
      </c>
      <c r="F7" s="944"/>
      <c r="G7" s="944"/>
      <c r="H7" s="333">
        <f>VLOOKUP(A7,'1920 Band Calculations'!$A$112:$T$129,10,FALSE)</f>
        <v>722584.22589407419</v>
      </c>
      <c r="I7" s="333">
        <f>VLOOKUP(A7,'1920 Band Calculations'!$A$112:$T$129,17,FALSE)</f>
        <v>5653.272727272727</v>
      </c>
      <c r="J7" s="94">
        <f>VLOOKUP(A7,'1920 FSM Calculation'!$A$4:$D$21,4,FALSE)</f>
        <v>7630.4500000000007</v>
      </c>
      <c r="K7" s="944">
        <f t="shared" si="0"/>
        <v>1180867.9486213468</v>
      </c>
      <c r="L7" s="333">
        <f t="shared" si="1"/>
        <v>1180867.9486213468</v>
      </c>
      <c r="M7" s="751">
        <f>VLOOKUP(A7,'1920 Band Calculations'!$A$112:$T$129,19,FALSE)</f>
        <v>59</v>
      </c>
      <c r="O7" s="165">
        <f>M7-(M7*'1920 Band Calculations'!J9)</f>
        <v>53.636363636363633</v>
      </c>
      <c r="P7" s="42">
        <f>'1920 Band Calculations'!AV115</f>
        <v>120750.20859926101</v>
      </c>
      <c r="Q7" s="42">
        <f t="shared" si="7"/>
        <v>11326.034220750755</v>
      </c>
      <c r="R7" s="724">
        <f t="shared" si="8"/>
        <v>615117.74002208584</v>
      </c>
      <c r="S7" s="724">
        <f t="shared" si="9"/>
        <v>11468.296847869398</v>
      </c>
      <c r="T7" s="724">
        <f>VLOOKUP(A7,'1819 Funding Detail'!$A$4:$AX$23,45,(FALSE))</f>
        <v>10249.415392652634</v>
      </c>
      <c r="U7" s="42">
        <f t="shared" si="10"/>
        <v>1218.8814552167642</v>
      </c>
      <c r="V7" s="724">
        <f t="shared" si="11"/>
        <v>0</v>
      </c>
      <c r="W7" s="724">
        <f t="shared" si="12"/>
        <v>1180867.9486213468</v>
      </c>
      <c r="X7" s="42">
        <f t="shared" si="13"/>
        <v>590000</v>
      </c>
      <c r="Y7" s="42">
        <f t="shared" si="14"/>
        <v>0</v>
      </c>
      <c r="Z7" s="942">
        <f>L7/M7</f>
        <v>20014.71099358215</v>
      </c>
      <c r="AA7" s="942">
        <f t="shared" si="2"/>
        <v>590000</v>
      </c>
      <c r="AB7" s="942">
        <f t="shared" si="3"/>
        <v>10014.71099358215</v>
      </c>
      <c r="AC7" s="669">
        <f>VLOOKUP(A7,'1819 Funding Detail'!$A$4:$AK$23,27,FALSE)</f>
        <v>0</v>
      </c>
      <c r="AD7" s="944">
        <f t="shared" si="25"/>
        <v>10014.71099358215</v>
      </c>
      <c r="AE7" s="944">
        <f t="shared" si="16"/>
        <v>20014.71099358215</v>
      </c>
      <c r="AF7" s="726">
        <f t="shared" si="4"/>
        <v>0</v>
      </c>
      <c r="AG7" s="727">
        <f t="shared" si="5"/>
        <v>1180867.9486213468</v>
      </c>
      <c r="AH7" s="549">
        <f>VLOOKUP(A7,'1819 Funding Detail'!$A$4:$AJ$23,32,(FALSE))</f>
        <v>9591.2097629556192</v>
      </c>
      <c r="AI7" s="549">
        <f t="shared" si="26"/>
        <v>1171276.7388583913</v>
      </c>
      <c r="AJ7" s="387">
        <f t="shared" si="17"/>
        <v>590000</v>
      </c>
      <c r="AK7" s="387">
        <f t="shared" si="18"/>
        <v>590867.94862134685</v>
      </c>
      <c r="AL7" s="387">
        <f t="shared" si="19"/>
        <v>10014.71099358215</v>
      </c>
      <c r="AM7" s="696">
        <f t="shared" si="6"/>
        <v>20014.71099358215</v>
      </c>
      <c r="AN7" s="609" t="s">
        <v>556</v>
      </c>
      <c r="AP7" s="988">
        <f>SUM(AG7-'2021 Funding Detail'!D7-'2021 Funding Detail'!E7-P7)</f>
        <v>615117.74002208584</v>
      </c>
      <c r="AQ7" s="723">
        <f t="shared" si="20"/>
        <v>11468.296847869398</v>
      </c>
      <c r="AR7" s="723">
        <f t="shared" si="21"/>
        <v>11296.272395151358</v>
      </c>
      <c r="AS7" s="125"/>
      <c r="AT7" s="869">
        <f t="shared" si="22"/>
        <v>0.11892204662624251</v>
      </c>
      <c r="AU7" s="869">
        <f t="shared" si="23"/>
        <v>0.11892204662624251</v>
      </c>
      <c r="AV7" s="869">
        <f t="shared" si="24"/>
        <v>0.11892204662624251</v>
      </c>
      <c r="AW7" s="873"/>
    </row>
    <row r="8" spans="1:50" ht="13" x14ac:dyDescent="0.3">
      <c r="A8" s="185">
        <v>9257024</v>
      </c>
      <c r="B8" s="915" t="s">
        <v>777</v>
      </c>
      <c r="C8" s="861" t="s">
        <v>750</v>
      </c>
      <c r="D8" s="94">
        <v>340000</v>
      </c>
      <c r="E8" s="94">
        <v>105000</v>
      </c>
      <c r="F8" s="944"/>
      <c r="G8" s="944"/>
      <c r="H8" s="333">
        <f>VLOOKUP(A8,'1920 Band Calculations'!$A$112:$T$129,10,FALSE)</f>
        <v>904635.27602180501</v>
      </c>
      <c r="I8" s="333">
        <f>VLOOKUP(A8,'1920 Band Calculations'!$A$112:$T$129,17,FALSE)</f>
        <v>5211.0873983739839</v>
      </c>
      <c r="J8" s="94">
        <f>VLOOKUP(A8,'1920 FSM Calculation'!$A$4:$D$21,4,FALSE)</f>
        <v>14812.050000000001</v>
      </c>
      <c r="K8" s="944">
        <f t="shared" si="0"/>
        <v>1369658.4134201792</v>
      </c>
      <c r="L8" s="333">
        <f t="shared" si="1"/>
        <v>1369658.4134201792</v>
      </c>
      <c r="M8" s="751">
        <f>VLOOKUP(A8,'1920 Band Calculations'!$A$112:$T$129,19,FALSE)</f>
        <v>81.083333333333343</v>
      </c>
      <c r="O8" s="165">
        <f>M8-(M8*'1920 Band Calculations'!J10)</f>
        <v>71.195121951219519</v>
      </c>
      <c r="P8" s="42">
        <f>'1920 Band Calculations'!AV116</f>
        <v>222610.83826613796</v>
      </c>
      <c r="Q8" s="42">
        <f t="shared" si="7"/>
        <v>9652.8456770523044</v>
      </c>
      <c r="R8" s="724">
        <f t="shared" si="8"/>
        <v>702047.57515404117</v>
      </c>
      <c r="S8" s="724">
        <f t="shared" si="9"/>
        <v>9860.8943409783096</v>
      </c>
      <c r="T8" s="724">
        <f>VLOOKUP(A8,'1819 Funding Detail'!$A$4:$AX$23,45,(FALSE))</f>
        <v>10327.200186912145</v>
      </c>
      <c r="U8" s="42">
        <f t="shared" si="10"/>
        <v>-466.30584593383537</v>
      </c>
      <c r="V8" s="724">
        <f t="shared" si="11"/>
        <v>33198.701567825992</v>
      </c>
      <c r="W8" s="724">
        <f t="shared" si="12"/>
        <v>1402857.1149880053</v>
      </c>
      <c r="X8" s="42">
        <f t="shared" si="13"/>
        <v>810833.33333333337</v>
      </c>
      <c r="Y8" s="42">
        <f t="shared" si="14"/>
        <v>0</v>
      </c>
      <c r="Z8" s="942">
        <f t="shared" si="15"/>
        <v>16891.984543722661</v>
      </c>
      <c r="AA8" s="942">
        <f t="shared" si="2"/>
        <v>810833.33333333337</v>
      </c>
      <c r="AB8" s="942">
        <f t="shared" si="3"/>
        <v>6891.9845437226613</v>
      </c>
      <c r="AC8" s="669">
        <f>VLOOKUP(A8,'1819 Funding Detail'!$A$4:$AK$23,27,FALSE)</f>
        <v>0</v>
      </c>
      <c r="AD8" s="944">
        <f t="shared" si="25"/>
        <v>6891.9845437226613</v>
      </c>
      <c r="AE8" s="944">
        <f t="shared" si="16"/>
        <v>16891.984543722661</v>
      </c>
      <c r="AF8" s="726">
        <f t="shared" si="4"/>
        <v>33198.701567825992</v>
      </c>
      <c r="AG8" s="727">
        <f t="shared" si="5"/>
        <v>1402857.1149880053</v>
      </c>
      <c r="AH8" s="549">
        <f>VLOOKUP(A8,'1819 Funding Detail'!$A$4:$AJ$23,32,(FALSE))</f>
        <v>7863.1677105186536</v>
      </c>
      <c r="AI8" s="549">
        <f t="shared" si="26"/>
        <v>1394993.9472774866</v>
      </c>
      <c r="AJ8" s="387">
        <f t="shared" si="17"/>
        <v>810833.33333333337</v>
      </c>
      <c r="AK8" s="387">
        <f t="shared" si="18"/>
        <v>592023.78165467188</v>
      </c>
      <c r="AL8" s="387">
        <f t="shared" si="19"/>
        <v>7301.4238230791998</v>
      </c>
      <c r="AM8" s="696">
        <f t="shared" si="6"/>
        <v>17301.4238230792</v>
      </c>
      <c r="AN8" s="609" t="s">
        <v>556</v>
      </c>
      <c r="AP8" s="988">
        <f>SUM(AG8-'2021 Funding Detail'!D8-'2021 Funding Detail'!E8-P8)</f>
        <v>735246.27672186727</v>
      </c>
      <c r="AQ8" s="723">
        <f t="shared" si="20"/>
        <v>10327.200186912147</v>
      </c>
      <c r="AR8" s="723">
        <f t="shared" si="21"/>
        <v>10172.292184108464</v>
      </c>
      <c r="AS8" s="125"/>
      <c r="AT8" s="869">
        <f t="shared" si="22"/>
        <v>-4.5153171962793316E-2</v>
      </c>
      <c r="AU8" s="869">
        <f t="shared" si="23"/>
        <v>4.5153171962793316E-2</v>
      </c>
      <c r="AV8" s="869">
        <f t="shared" si="24"/>
        <v>0</v>
      </c>
      <c r="AW8" s="873"/>
    </row>
    <row r="9" spans="1:50" ht="13" x14ac:dyDescent="0.3">
      <c r="A9" s="185">
        <v>9257008</v>
      </c>
      <c r="B9" s="915" t="s">
        <v>87</v>
      </c>
      <c r="C9" s="861" t="s">
        <v>750</v>
      </c>
      <c r="D9" s="94">
        <v>340000</v>
      </c>
      <c r="E9" s="94">
        <v>105000</v>
      </c>
      <c r="F9" s="944"/>
      <c r="G9" s="944"/>
      <c r="H9" s="333">
        <f>VLOOKUP(A9,'1920 Band Calculations'!$A$112:$T$129,10,FALSE)</f>
        <v>874490.6248268527</v>
      </c>
      <c r="I9" s="333">
        <f>VLOOKUP(A9,'1920 Band Calculations'!$A$112:$T$129,17,FALSE)</f>
        <v>26350</v>
      </c>
      <c r="J9" s="94">
        <f>VLOOKUP(A9,'1920 FSM Calculation'!$A$4:$D$21,4,FALSE)</f>
        <v>8528.15</v>
      </c>
      <c r="K9" s="944">
        <f t="shared" si="0"/>
        <v>1354368.7748268526</v>
      </c>
      <c r="L9" s="333">
        <f t="shared" si="1"/>
        <v>1354368.7748268526</v>
      </c>
      <c r="M9" s="751">
        <f>VLOOKUP(A9,'1920 Band Calculations'!$A$112:$T$129,19,FALSE)</f>
        <v>95</v>
      </c>
      <c r="O9" s="165">
        <f>M9-(M9*'1920 Band Calculations'!J13)</f>
        <v>95</v>
      </c>
      <c r="P9" s="42">
        <f>'1920 Band Calculations'!AV119</f>
        <v>0</v>
      </c>
      <c r="Q9" s="42">
        <f t="shared" si="7"/>
        <v>9482.5328929142397</v>
      </c>
      <c r="R9" s="724">
        <f t="shared" si="8"/>
        <v>909368.7748268526</v>
      </c>
      <c r="S9" s="724">
        <f t="shared" si="9"/>
        <v>9572.3028929142383</v>
      </c>
      <c r="T9" s="724">
        <f>VLOOKUP(A9,'1819 Funding Detail'!$A$4:$AX$23,45,(FALSE))</f>
        <v>9498.1773555098825</v>
      </c>
      <c r="U9" s="42">
        <f t="shared" si="10"/>
        <v>74.125537404355782</v>
      </c>
      <c r="V9" s="724">
        <f t="shared" si="11"/>
        <v>0</v>
      </c>
      <c r="W9" s="724">
        <f t="shared" si="12"/>
        <v>1354368.7748268526</v>
      </c>
      <c r="X9" s="42">
        <f t="shared" si="13"/>
        <v>950000</v>
      </c>
      <c r="Y9" s="42">
        <f t="shared" si="14"/>
        <v>0</v>
      </c>
      <c r="Z9" s="942">
        <f t="shared" si="15"/>
        <v>14256.513419230027</v>
      </c>
      <c r="AA9" s="942">
        <f t="shared" si="2"/>
        <v>950000</v>
      </c>
      <c r="AB9" s="942">
        <f t="shared" si="3"/>
        <v>4256.5134192300266</v>
      </c>
      <c r="AC9" s="669">
        <f>VLOOKUP(A9,'1819 Funding Detail'!$A$4:$AK$23,27,FALSE)</f>
        <v>0</v>
      </c>
      <c r="AD9" s="944">
        <f t="shared" si="25"/>
        <v>4256.5134192300266</v>
      </c>
      <c r="AE9" s="944">
        <f t="shared" si="16"/>
        <v>14256.513419230027</v>
      </c>
      <c r="AF9" s="726">
        <f t="shared" si="4"/>
        <v>0</v>
      </c>
      <c r="AG9" s="727">
        <f t="shared" si="5"/>
        <v>1354368.7748268526</v>
      </c>
      <c r="AH9" s="549">
        <f>VLOOKUP(A9,'1819 Funding Detail'!$A$4:$AJ$23,32,(FALSE))</f>
        <v>4377.6275882339796</v>
      </c>
      <c r="AI9" s="549">
        <f t="shared" si="26"/>
        <v>1349991.1472386187</v>
      </c>
      <c r="AJ9" s="387">
        <f t="shared" si="17"/>
        <v>950000</v>
      </c>
      <c r="AK9" s="387">
        <f t="shared" si="18"/>
        <v>404368.7748268526</v>
      </c>
      <c r="AL9" s="387">
        <f t="shared" si="19"/>
        <v>4256.5134192300275</v>
      </c>
      <c r="AM9" s="696">
        <f t="shared" si="6"/>
        <v>14256.513419230027</v>
      </c>
      <c r="AN9" s="609" t="s">
        <v>556</v>
      </c>
      <c r="AP9" s="988">
        <f>SUM(AG9-'2021 Funding Detail'!D9-'2021 Funding Detail'!E9-P9)</f>
        <v>909368.7748268526</v>
      </c>
      <c r="AQ9" s="723">
        <f t="shared" si="20"/>
        <v>9572.3028929142383</v>
      </c>
      <c r="AR9" s="723">
        <f t="shared" si="21"/>
        <v>9428.7183495205245</v>
      </c>
      <c r="AS9" s="125"/>
      <c r="AT9" s="869">
        <f t="shared" si="22"/>
        <v>7.8041854378888423E-3</v>
      </c>
      <c r="AU9" s="869">
        <f t="shared" si="23"/>
        <v>7.8041854378888423E-3</v>
      </c>
      <c r="AV9" s="869">
        <f t="shared" si="24"/>
        <v>7.8041854378888423E-3</v>
      </c>
      <c r="AW9" s="873"/>
    </row>
    <row r="10" spans="1:50" ht="13" x14ac:dyDescent="0.3">
      <c r="A10" s="185">
        <v>9257002</v>
      </c>
      <c r="B10" s="915" t="s">
        <v>775</v>
      </c>
      <c r="C10" s="861" t="s">
        <v>751</v>
      </c>
      <c r="D10" s="94">
        <v>385000</v>
      </c>
      <c r="E10" s="94">
        <v>115000</v>
      </c>
      <c r="F10" s="944"/>
      <c r="G10" s="944"/>
      <c r="H10" s="333">
        <f>VLOOKUP(A10,'1920 Band Calculations'!$A$112:$T$129,10,FALSE)</f>
        <v>1244254.8092614776</v>
      </c>
      <c r="I10" s="333">
        <f>VLOOKUP(A10,'1920 Band Calculations'!$A$112:$T$129,17,FALSE)</f>
        <v>71433.203125</v>
      </c>
      <c r="J10" s="94">
        <f>VLOOKUP(A10,'1920 FSM Calculation'!$A$4:$D$21,4,FALSE)</f>
        <v>23789.050000000003</v>
      </c>
      <c r="K10" s="944">
        <f t="shared" si="0"/>
        <v>1839477.0623864776</v>
      </c>
      <c r="L10" s="333">
        <f t="shared" si="1"/>
        <v>1839477.0623864776</v>
      </c>
      <c r="M10" s="751">
        <f>VLOOKUP(A10,'1920 Band Calculations'!$A$112:$T$129,19,FALSE)</f>
        <v>144.58333333333334</v>
      </c>
      <c r="O10" s="165">
        <f>M10-(M10*'1920 Band Calculations'!J15)</f>
        <v>143.57928240740742</v>
      </c>
      <c r="P10" s="42">
        <f>'1920 Band Calculations'!AV121</f>
        <v>22603.948241494982</v>
      </c>
      <c r="Q10" s="42">
        <f t="shared" si="7"/>
        <v>9006.0630089781735</v>
      </c>
      <c r="R10" s="724">
        <f t="shared" si="8"/>
        <v>1316873.1141449825</v>
      </c>
      <c r="S10" s="724">
        <f t="shared" si="9"/>
        <v>9171.7488210335523</v>
      </c>
      <c r="T10" s="724">
        <f>VLOOKUP(A10,'1819 Funding Detail'!$A$4:$AX$23,45,(FALSE))</f>
        <v>8847.9673194464194</v>
      </c>
      <c r="U10" s="42">
        <f t="shared" si="10"/>
        <v>323.78150158713288</v>
      </c>
      <c r="V10" s="724">
        <f t="shared" si="11"/>
        <v>0</v>
      </c>
      <c r="W10" s="724">
        <f t="shared" si="12"/>
        <v>1839477.0623864776</v>
      </c>
      <c r="X10" s="42">
        <f t="shared" si="13"/>
        <v>1445833.3333333335</v>
      </c>
      <c r="Y10" s="42">
        <f t="shared" si="14"/>
        <v>0</v>
      </c>
      <c r="Z10" s="942">
        <f t="shared" si="15"/>
        <v>12722.607924286876</v>
      </c>
      <c r="AA10" s="942">
        <f t="shared" si="2"/>
        <v>1445833.3333333335</v>
      </c>
      <c r="AB10" s="942">
        <f t="shared" si="3"/>
        <v>2722.6079242868764</v>
      </c>
      <c r="AC10" s="669">
        <f>VLOOKUP(A10,'1819 Funding Detail'!$A$4:$AK$23,27,FALSE)</f>
        <v>0</v>
      </c>
      <c r="AD10" s="944">
        <f t="shared" si="25"/>
        <v>2722.6079242868764</v>
      </c>
      <c r="AE10" s="944">
        <f t="shared" si="16"/>
        <v>12722.607924286876</v>
      </c>
      <c r="AF10" s="726">
        <f t="shared" si="4"/>
        <v>0</v>
      </c>
      <c r="AG10" s="727">
        <f t="shared" si="5"/>
        <v>1839477.0623864776</v>
      </c>
      <c r="AH10" s="549">
        <f>VLOOKUP(A10,'1819 Funding Detail'!$A$4:$AJ$23,32,(FALSE))</f>
        <v>2438.7081756521693</v>
      </c>
      <c r="AI10" s="549">
        <f t="shared" si="26"/>
        <v>1837038.3542108254</v>
      </c>
      <c r="AJ10" s="387">
        <f t="shared" si="17"/>
        <v>1445833.3333333335</v>
      </c>
      <c r="AK10" s="387">
        <f t="shared" si="18"/>
        <v>393643.72905314411</v>
      </c>
      <c r="AL10" s="387">
        <f t="shared" si="19"/>
        <v>2722.6079242868755</v>
      </c>
      <c r="AM10" s="696">
        <f t="shared" si="6"/>
        <v>12722.607924286876</v>
      </c>
      <c r="AN10" s="609" t="s">
        <v>556</v>
      </c>
      <c r="AP10" s="988">
        <f>SUM(AG10-'2021 Funding Detail'!D10-'2021 Funding Detail'!E10-P10)</f>
        <v>1316873.1141449825</v>
      </c>
      <c r="AQ10" s="723">
        <f t="shared" si="20"/>
        <v>9171.7488210335523</v>
      </c>
      <c r="AR10" s="723">
        <f t="shared" si="21"/>
        <v>9034.1725887180492</v>
      </c>
      <c r="AS10" s="125"/>
      <c r="AT10" s="869">
        <f t="shared" si="22"/>
        <v>3.6593885340818658E-2</v>
      </c>
      <c r="AU10" s="869">
        <f t="shared" si="23"/>
        <v>3.6593885340818658E-2</v>
      </c>
      <c r="AV10" s="869">
        <f t="shared" si="24"/>
        <v>3.6593885340818658E-2</v>
      </c>
      <c r="AW10" s="873"/>
    </row>
    <row r="11" spans="1:50" ht="13" x14ac:dyDescent="0.3">
      <c r="A11" s="185">
        <v>9257009</v>
      </c>
      <c r="B11" s="915" t="s">
        <v>411</v>
      </c>
      <c r="C11" s="861" t="s">
        <v>751</v>
      </c>
      <c r="D11" s="94">
        <v>385000</v>
      </c>
      <c r="E11" s="94">
        <v>115000</v>
      </c>
      <c r="F11" s="944"/>
      <c r="G11" s="944"/>
      <c r="H11" s="333">
        <f>VLOOKUP(A11,'1920 Band Calculations'!$A$112:$T$129,10,FALSE)</f>
        <v>1164513.6027981231</v>
      </c>
      <c r="I11" s="333">
        <f>VLOOKUP(A11,'1920 Band Calculations'!$A$112:$T$129,17,FALSE)</f>
        <v>42212.437810945274</v>
      </c>
      <c r="J11" s="94">
        <f>VLOOKUP(A11,'1920 FSM Calculation'!$A$4:$D$21,4,FALSE)</f>
        <v>12118.95</v>
      </c>
      <c r="K11" s="944">
        <f t="shared" si="0"/>
        <v>1718844.9906090684</v>
      </c>
      <c r="L11" s="333">
        <f t="shared" si="1"/>
        <v>1718844.9906090684</v>
      </c>
      <c r="M11" s="751">
        <f>VLOOKUP(A11,'1920 Band Calculations'!$A$112:$T$129,19,FALSE)</f>
        <v>134.16666666666669</v>
      </c>
      <c r="O11" s="165">
        <f>M11-(M11*'1920 Band Calculations'!J16)</f>
        <v>134.16666666666669</v>
      </c>
      <c r="P11" s="42">
        <f>'1920 Band Calculations'!AV122</f>
        <v>0</v>
      </c>
      <c r="Q11" s="42">
        <f t="shared" si="7"/>
        <v>8994.2313585769061</v>
      </c>
      <c r="R11" s="724">
        <f t="shared" si="8"/>
        <v>1218844.9906090684</v>
      </c>
      <c r="S11" s="724">
        <f t="shared" si="9"/>
        <v>9084.5589362166575</v>
      </c>
      <c r="T11" s="724">
        <f>VLOOKUP(A11,'1819 Funding Detail'!$A$4:$AX$23,45,(FALSE))</f>
        <v>9704.7517502975679</v>
      </c>
      <c r="U11" s="42">
        <f t="shared" si="10"/>
        <v>-620.19281408091047</v>
      </c>
      <c r="V11" s="724">
        <f t="shared" si="11"/>
        <v>83209.202555855503</v>
      </c>
      <c r="W11" s="724">
        <f t="shared" si="12"/>
        <v>1802054.1931649239</v>
      </c>
      <c r="X11" s="42">
        <f t="shared" si="13"/>
        <v>1341666.6666666667</v>
      </c>
      <c r="Y11" s="42">
        <f t="shared" si="14"/>
        <v>0</v>
      </c>
      <c r="Z11" s="942">
        <f t="shared" si="15"/>
        <v>12811.267010750818</v>
      </c>
      <c r="AA11" s="942">
        <f t="shared" si="2"/>
        <v>1341666.6666666667</v>
      </c>
      <c r="AB11" s="942">
        <f t="shared" si="3"/>
        <v>2811.2670107508184</v>
      </c>
      <c r="AC11" s="669">
        <f>VLOOKUP(A11,'1819 Funding Detail'!$A$4:$AK$23,27,FALSE)</f>
        <v>0</v>
      </c>
      <c r="AD11" s="944">
        <f t="shared" si="25"/>
        <v>2811.2670107508184</v>
      </c>
      <c r="AE11" s="944">
        <f t="shared" si="16"/>
        <v>12811.267010750818</v>
      </c>
      <c r="AF11" s="726">
        <f t="shared" si="4"/>
        <v>83209.202555855503</v>
      </c>
      <c r="AG11" s="727">
        <f t="shared" si="5"/>
        <v>1802054.1931649239</v>
      </c>
      <c r="AH11" s="549">
        <f>VLOOKUP(A11,'1819 Funding Detail'!$A$4:$AJ$23,32,(FALSE))</f>
        <v>3511.8583492823382</v>
      </c>
      <c r="AI11" s="549">
        <f>AG11-AH11</f>
        <v>1798542.3348156416</v>
      </c>
      <c r="AJ11" s="387">
        <f t="shared" si="17"/>
        <v>1341666.6666666667</v>
      </c>
      <c r="AK11" s="387">
        <f t="shared" si="18"/>
        <v>460387.52649825718</v>
      </c>
      <c r="AL11" s="387">
        <f t="shared" si="19"/>
        <v>3431.4598248317302</v>
      </c>
      <c r="AM11" s="696">
        <f t="shared" si="6"/>
        <v>13431.459824831729</v>
      </c>
      <c r="AN11" s="609" t="s">
        <v>556</v>
      </c>
      <c r="AP11" s="988">
        <f>SUM(AG11-'2021 Funding Detail'!D11-'2021 Funding Detail'!E11-P11)</f>
        <v>1302054.1931649239</v>
      </c>
      <c r="AQ11" s="723">
        <f t="shared" si="20"/>
        <v>9704.7517502975679</v>
      </c>
      <c r="AR11" s="723">
        <f t="shared" si="21"/>
        <v>9559.1804740431035</v>
      </c>
      <c r="AS11" s="125"/>
      <c r="AT11" s="869">
        <f t="shared" si="22"/>
        <v>-6.3906097758955463E-2</v>
      </c>
      <c r="AU11" s="869">
        <f t="shared" si="23"/>
        <v>6.3906097758955463E-2</v>
      </c>
      <c r="AV11" s="869">
        <f t="shared" si="24"/>
        <v>0</v>
      </c>
      <c r="AW11" s="873"/>
    </row>
    <row r="12" spans="1:50" ht="13" x14ac:dyDescent="0.3">
      <c r="A12" s="185">
        <v>9257028</v>
      </c>
      <c r="B12" s="915" t="s">
        <v>77</v>
      </c>
      <c r="C12" s="861" t="s">
        <v>756</v>
      </c>
      <c r="D12" s="94">
        <v>362500</v>
      </c>
      <c r="E12" s="94">
        <v>110000</v>
      </c>
      <c r="F12" s="944"/>
      <c r="G12" s="944"/>
      <c r="H12" s="333">
        <f>VLOOKUP(A12,'1920 Band Calculations'!$A$112:$T$129,10,FALSE)</f>
        <v>1054921.6462914483</v>
      </c>
      <c r="I12" s="333">
        <f>VLOOKUP(A12,'1920 Band Calculations'!$A$112:$T$129,17,FALSE)</f>
        <v>7659.8837209302328</v>
      </c>
      <c r="J12" s="94">
        <f>VLOOKUP(A12,'1920 FSM Calculation'!$A$4:$D$21,4,FALSE)</f>
        <v>8977</v>
      </c>
      <c r="K12" s="944">
        <f t="shared" si="0"/>
        <v>1544058.5300123785</v>
      </c>
      <c r="L12" s="333">
        <f t="shared" si="1"/>
        <v>1544058.5300123785</v>
      </c>
      <c r="M12" s="751">
        <f>VLOOKUP(A12,'1920 Band Calculations'!$A$112:$T$129,19,FALSE)</f>
        <v>83.333333333333343</v>
      </c>
      <c r="O12" s="165">
        <f>M12-(M12*'1920 Band Calculations'!J20)</f>
        <v>71.705426356589157</v>
      </c>
      <c r="P12" s="42">
        <f>'1920 Band Calculations'!AV126</f>
        <v>261776.17157900496</v>
      </c>
      <c r="Q12" s="42">
        <f t="shared" si="7"/>
        <v>11167.988241935695</v>
      </c>
      <c r="R12" s="724">
        <f t="shared" si="8"/>
        <v>809782.35843337351</v>
      </c>
      <c r="S12" s="724">
        <f t="shared" si="9"/>
        <v>11293.180998692451</v>
      </c>
      <c r="T12" s="724">
        <f>VLOOKUP(A12,'1819 Funding Detail'!$A$4:$AX$23,45,(FALSE))</f>
        <v>11030.352475573123</v>
      </c>
      <c r="U12" s="42">
        <f t="shared" si="10"/>
        <v>262.82852311932766</v>
      </c>
      <c r="V12" s="724">
        <f t="shared" si="11"/>
        <v>0</v>
      </c>
      <c r="W12" s="724">
        <f t="shared" si="12"/>
        <v>1544058.5300123785</v>
      </c>
      <c r="X12" s="42">
        <f t="shared" si="13"/>
        <v>833333.33333333337</v>
      </c>
      <c r="Y12" s="42">
        <f t="shared" si="14"/>
        <v>0</v>
      </c>
      <c r="Z12" s="942">
        <f t="shared" si="15"/>
        <v>18528.702360148538</v>
      </c>
      <c r="AA12" s="942">
        <f t="shared" si="2"/>
        <v>833333.33333333337</v>
      </c>
      <c r="AB12" s="942">
        <f t="shared" si="3"/>
        <v>8528.702360148538</v>
      </c>
      <c r="AC12" s="669">
        <f>VLOOKUP(A12,'1819 Funding Detail'!$A$4:$AK$23,27,FALSE)</f>
        <v>0</v>
      </c>
      <c r="AD12" s="944">
        <f t="shared" si="25"/>
        <v>8528.702360148538</v>
      </c>
      <c r="AE12" s="944">
        <f t="shared" si="16"/>
        <v>18528.702360148538</v>
      </c>
      <c r="AF12" s="726">
        <f t="shared" si="4"/>
        <v>0</v>
      </c>
      <c r="AG12" s="727">
        <f t="shared" si="5"/>
        <v>1544058.5300123785</v>
      </c>
      <c r="AH12" s="549">
        <f>VLOOKUP(A12,'1819 Funding Detail'!$A$4:$AJ$23,32,(FALSE))</f>
        <v>9172.6997910885293</v>
      </c>
      <c r="AI12" s="549">
        <f t="shared" si="26"/>
        <v>1534885.83022129</v>
      </c>
      <c r="AJ12" s="387">
        <f t="shared" si="17"/>
        <v>833333.33333333337</v>
      </c>
      <c r="AK12" s="387">
        <f t="shared" si="18"/>
        <v>710725.1966790451</v>
      </c>
      <c r="AL12" s="387">
        <f t="shared" si="19"/>
        <v>8528.7023601485398</v>
      </c>
      <c r="AM12" s="696">
        <f t="shared" si="6"/>
        <v>18528.702360148538</v>
      </c>
      <c r="AN12" s="609" t="s">
        <v>556</v>
      </c>
      <c r="AP12" s="988">
        <f>SUM(AG12-'2021 Funding Detail'!D12-'2021 Funding Detail'!E12-P12)</f>
        <v>782282.35843337351</v>
      </c>
      <c r="AQ12" s="723">
        <f t="shared" si="20"/>
        <v>10909.667485178938</v>
      </c>
      <c r="AR12" s="723">
        <f t="shared" si="21"/>
        <v>10746.022472901253</v>
      </c>
      <c r="AS12" s="125"/>
      <c r="AT12" s="869">
        <f t="shared" si="22"/>
        <v>2.3827753800376304E-2</v>
      </c>
      <c r="AU12" s="869">
        <f t="shared" si="23"/>
        <v>2.3827753800376304E-2</v>
      </c>
      <c r="AV12" s="869">
        <f t="shared" si="24"/>
        <v>2.3827753800376304E-2</v>
      </c>
      <c r="AW12" s="873"/>
    </row>
    <row r="13" spans="1:50" ht="13" x14ac:dyDescent="0.3">
      <c r="A13" s="185">
        <v>9257021</v>
      </c>
      <c r="B13" s="915" t="s">
        <v>778</v>
      </c>
      <c r="C13" s="861" t="s">
        <v>758</v>
      </c>
      <c r="D13" s="94">
        <v>407500</v>
      </c>
      <c r="E13" s="94">
        <v>120000</v>
      </c>
      <c r="F13" s="944"/>
      <c r="G13" s="944"/>
      <c r="H13" s="333">
        <f>VLOOKUP(A13,'1920 Band Calculations'!$A$112:$T$129,10,FALSE)</f>
        <v>1446926.7822392527</v>
      </c>
      <c r="I13" s="333">
        <f>VLOOKUP(A13,'1920 Band Calculations'!$A$112:$T$129,17,FALSE)</f>
        <v>41400.946502057617</v>
      </c>
      <c r="J13" s="94">
        <f>VLOOKUP(A13,'1920 FSM Calculation'!$A$4:$D$21,4,FALSE)</f>
        <v>27828.7</v>
      </c>
      <c r="K13" s="944">
        <f t="shared" si="0"/>
        <v>2043656.4287413103</v>
      </c>
      <c r="L13" s="333">
        <f t="shared" si="1"/>
        <v>2043656.4287413103</v>
      </c>
      <c r="M13" s="751">
        <f>VLOOKUP(A13,'1920 Band Calculations'!$A$112:$T$129,19,FALSE)</f>
        <v>159.08333333333334</v>
      </c>
      <c r="O13" s="165">
        <f>M13-(M13*'1920 Band Calculations'!J21)</f>
        <v>158.10133744855969</v>
      </c>
      <c r="P13" s="42">
        <f>'1920 Band Calculations'!AV127</f>
        <v>22107.42859712529</v>
      </c>
      <c r="Q13" s="42">
        <f t="shared" si="7"/>
        <v>9273.9272406296932</v>
      </c>
      <c r="R13" s="724">
        <f t="shared" si="8"/>
        <v>1494049.000144185</v>
      </c>
      <c r="S13" s="724">
        <f t="shared" si="9"/>
        <v>9449.9453594457609</v>
      </c>
      <c r="T13" s="724">
        <f>VLOOKUP(A13,'1819 Funding Detail'!$A$4:$AX$23,45,(FALSE))</f>
        <v>9644.3828677192814</v>
      </c>
      <c r="U13" s="42">
        <f t="shared" si="10"/>
        <v>-194.43750827352051</v>
      </c>
      <c r="V13" s="724">
        <f t="shared" si="11"/>
        <v>30740.830108208982</v>
      </c>
      <c r="W13" s="724">
        <f t="shared" si="12"/>
        <v>2074397.2588495193</v>
      </c>
      <c r="X13" s="42">
        <f t="shared" si="13"/>
        <v>1590833.3333333335</v>
      </c>
      <c r="Y13" s="42">
        <f t="shared" si="14"/>
        <v>0</v>
      </c>
      <c r="Z13" s="942">
        <f t="shared" si="15"/>
        <v>12846.452145047522</v>
      </c>
      <c r="AA13" s="942">
        <f t="shared" si="2"/>
        <v>1590833.3333333335</v>
      </c>
      <c r="AB13" s="942">
        <f t="shared" si="3"/>
        <v>2846.4521450475222</v>
      </c>
      <c r="AC13" s="669">
        <f>VLOOKUP(A13,'1819 Funding Detail'!$A$4:$AK$23,27,FALSE)</f>
        <v>0</v>
      </c>
      <c r="AD13" s="944">
        <f t="shared" si="25"/>
        <v>2846.4521450475222</v>
      </c>
      <c r="AE13" s="944">
        <f t="shared" si="16"/>
        <v>12846.452145047522</v>
      </c>
      <c r="AF13" s="726">
        <f t="shared" si="4"/>
        <v>30740.830108208982</v>
      </c>
      <c r="AG13" s="727">
        <f t="shared" si="5"/>
        <v>2074397.2588495193</v>
      </c>
      <c r="AH13" s="549">
        <f>VLOOKUP(A13,'1819 Funding Detail'!$A$4:$AJ$23,32,(FALSE))</f>
        <v>3199.0772879370379</v>
      </c>
      <c r="AI13" s="549">
        <f t="shared" si="26"/>
        <v>2071198.1815615823</v>
      </c>
      <c r="AJ13" s="387">
        <f t="shared" si="17"/>
        <v>1590833.3333333335</v>
      </c>
      <c r="AK13" s="387">
        <f t="shared" si="18"/>
        <v>483563.92551618582</v>
      </c>
      <c r="AL13" s="387">
        <f t="shared" si="19"/>
        <v>3039.689421788491</v>
      </c>
      <c r="AM13" s="696">
        <f t="shared" si="6"/>
        <v>13039.689421788491</v>
      </c>
      <c r="AN13" s="609" t="s">
        <v>556</v>
      </c>
      <c r="AP13" s="988">
        <f>SUM(AG13-'2021 Funding Detail'!D13-'2021 Funding Detail'!E13-P13)</f>
        <v>1524789.8302523941</v>
      </c>
      <c r="AQ13" s="723">
        <f t="shared" si="20"/>
        <v>9644.3828677192832</v>
      </c>
      <c r="AR13" s="723">
        <f t="shared" si="21"/>
        <v>9499.717124703493</v>
      </c>
      <c r="AS13" s="125"/>
      <c r="AT13" s="869">
        <f t="shared" si="22"/>
        <v>-2.0160699854038601E-2</v>
      </c>
      <c r="AU13" s="869">
        <f t="shared" si="23"/>
        <v>2.0160699854038601E-2</v>
      </c>
      <c r="AV13" s="869">
        <f t="shared" si="24"/>
        <v>0</v>
      </c>
      <c r="AW13" s="873"/>
    </row>
    <row r="14" spans="1:50" s="40" customFormat="1" ht="12.75" customHeight="1" x14ac:dyDescent="0.3">
      <c r="A14" s="131">
        <v>9257015</v>
      </c>
      <c r="B14" s="38" t="s">
        <v>55</v>
      </c>
      <c r="C14" s="861" t="s">
        <v>759</v>
      </c>
      <c r="D14" s="94">
        <v>452500</v>
      </c>
      <c r="E14" s="94">
        <v>130000</v>
      </c>
      <c r="F14" s="94"/>
      <c r="G14" s="645">
        <v>41787</v>
      </c>
      <c r="H14" s="333">
        <f>VLOOKUP(A14,'1920 Band Calculations'!$A$112:$T$129,10,FALSE)</f>
        <v>2052191.2153002319</v>
      </c>
      <c r="I14" s="333">
        <f>VLOOKUP(A14,'1920 Band Calculations'!$A$112:$T$129,17,FALSE)</f>
        <v>18522.827004219413</v>
      </c>
      <c r="J14" s="94">
        <f>VLOOKUP(A14,'1920 FSM Calculation'!$A$4:$D$21,4,FALSE)</f>
        <v>31868.350000000002</v>
      </c>
      <c r="K14" s="94">
        <f t="shared" si="0"/>
        <v>2726869.3923044517</v>
      </c>
      <c r="L14" s="333">
        <f>K14-F14-G14</f>
        <v>2685082.3923044517</v>
      </c>
      <c r="M14" s="751">
        <f>VLOOKUP(A14,'1920 Band Calculations'!$A$112:$T$129,19,FALSE)</f>
        <v>238.00000000000003</v>
      </c>
      <c r="O14" s="165">
        <f>M14-(M14*'1920 Band Calculations'!J22)</f>
        <v>235.99156118143463</v>
      </c>
      <c r="P14" s="80">
        <f>'1920 Band Calculations'!AV128</f>
        <v>45215.482530625093</v>
      </c>
      <c r="Q14" s="42">
        <f t="shared" si="7"/>
        <v>8582.9279218021948</v>
      </c>
      <c r="R14" s="724">
        <f t="shared" si="8"/>
        <v>2057366.9097738266</v>
      </c>
      <c r="S14" s="724">
        <f t="shared" si="9"/>
        <v>8717.9681318862295</v>
      </c>
      <c r="T14" s="724">
        <f>VLOOKUP(A14,'1819 Funding Detail'!$A$4:$AX$23,45,(FALSE))</f>
        <v>8584.53665478722</v>
      </c>
      <c r="U14" s="42">
        <f t="shared" si="10"/>
        <v>133.4314770990095</v>
      </c>
      <c r="V14" s="724">
        <f t="shared" si="11"/>
        <v>0</v>
      </c>
      <c r="W14" s="724">
        <f t="shared" si="12"/>
        <v>2685082.3923044517</v>
      </c>
      <c r="X14" s="80">
        <f t="shared" si="13"/>
        <v>2380000.0000000005</v>
      </c>
      <c r="Y14" s="80">
        <f t="shared" si="14"/>
        <v>0</v>
      </c>
      <c r="Z14" s="247">
        <f t="shared" si="15"/>
        <v>11281.858791195174</v>
      </c>
      <c r="AA14" s="247">
        <f t="shared" si="2"/>
        <v>2380000.0000000005</v>
      </c>
      <c r="AB14" s="247">
        <f t="shared" si="3"/>
        <v>1281.8587911951745</v>
      </c>
      <c r="AC14" s="669">
        <f>VLOOKUP(A14,'1819 Funding Detail'!$A$4:$AK$23,27,FALSE)</f>
        <v>0</v>
      </c>
      <c r="AD14" s="944">
        <f t="shared" si="25"/>
        <v>1281.8587911951745</v>
      </c>
      <c r="AE14" s="94">
        <f t="shared" si="16"/>
        <v>11281.858791195174</v>
      </c>
      <c r="AF14" s="726">
        <f t="shared" si="4"/>
        <v>0</v>
      </c>
      <c r="AG14" s="727">
        <f t="shared" si="5"/>
        <v>2685082.3923044517</v>
      </c>
      <c r="AH14" s="549">
        <f>VLOOKUP(A14,'1819 Funding Detail'!$A$4:$AJ$23,32,(FALSE))</f>
        <v>0</v>
      </c>
      <c r="AI14" s="549">
        <f t="shared" si="26"/>
        <v>2685082.3923044517</v>
      </c>
      <c r="AJ14" s="387">
        <f t="shared" si="17"/>
        <v>2380000.0000000005</v>
      </c>
      <c r="AK14" s="387">
        <f t="shared" si="18"/>
        <v>305082.3923044512</v>
      </c>
      <c r="AL14" s="387">
        <f t="shared" si="19"/>
        <v>1281.8587911951729</v>
      </c>
      <c r="AM14" s="696">
        <f t="shared" si="6"/>
        <v>11281.858791195174</v>
      </c>
      <c r="AN14" s="609" t="s">
        <v>556</v>
      </c>
      <c r="AP14" s="988">
        <f>SUM(AG14-'2021 Funding Detail'!D14-'2021 Funding Detail'!E14-P14)</f>
        <v>2057366.9097738266</v>
      </c>
      <c r="AQ14" s="723">
        <f t="shared" si="20"/>
        <v>8717.9681318862295</v>
      </c>
      <c r="AR14" s="723">
        <f t="shared" si="21"/>
        <v>8587.1986099079368</v>
      </c>
      <c r="AS14" s="125"/>
      <c r="AT14" s="869">
        <f t="shared" si="22"/>
        <v>1.5543235758053477E-2</v>
      </c>
      <c r="AU14" s="869">
        <f t="shared" si="23"/>
        <v>1.5543235758053477E-2</v>
      </c>
      <c r="AV14" s="869">
        <f t="shared" si="24"/>
        <v>1.5543235758053477E-2</v>
      </c>
      <c r="AW14" s="874"/>
    </row>
    <row r="15" spans="1:50" ht="13" x14ac:dyDescent="0.3">
      <c r="A15" s="185">
        <v>9257016</v>
      </c>
      <c r="B15" s="915" t="s">
        <v>80</v>
      </c>
      <c r="C15" s="861" t="s">
        <v>752</v>
      </c>
      <c r="D15" s="94">
        <v>430000</v>
      </c>
      <c r="E15" s="94">
        <v>125000</v>
      </c>
      <c r="F15" s="944"/>
      <c r="G15" s="944"/>
      <c r="H15" s="333">
        <f>VLOOKUP(A15,'1920 Band Calculations'!$A$112:$T$129,10,FALSE)</f>
        <v>1910747.5024720924</v>
      </c>
      <c r="I15" s="333">
        <f>VLOOKUP(A15,'1920 Band Calculations'!$A$112:$T$129,17,FALSE)</f>
        <v>2655.9895833333335</v>
      </c>
      <c r="J15" s="94">
        <f>VLOOKUP(A15,'1920 FSM Calculation'!$A$4:$D$21,4,FALSE)</f>
        <v>15709.75</v>
      </c>
      <c r="K15" s="944">
        <f t="shared" si="0"/>
        <v>2484113.2420554259</v>
      </c>
      <c r="L15" s="333">
        <f>K15-F15</f>
        <v>2484113.2420554259</v>
      </c>
      <c r="M15" s="751">
        <f>VLOOKUP(A15,'1920 Band Calculations'!$A$112:$T$129,19,FALSE)</f>
        <v>137.08333333333334</v>
      </c>
      <c r="O15" s="165">
        <f>M15-(M15*'1920 Band Calculations'!J23)</f>
        <v>101.8045343137255</v>
      </c>
      <c r="P15" s="42">
        <f>'1920 Band Calculations'!AV129</f>
        <v>794222.80929219606</v>
      </c>
      <c r="Q15" s="42">
        <f t="shared" si="7"/>
        <v>10993.426671098081</v>
      </c>
      <c r="R15" s="724">
        <f t="shared" si="8"/>
        <v>1134890.4327632298</v>
      </c>
      <c r="S15" s="724">
        <f t="shared" si="9"/>
        <v>11147.739542385212</v>
      </c>
      <c r="T15" s="724">
        <f>VLOOKUP(A15,'1819 Funding Detail'!$A$4:$AX$23,45,(FALSE))</f>
        <v>10701.919253835529</v>
      </c>
      <c r="U15" s="42">
        <f t="shared" si="10"/>
        <v>445.82028854968303</v>
      </c>
      <c r="V15" s="724">
        <f t="shared" si="11"/>
        <v>0</v>
      </c>
      <c r="W15" s="724">
        <f t="shared" si="12"/>
        <v>2484113.2420554259</v>
      </c>
      <c r="X15" s="42">
        <f t="shared" si="13"/>
        <v>1370833.3333333335</v>
      </c>
      <c r="Y15" s="42">
        <f t="shared" si="14"/>
        <v>0</v>
      </c>
      <c r="Z15" s="942">
        <f t="shared" si="15"/>
        <v>18121.190823504625</v>
      </c>
      <c r="AA15" s="942">
        <f t="shared" si="2"/>
        <v>1370833.3333333335</v>
      </c>
      <c r="AB15" s="942">
        <f t="shared" si="3"/>
        <v>8121.1908235046249</v>
      </c>
      <c r="AC15" s="669">
        <f>VLOOKUP(A15,'1819 Funding Detail'!$A$4:$AK$23,27,FALSE)</f>
        <v>0</v>
      </c>
      <c r="AD15" s="944">
        <f t="shared" si="25"/>
        <v>8121.1908235046249</v>
      </c>
      <c r="AE15" s="944">
        <f t="shared" si="16"/>
        <v>18121.190823504625</v>
      </c>
      <c r="AF15" s="726">
        <f t="shared" si="4"/>
        <v>0</v>
      </c>
      <c r="AG15" s="727">
        <f t="shared" si="5"/>
        <v>2484113.2420554259</v>
      </c>
      <c r="AH15" s="549">
        <f>VLOOKUP(A15,'1819 Funding Detail'!$A$4:$AJ$23,32,(FALSE))</f>
        <v>7649.7962120934317</v>
      </c>
      <c r="AI15" s="549">
        <f t="shared" si="26"/>
        <v>2476463.4458433324</v>
      </c>
      <c r="AJ15" s="387">
        <f t="shared" si="17"/>
        <v>1370833.3333333335</v>
      </c>
      <c r="AK15" s="387">
        <f t="shared" si="18"/>
        <v>1113279.9087220924</v>
      </c>
      <c r="AL15" s="387">
        <f t="shared" si="19"/>
        <v>8121.1908235046249</v>
      </c>
      <c r="AM15" s="696">
        <f t="shared" si="6"/>
        <v>18121.190823504625</v>
      </c>
      <c r="AN15" s="609" t="s">
        <v>556</v>
      </c>
      <c r="AP15" s="988">
        <f>SUM(AG15-'2021 Funding Detail'!D15-'2021 Funding Detail'!E15-P15)</f>
        <v>1107390.4327632298</v>
      </c>
      <c r="AQ15" s="723">
        <f t="shared" si="20"/>
        <v>10877.61404959277</v>
      </c>
      <c r="AR15" s="723">
        <f t="shared" si="21"/>
        <v>10714.449838848879</v>
      </c>
      <c r="AS15" s="125"/>
      <c r="AT15" s="869">
        <f t="shared" si="22"/>
        <v>4.1657975357074634E-2</v>
      </c>
      <c r="AU15" s="869">
        <f t="shared" si="23"/>
        <v>4.1657975357074634E-2</v>
      </c>
      <c r="AV15" s="869">
        <f t="shared" si="24"/>
        <v>4.1657975357074634E-2</v>
      </c>
      <c r="AW15" s="873"/>
    </row>
    <row r="16" spans="1:50" ht="13" x14ac:dyDescent="0.3">
      <c r="A16" s="185"/>
      <c r="B16" s="38"/>
      <c r="C16" s="131"/>
      <c r="D16" s="94"/>
      <c r="E16" s="94"/>
      <c r="F16" s="944"/>
      <c r="G16" s="944"/>
      <c r="H16" s="333"/>
      <c r="I16" s="333"/>
      <c r="J16" s="94"/>
      <c r="K16" s="944"/>
      <c r="L16" s="333"/>
      <c r="M16" s="751"/>
      <c r="P16" s="42"/>
      <c r="Q16" s="42"/>
      <c r="R16" s="42"/>
      <c r="S16" s="42"/>
      <c r="T16" s="80"/>
      <c r="U16" s="42"/>
      <c r="V16" s="42"/>
      <c r="W16" s="42"/>
      <c r="X16" s="42"/>
      <c r="Y16" s="42"/>
      <c r="Z16" s="942"/>
      <c r="AA16" s="942"/>
      <c r="AB16" s="942"/>
      <c r="AC16" s="94"/>
      <c r="AD16" s="944"/>
      <c r="AE16" s="944"/>
      <c r="AF16" s="944"/>
      <c r="AG16" s="156"/>
      <c r="AH16" s="549"/>
      <c r="AI16" s="549"/>
      <c r="AJ16" s="387"/>
      <c r="AK16" s="387"/>
      <c r="AL16" s="387"/>
      <c r="AM16" s="696"/>
      <c r="AN16" s="61"/>
      <c r="AP16" s="988"/>
      <c r="AQ16" s="723"/>
      <c r="AR16" s="73"/>
      <c r="AS16" s="125"/>
      <c r="AT16" s="869"/>
      <c r="AU16" s="869"/>
      <c r="AV16" s="869"/>
      <c r="AW16" s="873"/>
    </row>
    <row r="17" spans="1:50" ht="13" x14ac:dyDescent="0.3">
      <c r="A17" s="185">
        <v>9257031</v>
      </c>
      <c r="B17" s="918" t="s">
        <v>422</v>
      </c>
      <c r="C17" s="861" t="s">
        <v>764</v>
      </c>
      <c r="D17" s="94">
        <v>332500</v>
      </c>
      <c r="E17" s="94">
        <v>80000</v>
      </c>
      <c r="F17" s="94">
        <v>180269</v>
      </c>
      <c r="G17" s="944"/>
      <c r="H17" s="333">
        <f>VLOOKUP(A17,'1920 Band Calculations'!$A$112:$T$129,10,FALSE)</f>
        <v>830676.65839235869</v>
      </c>
      <c r="I17" s="333">
        <f>VLOOKUP(A17,'1920 Band Calculations'!$A$112:$T$129,17,FALSE)</f>
        <v>194331.25</v>
      </c>
      <c r="J17" s="94">
        <f>VLOOKUP(A17,'1920 FSM Calculation'!$A$4:$D$21,4,FALSE)</f>
        <v>13016.650000000001</v>
      </c>
      <c r="K17" s="944">
        <f>SUM(D17:J17)</f>
        <v>1630793.5583923585</v>
      </c>
      <c r="L17" s="333">
        <f>K17-F17</f>
        <v>1450524.5583923585</v>
      </c>
      <c r="M17" s="751">
        <f>VLOOKUP(A17,'1920 Band Calculations'!$A$112:$T$129,19,FALSE)</f>
        <v>73.75</v>
      </c>
      <c r="O17" s="165">
        <f>M17-(M17*'1920 Band Calculations'!J11)</f>
        <v>73.75</v>
      </c>
      <c r="P17" s="42">
        <f>'1920 Band Calculations'!AV117</f>
        <v>0</v>
      </c>
      <c r="Q17" s="42">
        <f t="shared" si="7"/>
        <v>13898.412317184524</v>
      </c>
      <c r="R17" s="724">
        <f>L17-D17-E17-P17</f>
        <v>1038024.5583923585</v>
      </c>
      <c r="S17" s="724">
        <f t="shared" si="9"/>
        <v>14074.909266337065</v>
      </c>
      <c r="T17" s="724">
        <f>VLOOKUP(A17,'1819 Funding Detail'!$A$4:$AX$23,45,(FALSE))</f>
        <v>14527.623652186257</v>
      </c>
      <c r="U17" s="42">
        <f t="shared" si="10"/>
        <v>-452.71438584919269</v>
      </c>
      <c r="V17" s="724">
        <f t="shared" si="11"/>
        <v>33387.685956377958</v>
      </c>
      <c r="W17" s="724">
        <f t="shared" si="12"/>
        <v>1483912.2443487365</v>
      </c>
      <c r="X17" s="42">
        <f t="shared" si="13"/>
        <v>737500</v>
      </c>
      <c r="Y17" s="42">
        <f t="shared" si="14"/>
        <v>0</v>
      </c>
      <c r="Z17" s="942">
        <f t="shared" si="15"/>
        <v>19668.129605320115</v>
      </c>
      <c r="AA17" s="942">
        <f>M17*10000</f>
        <v>737500</v>
      </c>
      <c r="AB17" s="942">
        <f>Z17-10000</f>
        <v>9668.1296053201149</v>
      </c>
      <c r="AC17" s="669">
        <f>VLOOKUP(A17,'1819 Funding Detail'!$A$4:$AK$23,27,FALSE)</f>
        <v>0</v>
      </c>
      <c r="AD17" s="944">
        <f t="shared" si="25"/>
        <v>9668.1296053201149</v>
      </c>
      <c r="AE17" s="944">
        <f t="shared" si="16"/>
        <v>19668.129605320115</v>
      </c>
      <c r="AF17" s="726">
        <f>V17+Y17</f>
        <v>33387.685956377958</v>
      </c>
      <c r="AG17" s="727">
        <f>L17+AF17</f>
        <v>1483912.2443487365</v>
      </c>
      <c r="AH17" s="549">
        <f>VLOOKUP(A17,'1819 Funding Detail'!$A$4:$AJ$23,32,(FALSE))</f>
        <v>10491.479073873004</v>
      </c>
      <c r="AI17" s="549">
        <f>AG17-AH17</f>
        <v>1473420.7652748635</v>
      </c>
      <c r="AJ17" s="387">
        <f>M17*10000</f>
        <v>737500</v>
      </c>
      <c r="AK17" s="387">
        <f>AG17-AJ17</f>
        <v>746412.24434873648</v>
      </c>
      <c r="AL17" s="387">
        <f>AK17/M17</f>
        <v>10120.843991169308</v>
      </c>
      <c r="AM17" s="696">
        <f>AG17/M17</f>
        <v>20120.843991169309</v>
      </c>
      <c r="AN17" s="609" t="s">
        <v>556</v>
      </c>
      <c r="AP17" s="988">
        <f>SUM(AG17-'2021 Funding Detail'!D17-'2021 Funding Detail'!E17-P17)</f>
        <v>1071412.2443487365</v>
      </c>
      <c r="AQ17" s="723">
        <f t="shared" si="20"/>
        <v>14527.623652186257</v>
      </c>
      <c r="AR17" s="723">
        <f t="shared" si="21"/>
        <v>14309.709297403464</v>
      </c>
      <c r="AS17" s="125"/>
      <c r="AT17" s="869">
        <f t="shared" si="22"/>
        <v>-3.1162315096252089E-2</v>
      </c>
      <c r="AU17" s="869">
        <f t="shared" si="23"/>
        <v>3.1162315096252089E-2</v>
      </c>
      <c r="AV17" s="869">
        <f t="shared" si="24"/>
        <v>0</v>
      </c>
      <c r="AW17" s="873"/>
    </row>
    <row r="18" spans="1:50" ht="13" x14ac:dyDescent="0.3">
      <c r="A18" s="185">
        <v>9257029</v>
      </c>
      <c r="B18" s="918" t="s">
        <v>848</v>
      </c>
      <c r="C18" s="861" t="s">
        <v>763</v>
      </c>
      <c r="D18" s="94">
        <v>325000</v>
      </c>
      <c r="E18" s="94">
        <v>80000</v>
      </c>
      <c r="F18" s="94">
        <v>254986</v>
      </c>
      <c r="G18" s="944"/>
      <c r="H18" s="333">
        <f>VLOOKUP(A18,'1920 Band Calculations'!$A$112:$T$129,10,FALSE)</f>
        <v>639198.64900022175</v>
      </c>
      <c r="I18" s="333">
        <f>VLOOKUP(A18,'1920 Band Calculations'!$A$112:$T$129,17,FALSE)</f>
        <v>149536.25</v>
      </c>
      <c r="J18" s="94">
        <f>VLOOKUP(A18,'1920 FSM Calculation'!$A$4:$D$21,4,FALSE)</f>
        <v>9874.7000000000007</v>
      </c>
      <c r="K18" s="944">
        <f>SUM(D18:J18)</f>
        <v>1458595.5990002218</v>
      </c>
      <c r="L18" s="333">
        <f>K18-F18</f>
        <v>1203609.5990002218</v>
      </c>
      <c r="M18" s="751">
        <f>VLOOKUP(A18,'1920 Band Calculations'!$A$112:$T$129,19,FALSE)</f>
        <v>56.750000000000007</v>
      </c>
      <c r="O18" s="165">
        <f>M18-(M18*'1920 Band Calculations'!J17)</f>
        <v>56.750000000000007</v>
      </c>
      <c r="P18" s="42">
        <f>'1920 Band Calculations'!AV123</f>
        <v>0</v>
      </c>
      <c r="Q18" s="42">
        <f t="shared" si="7"/>
        <v>13898.412317184522</v>
      </c>
      <c r="R18" s="724">
        <f t="shared" si="8"/>
        <v>798609.59900022182</v>
      </c>
      <c r="S18" s="724">
        <f t="shared" si="9"/>
        <v>14072.415841413598</v>
      </c>
      <c r="T18" s="724">
        <f>S18+'1819 Funding Detail'!AU18</f>
        <v>14371.333215172823</v>
      </c>
      <c r="U18" s="42">
        <f t="shared" si="10"/>
        <v>-298.91737375922457</v>
      </c>
      <c r="V18" s="724">
        <f t="shared" si="11"/>
        <v>16963.560960835996</v>
      </c>
      <c r="W18" s="724">
        <f t="shared" si="12"/>
        <v>1220573.1599610578</v>
      </c>
      <c r="X18" s="42">
        <f t="shared" si="13"/>
        <v>567500.00000000012</v>
      </c>
      <c r="Y18" s="42">
        <f t="shared" si="14"/>
        <v>0</v>
      </c>
      <c r="Z18" s="942">
        <f t="shared" si="15"/>
        <v>21208.979718065581</v>
      </c>
      <c r="AA18" s="942">
        <f>M18*10000</f>
        <v>567500.00000000012</v>
      </c>
      <c r="AB18" s="942">
        <f>Z18-10000</f>
        <v>11208.979718065581</v>
      </c>
      <c r="AC18" s="669">
        <f>VLOOKUP(A18,'1819 Funding Detail'!$A$4:$AK$23,27,FALSE)</f>
        <v>0</v>
      </c>
      <c r="AD18" s="944">
        <f t="shared" si="25"/>
        <v>11208.979718065581</v>
      </c>
      <c r="AE18" s="944">
        <f t="shared" si="16"/>
        <v>21208.979718065581</v>
      </c>
      <c r="AF18" s="726">
        <f>V18+Y18</f>
        <v>16963.560960835996</v>
      </c>
      <c r="AG18" s="727">
        <f>L18+AF18</f>
        <v>1220573.1599610578</v>
      </c>
      <c r="AH18" s="549">
        <f>VLOOKUP(A18,'1819 Funding Detail'!$A$4:$AJ$23,32,(FALSE))</f>
        <v>12285.222565355547</v>
      </c>
      <c r="AI18" s="549">
        <f t="shared" si="26"/>
        <v>1208287.9373957023</v>
      </c>
      <c r="AJ18" s="387">
        <f>M18*10000</f>
        <v>567500.00000000012</v>
      </c>
      <c r="AK18" s="387">
        <f>AG18-AJ18</f>
        <v>653073.15996105771</v>
      </c>
      <c r="AL18" s="387">
        <f>AK18/M18</f>
        <v>11507.897091824803</v>
      </c>
      <c r="AM18" s="696">
        <f>AG18/M18</f>
        <v>21507.897091824805</v>
      </c>
      <c r="AN18" s="609" t="s">
        <v>556</v>
      </c>
      <c r="AP18" s="988">
        <f>SUM(AG18-'2021 Funding Detail'!D18-'2021 Funding Detail'!E18-P18)</f>
        <v>808073.15996105783</v>
      </c>
      <c r="AQ18" s="723">
        <f t="shared" si="20"/>
        <v>14239.174624864454</v>
      </c>
      <c r="AR18" s="723">
        <f t="shared" si="21"/>
        <v>14025.587005491487</v>
      </c>
      <c r="AS18" s="125"/>
      <c r="AT18" s="869">
        <f t="shared" si="22"/>
        <v>-2.0799557652983549E-2</v>
      </c>
      <c r="AU18" s="869">
        <f t="shared" si="23"/>
        <v>2.0799557652983549E-2</v>
      </c>
      <c r="AV18" s="869">
        <f t="shared" si="24"/>
        <v>0</v>
      </c>
      <c r="AW18" s="873"/>
      <c r="AX18" s="42">
        <f>D18+E18-'1819 Funding Detail'!D18-'1819 Funding Detail'!E18</f>
        <v>65000</v>
      </c>
    </row>
    <row r="19" spans="1:50" ht="13" x14ac:dyDescent="0.3">
      <c r="A19" s="185">
        <v>9257032</v>
      </c>
      <c r="B19" s="918" t="s">
        <v>770</v>
      </c>
      <c r="C19" s="861" t="s">
        <v>764</v>
      </c>
      <c r="D19" s="94">
        <v>332500</v>
      </c>
      <c r="E19" s="94">
        <v>80000</v>
      </c>
      <c r="F19" s="94">
        <v>226348</v>
      </c>
      <c r="G19" s="944"/>
      <c r="H19" s="333">
        <f>VLOOKUP(A19,'1920 Band Calculations'!$A$112:$T$129,10,FALSE)</f>
        <v>804395.3629855949</v>
      </c>
      <c r="I19" s="333">
        <f>VLOOKUP(A19,'1920 Band Calculations'!$A$112:$T$129,17,FALSE)</f>
        <v>188182.91666666669</v>
      </c>
      <c r="J19" s="94">
        <f>VLOOKUP(A19,'1920 FSM Calculation'!$A$4:$D$21,4,FALSE)</f>
        <v>9425.85</v>
      </c>
      <c r="K19" s="944">
        <f>SUM(D19:J19)</f>
        <v>1640852.1296522617</v>
      </c>
      <c r="L19" s="333">
        <f>K19-F19</f>
        <v>1414504.1296522617</v>
      </c>
      <c r="M19" s="751">
        <f>VLOOKUP(A19,'1920 Band Calculations'!$A$112:$T$129,19,FALSE)</f>
        <v>71.416666666666671</v>
      </c>
      <c r="O19" s="165">
        <f>M19-(M19*'1920 Band Calculations'!J18)</f>
        <v>71.416666666666671</v>
      </c>
      <c r="P19" s="42">
        <f>'1920 Band Calculations'!AV124</f>
        <v>0</v>
      </c>
      <c r="Q19" s="42">
        <f t="shared" si="7"/>
        <v>13898.412317184526</v>
      </c>
      <c r="R19" s="724">
        <f t="shared" si="8"/>
        <v>1002004.1296522617</v>
      </c>
      <c r="S19" s="724">
        <f t="shared" si="9"/>
        <v>14030.396214500746</v>
      </c>
      <c r="T19" s="724">
        <f>S19+'1819 Funding Detail'!AU19</f>
        <v>14617.884840609951</v>
      </c>
      <c r="U19" s="42">
        <f t="shared" si="10"/>
        <v>-587.48862610920514</v>
      </c>
      <c r="V19" s="724">
        <f t="shared" si="11"/>
        <v>41956.479381299068</v>
      </c>
      <c r="W19" s="724">
        <f t="shared" si="12"/>
        <v>1456460.6090335608</v>
      </c>
      <c r="X19" s="42">
        <f t="shared" si="13"/>
        <v>714166.66666666674</v>
      </c>
      <c r="Y19" s="42">
        <f t="shared" si="14"/>
        <v>0</v>
      </c>
      <c r="Z19" s="942">
        <f t="shared" si="15"/>
        <v>19806.358874944155</v>
      </c>
      <c r="AA19" s="942">
        <f>M19*10000</f>
        <v>714166.66666666674</v>
      </c>
      <c r="AB19" s="942">
        <f>Z19-10000</f>
        <v>9806.3588749441551</v>
      </c>
      <c r="AC19" s="669">
        <f>VLOOKUP(A19,'1819 Funding Detail'!$A$4:$AK$23,27,FALSE)</f>
        <v>0</v>
      </c>
      <c r="AD19" s="944">
        <f t="shared" si="25"/>
        <v>9806.3588749441551</v>
      </c>
      <c r="AE19" s="944">
        <f t="shared" si="16"/>
        <v>19806.358874944155</v>
      </c>
      <c r="AF19" s="726">
        <f>V19+Y19</f>
        <v>41956.479381299068</v>
      </c>
      <c r="AG19" s="727">
        <f>L19+AF19</f>
        <v>1456460.6090335608</v>
      </c>
      <c r="AH19" s="549">
        <f>VLOOKUP(A19,'1819 Funding Detail'!$A$4:$AJ$23,32,(FALSE))</f>
        <v>11388.515740785999</v>
      </c>
      <c r="AI19" s="549">
        <f t="shared" si="26"/>
        <v>1445072.0932927749</v>
      </c>
      <c r="AJ19" s="387">
        <f>M19*10000</f>
        <v>714166.66666666674</v>
      </c>
      <c r="AK19" s="387">
        <f>AG19-AJ19</f>
        <v>742293.9423668941</v>
      </c>
      <c r="AL19" s="387">
        <f>AK19/M19</f>
        <v>10393.847501053358</v>
      </c>
      <c r="AM19" s="696">
        <f>AG19/M19</f>
        <v>20393.847501053358</v>
      </c>
      <c r="AN19" s="609" t="s">
        <v>556</v>
      </c>
      <c r="AP19" s="988">
        <f>SUM(AG19-'2021 Funding Detail'!D19-'2021 Funding Detail'!E19-P19)</f>
        <v>1043960.6090335608</v>
      </c>
      <c r="AQ19" s="723">
        <f t="shared" si="20"/>
        <v>14617.884840609953</v>
      </c>
      <c r="AR19" s="723">
        <f t="shared" si="21"/>
        <v>14398.616568000803</v>
      </c>
      <c r="AS19" s="125"/>
      <c r="AT19" s="869">
        <f t="shared" si="22"/>
        <v>-4.0189715031623642E-2</v>
      </c>
      <c r="AU19" s="869">
        <f t="shared" si="23"/>
        <v>4.0189715031623642E-2</v>
      </c>
      <c r="AV19" s="869">
        <f t="shared" si="24"/>
        <v>0</v>
      </c>
      <c r="AW19" s="873"/>
      <c r="AX19" s="42">
        <f>D19+E19-'1819 Funding Detail'!D19-'1819 Funding Detail'!E19</f>
        <v>7500</v>
      </c>
    </row>
    <row r="20" spans="1:50" ht="13" x14ac:dyDescent="0.3">
      <c r="A20" s="185">
        <v>9257030</v>
      </c>
      <c r="B20" s="918" t="s">
        <v>771</v>
      </c>
      <c r="C20" s="861" t="s">
        <v>764</v>
      </c>
      <c r="D20" s="94">
        <v>332500</v>
      </c>
      <c r="E20" s="94">
        <v>80000</v>
      </c>
      <c r="F20" s="94">
        <v>277926</v>
      </c>
      <c r="G20" s="944"/>
      <c r="H20" s="333">
        <f>VLOOKUP(A20,'1920 Band Calculations'!$A$112:$T$129,10,FALSE)</f>
        <v>814720.15760968067</v>
      </c>
      <c r="I20" s="333">
        <f>VLOOKUP(A20,'1920 Band Calculations'!$A$112:$T$129,17,FALSE)</f>
        <v>190598.33333333334</v>
      </c>
      <c r="J20" s="94">
        <f>VLOOKUP(A20,'1920 FSM Calculation'!$A$4:$D$21,4,FALSE)</f>
        <v>7181.6</v>
      </c>
      <c r="K20" s="944">
        <f>SUM(D20:J20)</f>
        <v>1702926.090943014</v>
      </c>
      <c r="L20" s="333">
        <f>K20-F20</f>
        <v>1425000.090943014</v>
      </c>
      <c r="M20" s="751">
        <f>VLOOKUP(A20,'1920 Band Calculations'!$A$112:$T$129,19,FALSE)</f>
        <v>72.333333333333343</v>
      </c>
      <c r="O20" s="165">
        <f>M20-(M20*'1920 Band Calculations'!J19)</f>
        <v>72.333333333333343</v>
      </c>
      <c r="P20" s="42">
        <f>'1920 Band Calculations'!AV125</f>
        <v>0</v>
      </c>
      <c r="Q20" s="42">
        <f t="shared" si="7"/>
        <v>13898.412317184524</v>
      </c>
      <c r="R20" s="724">
        <f t="shared" si="8"/>
        <v>1012500.090943014</v>
      </c>
      <c r="S20" s="724">
        <f t="shared" si="9"/>
        <v>13997.697109811252</v>
      </c>
      <c r="T20" s="724">
        <f>VLOOKUP(A20,'1819 Funding Detail'!$A$4:$AX$23,45,(FALSE))</f>
        <v>14668.774640558368</v>
      </c>
      <c r="U20" s="42">
        <f t="shared" si="10"/>
        <v>-671.07753074711582</v>
      </c>
      <c r="V20" s="724">
        <f t="shared" si="11"/>
        <v>48541.274724041381</v>
      </c>
      <c r="W20" s="724">
        <f t="shared" si="12"/>
        <v>1473541.3656670554</v>
      </c>
      <c r="X20" s="42">
        <f t="shared" si="13"/>
        <v>723333.33333333337</v>
      </c>
      <c r="Y20" s="42">
        <f t="shared" si="14"/>
        <v>0</v>
      </c>
      <c r="Z20" s="942">
        <f t="shared" si="15"/>
        <v>19700.462086769778</v>
      </c>
      <c r="AA20" s="942">
        <f>M20*10000</f>
        <v>723333.33333333337</v>
      </c>
      <c r="AB20" s="942">
        <f>Z20-10000</f>
        <v>9700.4620867697777</v>
      </c>
      <c r="AC20" s="669">
        <f>VLOOKUP(A20,'1819 Funding Detail'!$A$4:$AK$23,27,FALSE)</f>
        <v>0</v>
      </c>
      <c r="AD20" s="944">
        <f t="shared" si="25"/>
        <v>9700.4620867697777</v>
      </c>
      <c r="AE20" s="944">
        <f t="shared" si="16"/>
        <v>19700.462086769778</v>
      </c>
      <c r="AF20" s="726">
        <f>V20+Y20</f>
        <v>48541.274724041381</v>
      </c>
      <c r="AG20" s="727">
        <f>L20+AF20</f>
        <v>1473541.3656670554</v>
      </c>
      <c r="AH20" s="549">
        <f>VLOOKUP(A20,'1819 Funding Detail'!$A$4:$AJ$23,32,(FALSE))</f>
        <v>10624.396716020456</v>
      </c>
      <c r="AI20" s="549">
        <f t="shared" si="26"/>
        <v>1462916.9689510348</v>
      </c>
      <c r="AJ20" s="387">
        <f>M20*10000</f>
        <v>723333.33333333337</v>
      </c>
      <c r="AK20" s="387">
        <f>AG20-AJ20</f>
        <v>750208.03233372199</v>
      </c>
      <c r="AL20" s="387">
        <f>AK20/M20</f>
        <v>10371.539617516892</v>
      </c>
      <c r="AM20" s="696">
        <f>AG20/M20</f>
        <v>20371.539617516893</v>
      </c>
      <c r="AN20" s="609" t="s">
        <v>556</v>
      </c>
      <c r="AP20" s="988">
        <f>SUM(AG20-'2021 Funding Detail'!D20-'2021 Funding Detail'!E20-P20)</f>
        <v>1061041.3656670554</v>
      </c>
      <c r="AQ20" s="723">
        <f t="shared" si="20"/>
        <v>14668.774640558368</v>
      </c>
      <c r="AR20" s="723">
        <f t="shared" si="21"/>
        <v>14448.743020949993</v>
      </c>
      <c r="AS20" s="125"/>
      <c r="AT20" s="869">
        <f t="shared" si="22"/>
        <v>-4.5748710931288204E-2</v>
      </c>
      <c r="AU20" s="869">
        <f t="shared" si="23"/>
        <v>4.5748710931288204E-2</v>
      </c>
      <c r="AV20" s="869">
        <f t="shared" si="24"/>
        <v>0</v>
      </c>
      <c r="AW20" s="873"/>
    </row>
    <row r="21" spans="1:50" ht="13" x14ac:dyDescent="0.3">
      <c r="A21" s="185"/>
      <c r="B21" s="918"/>
      <c r="C21" s="131"/>
      <c r="D21" s="94"/>
      <c r="E21" s="94"/>
      <c r="F21" s="944"/>
      <c r="G21" s="944"/>
      <c r="H21" s="333"/>
      <c r="I21" s="333"/>
      <c r="J21" s="94"/>
      <c r="K21" s="944"/>
      <c r="L21" s="333"/>
      <c r="M21" s="751"/>
      <c r="P21" s="42"/>
      <c r="Q21" s="42"/>
      <c r="R21" s="42"/>
      <c r="S21" s="42"/>
      <c r="T21" s="80"/>
      <c r="U21" s="42"/>
      <c r="V21" s="42"/>
      <c r="W21" s="42"/>
      <c r="X21" s="42"/>
      <c r="Y21" s="42"/>
      <c r="Z21" s="942"/>
      <c r="AA21" s="942"/>
      <c r="AB21" s="942"/>
      <c r="AC21" s="94"/>
      <c r="AD21" s="944"/>
      <c r="AE21" s="944"/>
      <c r="AF21" s="944"/>
      <c r="AG21" s="156"/>
      <c r="AH21" s="549"/>
      <c r="AI21" s="549"/>
      <c r="AJ21" s="387"/>
      <c r="AK21" s="387"/>
      <c r="AL21" s="387"/>
      <c r="AM21" s="696"/>
      <c r="AN21" s="61"/>
      <c r="AP21" s="988"/>
      <c r="AQ21" s="723"/>
      <c r="AR21" s="73"/>
      <c r="AS21" s="125"/>
      <c r="AT21" s="869"/>
      <c r="AU21" s="869"/>
      <c r="AV21" s="869"/>
      <c r="AW21" s="873"/>
    </row>
    <row r="22" spans="1:50" ht="13" x14ac:dyDescent="0.3">
      <c r="A22" s="185">
        <v>9257033</v>
      </c>
      <c r="B22" s="915" t="s">
        <v>768</v>
      </c>
      <c r="C22" s="861" t="s">
        <v>750</v>
      </c>
      <c r="D22" s="94">
        <v>340000</v>
      </c>
      <c r="E22" s="94">
        <v>105000</v>
      </c>
      <c r="F22" s="944"/>
      <c r="G22" s="944"/>
      <c r="H22" s="333">
        <f>VLOOKUP(A22,'1920 Band Calculations'!$A$112:$T$129,10,FALSE)</f>
        <v>900485.17247202341</v>
      </c>
      <c r="I22" s="333">
        <f>VLOOKUP(A22,'1920 Band Calculations'!$A$112:$T$129,17,FALSE)</f>
        <v>46746.297348484848</v>
      </c>
      <c r="J22" s="94">
        <f>VLOOKUP(A22,'1920 FSM Calculation'!$A$4:$D$21,4,FALSE)</f>
        <v>19749.400000000001</v>
      </c>
      <c r="K22" s="944">
        <f>SUM(D22:J22)</f>
        <v>1411980.8698205082</v>
      </c>
      <c r="L22" s="333">
        <f>K22-F22</f>
        <v>1411980.8698205082</v>
      </c>
      <c r="M22" s="751">
        <f>VLOOKUP(A22,'1920 Band Calculations'!$A$112:$T$129,19,FALSE)</f>
        <v>91.833333333333343</v>
      </c>
      <c r="O22" s="165">
        <f>M22-(M22*'1920 Band Calculations'!J12)</f>
        <v>91.833333333333343</v>
      </c>
      <c r="P22" s="42">
        <f>'1920 Band Calculations'!AV118</f>
        <v>0</v>
      </c>
      <c r="Q22" s="42">
        <f t="shared" si="7"/>
        <v>10314.680252128946</v>
      </c>
      <c r="R22" s="724">
        <f t="shared" si="8"/>
        <v>966980.86982050817</v>
      </c>
      <c r="S22" s="724">
        <f t="shared" si="9"/>
        <v>10529.73723942477</v>
      </c>
      <c r="T22" s="724">
        <f>VLOOKUP(A22,'1819 Funding Detail'!$A$4:$AX$23,45,(FALSE))</f>
        <v>10249.633642632873</v>
      </c>
      <c r="U22" s="42">
        <f t="shared" si="10"/>
        <v>280.10359679189787</v>
      </c>
      <c r="V22" s="724">
        <f t="shared" si="11"/>
        <v>0</v>
      </c>
      <c r="W22" s="724">
        <f t="shared" si="12"/>
        <v>1411980.8698205082</v>
      </c>
      <c r="X22" s="42">
        <f t="shared" si="13"/>
        <v>918333.33333333337</v>
      </c>
      <c r="Y22" s="42">
        <f t="shared" si="14"/>
        <v>0</v>
      </c>
      <c r="Z22" s="942">
        <f t="shared" si="15"/>
        <v>15375.472266648001</v>
      </c>
      <c r="AA22" s="942">
        <f>M22*10000</f>
        <v>918333.33333333337</v>
      </c>
      <c r="AB22" s="942">
        <f>Z22-10000</f>
        <v>5375.4722666480011</v>
      </c>
      <c r="AC22" s="669">
        <f>VLOOKUP(A22,'1819 Funding Detail'!$A$4:$AK$23,27,FALSE)</f>
        <v>0</v>
      </c>
      <c r="AD22" s="944">
        <f t="shared" si="25"/>
        <v>5375.4722666480011</v>
      </c>
      <c r="AE22" s="944">
        <f t="shared" si="16"/>
        <v>15375.472266648001</v>
      </c>
      <c r="AF22" s="726">
        <f>V22+Y22</f>
        <v>0</v>
      </c>
      <c r="AG22" s="727">
        <f>L22+AF22</f>
        <v>1411980.8698205082</v>
      </c>
      <c r="AH22" s="549">
        <f>VLOOKUP(A22,'1819 Funding Detail'!$A$4:$AJ$23,32,(FALSE))</f>
        <v>5292.088499428748</v>
      </c>
      <c r="AI22" s="549">
        <f t="shared" si="26"/>
        <v>1406688.7813210795</v>
      </c>
      <c r="AJ22" s="387">
        <f>M22*10000</f>
        <v>918333.33333333337</v>
      </c>
      <c r="AK22" s="387">
        <f>AG22-AJ22</f>
        <v>493647.5364871748</v>
      </c>
      <c r="AL22" s="387">
        <f>AK22/M22</f>
        <v>5375.4722666480011</v>
      </c>
      <c r="AM22" s="696">
        <f>AG22/M22</f>
        <v>15375.472266648001</v>
      </c>
      <c r="AN22" s="609" t="s">
        <v>556</v>
      </c>
      <c r="AP22" s="988">
        <f>SUM(AG22-'2021 Funding Detail'!D22-'2021 Funding Detail'!E22-P22)</f>
        <v>966980.86982050817</v>
      </c>
      <c r="AQ22" s="723">
        <f t="shared" si="20"/>
        <v>10529.73723942477</v>
      </c>
      <c r="AR22" s="723">
        <f t="shared" si="21"/>
        <v>10371.791180833399</v>
      </c>
      <c r="AS22" s="125"/>
      <c r="AT22" s="869">
        <f t="shared" si="22"/>
        <v>2.7328156942782816E-2</v>
      </c>
      <c r="AU22" s="869">
        <f t="shared" si="23"/>
        <v>2.7328156942782816E-2</v>
      </c>
      <c r="AV22" s="869">
        <f t="shared" si="24"/>
        <v>2.7328156942782816E-2</v>
      </c>
      <c r="AW22" s="873"/>
    </row>
    <row r="23" spans="1:50" ht="13" x14ac:dyDescent="0.3">
      <c r="A23" s="185">
        <v>9257034</v>
      </c>
      <c r="B23" s="915" t="s">
        <v>769</v>
      </c>
      <c r="C23" s="861" t="s">
        <v>756</v>
      </c>
      <c r="D23" s="94">
        <v>362500</v>
      </c>
      <c r="E23" s="94">
        <v>110000</v>
      </c>
      <c r="F23" s="944"/>
      <c r="G23" s="944"/>
      <c r="H23" s="333">
        <f>VLOOKUP(A23,'1920 Band Calculations'!$A$112:$T$129,10,FALSE)</f>
        <v>960667.40981999482</v>
      </c>
      <c r="I23" s="333">
        <f>VLOOKUP(A23,'1920 Band Calculations'!$A$112:$T$129,17,FALSE)</f>
        <v>54856.622023809527</v>
      </c>
      <c r="J23" s="94">
        <f>VLOOKUP(A23,'1920 FSM Calculation'!$A$4:$D$21,4,FALSE)</f>
        <v>18851.7</v>
      </c>
      <c r="K23" s="944">
        <f>SUM(D23:J23)</f>
        <v>1506875.7318438042</v>
      </c>
      <c r="L23" s="333">
        <f>K23-F23</f>
        <v>1506875.7318438042</v>
      </c>
      <c r="M23" s="751">
        <f>VLOOKUP(A23,'1920 Band Calculations'!$A$112:$T$129,19,FALSE)</f>
        <v>116.58333333333334</v>
      </c>
      <c r="O23" s="165">
        <f>M23-(M23*'1920 Band Calculations'!J14)</f>
        <v>115.54241071428572</v>
      </c>
      <c r="P23" s="42">
        <f>'1920 Band Calculations'!AV120</f>
        <v>23434.031478687801</v>
      </c>
      <c r="Q23" s="42">
        <f t="shared" si="7"/>
        <v>8586.370963112111</v>
      </c>
      <c r="R23" s="724">
        <f t="shared" si="8"/>
        <v>1010941.7003651165</v>
      </c>
      <c r="S23" s="724">
        <f t="shared" si="9"/>
        <v>8749.5292344642348</v>
      </c>
      <c r="T23" s="724">
        <f>VLOOKUP(A23,'1819 Funding Detail'!$A$4:$AX$23,45,(FALSE))</f>
        <v>9396.4808673523366</v>
      </c>
      <c r="U23" s="42">
        <f t="shared" si="10"/>
        <v>-646.95163288810181</v>
      </c>
      <c r="V23" s="724">
        <f t="shared" si="11"/>
        <v>74750.351279434864</v>
      </c>
      <c r="W23" s="724">
        <f t="shared" si="12"/>
        <v>1581626.0831232392</v>
      </c>
      <c r="X23" s="42">
        <f t="shared" si="13"/>
        <v>1165833.3333333335</v>
      </c>
      <c r="Y23" s="42">
        <f t="shared" si="14"/>
        <v>0</v>
      </c>
      <c r="Z23" s="942">
        <f t="shared" si="15"/>
        <v>12925.310065851072</v>
      </c>
      <c r="AA23" s="942">
        <f>M23*10000</f>
        <v>1165833.3333333335</v>
      </c>
      <c r="AB23" s="942">
        <f>Z23-10000</f>
        <v>2925.3100658510721</v>
      </c>
      <c r="AC23" s="669">
        <f>VLOOKUP(A23,'1819 Funding Detail'!$A$4:$AK$23,27,FALSE)</f>
        <v>0</v>
      </c>
      <c r="AD23" s="944">
        <f t="shared" si="25"/>
        <v>2925.3100658510721</v>
      </c>
      <c r="AE23" s="944">
        <f t="shared" si="16"/>
        <v>12925.310065851072</v>
      </c>
      <c r="AF23" s="726">
        <f>V23+Y23</f>
        <v>74750.351279434864</v>
      </c>
      <c r="AG23" s="727">
        <f>L23+AF23</f>
        <v>1581626.0831232392</v>
      </c>
      <c r="AH23" s="549">
        <f>VLOOKUP(A23,'1819 Funding Detail'!$A$4:$AJ$23,32,(FALSE))</f>
        <v>3910.7635114754248</v>
      </c>
      <c r="AI23" s="549">
        <f t="shared" si="26"/>
        <v>1577715.3196117638</v>
      </c>
      <c r="AJ23" s="387">
        <f>M23*10000</f>
        <v>1165833.3333333335</v>
      </c>
      <c r="AK23" s="387">
        <f>AG23-AJ23</f>
        <v>415792.74978990573</v>
      </c>
      <c r="AL23" s="387">
        <f>AK23/M23</f>
        <v>3566.4853448741019</v>
      </c>
      <c r="AM23" s="696">
        <f>AG23/M23</f>
        <v>13566.485344874101</v>
      </c>
      <c r="AN23" s="609" t="s">
        <v>556</v>
      </c>
      <c r="AP23" s="988">
        <f>SUM(AG23-'2021 Funding Detail'!D23-'2021 Funding Detail'!E23-P23)</f>
        <v>1085692.0516445513</v>
      </c>
      <c r="AQ23" s="723">
        <f t="shared" si="20"/>
        <v>9396.4808673523366</v>
      </c>
      <c r="AR23" s="723">
        <f t="shared" si="21"/>
        <v>9255.5336543420508</v>
      </c>
      <c r="AS23" s="125"/>
      <c r="AT23" s="869">
        <f t="shared" si="22"/>
        <v>-6.8850417727758809E-2</v>
      </c>
      <c r="AU23" s="869">
        <f t="shared" si="23"/>
        <v>6.8850417727758809E-2</v>
      </c>
      <c r="AV23" s="869">
        <f t="shared" si="24"/>
        <v>0</v>
      </c>
      <c r="AW23" s="873"/>
    </row>
    <row r="24" spans="1:50" x14ac:dyDescent="0.25">
      <c r="A24" s="69"/>
      <c r="B24" s="50"/>
      <c r="C24" s="61"/>
      <c r="D24" s="42"/>
      <c r="E24" s="42"/>
      <c r="F24" s="42"/>
      <c r="G24" s="42"/>
      <c r="H24" s="42"/>
      <c r="I24" s="42"/>
      <c r="J24" s="80"/>
      <c r="AH24" s="939"/>
      <c r="AI24" s="939"/>
      <c r="AS24" s="125"/>
    </row>
    <row r="25" spans="1:50" ht="13.5" customHeight="1" thickBot="1" x14ac:dyDescent="0.3">
      <c r="A25" s="69"/>
      <c r="C25" s="40"/>
      <c r="D25" s="136">
        <f t="shared" ref="D25:K25" si="27">SUM(D4:D23)</f>
        <v>6487500</v>
      </c>
      <c r="E25" s="136">
        <f t="shared" si="27"/>
        <v>1880000</v>
      </c>
      <c r="F25" s="136">
        <f t="shared" si="27"/>
        <v>939529</v>
      </c>
      <c r="G25" s="136">
        <f t="shared" si="27"/>
        <v>41787</v>
      </c>
      <c r="H25" s="136">
        <f t="shared" si="27"/>
        <v>18633818.959420834</v>
      </c>
      <c r="I25" s="136">
        <f t="shared" si="27"/>
        <v>1102062.7684456282</v>
      </c>
      <c r="J25" s="136">
        <f t="shared" si="27"/>
        <v>251804.85000000003</v>
      </c>
      <c r="K25" s="136">
        <f t="shared" si="27"/>
        <v>29336502.577866461</v>
      </c>
      <c r="L25" s="136">
        <f>SUM(L4:L23)</f>
        <v>28355186.577866461</v>
      </c>
      <c r="M25" s="166">
        <f>SUM(M4:M23)</f>
        <v>1817.5833333333333</v>
      </c>
      <c r="N25" s="52"/>
      <c r="O25" s="967"/>
      <c r="P25" s="967"/>
      <c r="Q25" s="52"/>
      <c r="R25" s="52"/>
      <c r="S25" s="52"/>
      <c r="T25" s="52"/>
      <c r="U25" s="52"/>
      <c r="V25" s="70">
        <f>SUM(V4:V23)</f>
        <v>423912.64087361004</v>
      </c>
      <c r="W25" s="70">
        <f>SUM(W4:W23)</f>
        <v>28779099.21874008</v>
      </c>
      <c r="X25" s="73"/>
      <c r="Y25" s="52"/>
      <c r="AA25" s="73"/>
      <c r="AB25" s="75"/>
      <c r="AC25" s="52"/>
      <c r="AD25" s="52"/>
      <c r="AE25" s="932"/>
      <c r="AF25" s="136">
        <f>SUM(AF4:AF23)</f>
        <v>423912.64087361004</v>
      </c>
      <c r="AG25" s="136">
        <f>SUM(AG4:AG23)</f>
        <v>28779099.21874008</v>
      </c>
      <c r="AH25" s="128"/>
      <c r="AI25" s="128"/>
      <c r="AJ25" s="136">
        <f>SUM(AJ4:AJ23)</f>
        <v>18175833.333333332</v>
      </c>
      <c r="AK25" s="136">
        <f>SUM(AK4:AK23)</f>
        <v>10603265.88540674</v>
      </c>
      <c r="AL25" s="128"/>
      <c r="AM25" s="128"/>
    </row>
    <row r="26" spans="1:50" x14ac:dyDescent="0.25">
      <c r="A26" s="69"/>
      <c r="B26" s="40"/>
      <c r="C26" s="40"/>
      <c r="D26" s="79"/>
      <c r="E26" s="79"/>
      <c r="F26" s="79"/>
      <c r="G26" s="79"/>
      <c r="H26" s="40"/>
      <c r="I26" s="40"/>
      <c r="K26" s="79"/>
      <c r="L26" s="124"/>
      <c r="M26" s="126"/>
      <c r="N26" s="52"/>
      <c r="O26" s="967"/>
      <c r="P26" s="967"/>
      <c r="Q26" s="52"/>
      <c r="R26" s="52"/>
      <c r="S26" s="52"/>
      <c r="T26" s="52"/>
      <c r="U26" s="52"/>
      <c r="V26" s="52"/>
      <c r="W26" s="52"/>
      <c r="X26" s="52"/>
      <c r="Y26" s="52"/>
      <c r="AA26" s="73"/>
      <c r="AB26" s="75"/>
      <c r="AC26" s="52"/>
      <c r="AD26" s="52"/>
      <c r="AE26" s="932"/>
      <c r="AX26" s="923" t="s">
        <v>908</v>
      </c>
    </row>
    <row r="27" spans="1:50" x14ac:dyDescent="0.25">
      <c r="B27" s="933"/>
      <c r="C27" s="933"/>
      <c r="D27" s="42">
        <v>7154980.4209501101</v>
      </c>
      <c r="E27" s="42">
        <v>1632492.0468683892</v>
      </c>
      <c r="F27" s="42"/>
      <c r="G27" s="42"/>
      <c r="H27" s="42"/>
      <c r="I27" s="42"/>
      <c r="J27" s="42"/>
      <c r="K27" s="42"/>
      <c r="L27" s="42"/>
      <c r="M27" s="165"/>
      <c r="AC27" s="933"/>
      <c r="AD27" s="933"/>
      <c r="AF27" s="917" t="s">
        <v>686</v>
      </c>
      <c r="AG27" s="42">
        <v>28123653</v>
      </c>
      <c r="AH27" s="939" t="s">
        <v>725</v>
      </c>
      <c r="AK27" s="42"/>
      <c r="AL27" s="939"/>
    </row>
    <row r="28" spans="1:50" x14ac:dyDescent="0.25">
      <c r="B28" s="933"/>
      <c r="D28" s="42">
        <f>SUM(D27:E27)</f>
        <v>8787472.4678184986</v>
      </c>
      <c r="M28" s="165"/>
      <c r="AB28" s="79"/>
      <c r="AC28" s="79"/>
      <c r="AD28" s="40"/>
      <c r="AF28" s="939"/>
      <c r="AG28" s="42"/>
      <c r="AH28" s="42"/>
      <c r="AJ28" s="42"/>
    </row>
    <row r="29" spans="1:50" x14ac:dyDescent="0.25">
      <c r="B29" s="933"/>
      <c r="D29" s="42"/>
      <c r="M29" s="165"/>
      <c r="AB29" s="79"/>
      <c r="AC29" s="79"/>
      <c r="AD29" s="40"/>
      <c r="AF29" s="938"/>
      <c r="AG29" s="73">
        <f>AG25-AG27</f>
        <v>655446.21874007955</v>
      </c>
      <c r="AH29" s="73"/>
      <c r="AI29" s="42"/>
      <c r="AJ29" s="73"/>
    </row>
    <row r="30" spans="1:50" x14ac:dyDescent="0.25">
      <c r="B30" s="933"/>
      <c r="D30" s="128">
        <f>D28-D25</f>
        <v>2299972.4678184986</v>
      </c>
      <c r="M30" s="165"/>
      <c r="AB30" s="79"/>
      <c r="AC30" s="79"/>
      <c r="AD30" s="40"/>
      <c r="AF30" s="938"/>
      <c r="AG30" s="73"/>
      <c r="AH30" s="73"/>
      <c r="AI30" s="932"/>
      <c r="AJ30" s="73"/>
    </row>
    <row r="31" spans="1:50" x14ac:dyDescent="0.25">
      <c r="B31" s="933"/>
      <c r="D31" s="609"/>
      <c r="E31" s="609"/>
      <c r="F31" s="42"/>
      <c r="G31" s="42"/>
      <c r="H31" s="42"/>
      <c r="I31" s="42"/>
      <c r="J31" s="42"/>
      <c r="K31" s="42"/>
      <c r="L31" s="42"/>
      <c r="M31" s="165"/>
      <c r="N31" s="42"/>
      <c r="O31" s="42"/>
      <c r="P31" s="42"/>
      <c r="Q31" s="42"/>
      <c r="R31" s="42"/>
      <c r="S31" s="42"/>
      <c r="T31" s="42"/>
      <c r="U31" s="42"/>
      <c r="V31" s="42"/>
      <c r="W31" s="42"/>
      <c r="X31" s="42"/>
      <c r="Y31" s="42"/>
      <c r="AF31" s="932"/>
      <c r="AG31" s="73">
        <v>696729</v>
      </c>
      <c r="AH31" s="956" t="s">
        <v>886</v>
      </c>
      <c r="AI31" s="73"/>
      <c r="AJ31" s="932"/>
      <c r="AK31" s="939"/>
    </row>
    <row r="32" spans="1:50" x14ac:dyDescent="0.25">
      <c r="B32" s="933"/>
      <c r="D32" s="609"/>
      <c r="E32" s="609"/>
      <c r="F32" s="42"/>
      <c r="G32" s="42"/>
      <c r="H32" s="42"/>
      <c r="I32" s="42"/>
      <c r="J32" s="42"/>
      <c r="K32" s="42"/>
      <c r="L32" s="42"/>
      <c r="M32" s="165"/>
      <c r="N32" s="42"/>
      <c r="O32" s="42"/>
      <c r="P32" s="42"/>
      <c r="Q32" s="42"/>
      <c r="R32" s="42"/>
      <c r="S32" s="42"/>
      <c r="T32" s="42"/>
      <c r="U32" s="42"/>
      <c r="V32" s="42"/>
      <c r="W32" s="42"/>
      <c r="X32" s="42"/>
      <c r="Y32" s="42"/>
      <c r="AF32" s="932"/>
      <c r="AG32" s="73">
        <f>717627-AG31</f>
        <v>20898</v>
      </c>
      <c r="AH32" s="956" t="s">
        <v>890</v>
      </c>
      <c r="AI32" s="73"/>
      <c r="AJ32" s="932"/>
      <c r="AK32" s="939"/>
    </row>
    <row r="33" spans="1:39" x14ac:dyDescent="0.25">
      <c r="B33" s="933"/>
      <c r="D33" s="609"/>
      <c r="E33" s="609"/>
      <c r="F33" s="42"/>
      <c r="G33" s="42"/>
      <c r="H33" s="42"/>
      <c r="I33" s="42"/>
      <c r="J33" s="42"/>
      <c r="K33" s="42"/>
      <c r="L33" s="42"/>
      <c r="M33" s="165"/>
      <c r="N33" s="42"/>
      <c r="O33" s="42"/>
      <c r="P33" s="42"/>
      <c r="Q33" s="42"/>
      <c r="R33" s="42"/>
      <c r="S33" s="42"/>
      <c r="T33" s="42"/>
      <c r="U33" s="42"/>
      <c r="V33" s="42"/>
      <c r="W33" s="42"/>
      <c r="X33" s="42"/>
      <c r="Y33" s="42"/>
      <c r="AF33" s="932"/>
      <c r="AG33" s="549">
        <f>718076-AG31-AG32</f>
        <v>449</v>
      </c>
      <c r="AH33" s="956" t="s">
        <v>85</v>
      </c>
      <c r="AI33" s="73"/>
      <c r="AJ33" s="932"/>
      <c r="AK33" s="939"/>
    </row>
    <row r="34" spans="1:39" x14ac:dyDescent="0.25">
      <c r="B34" s="960"/>
      <c r="D34" s="609"/>
      <c r="E34" s="609"/>
      <c r="F34" s="42"/>
      <c r="G34" s="42"/>
      <c r="H34" s="42"/>
      <c r="I34" s="42"/>
      <c r="J34" s="42"/>
      <c r="K34" s="42"/>
      <c r="L34" s="42"/>
      <c r="M34" s="165"/>
      <c r="N34" s="42"/>
      <c r="O34" s="42"/>
      <c r="P34" s="42"/>
      <c r="Q34" s="42"/>
      <c r="R34" s="42"/>
      <c r="S34" s="42"/>
      <c r="T34" s="42"/>
      <c r="U34" s="42"/>
      <c r="V34" s="42"/>
      <c r="W34" s="42"/>
      <c r="X34" s="42"/>
      <c r="Y34" s="42"/>
      <c r="AA34" s="960"/>
      <c r="AB34" s="960"/>
      <c r="AE34" s="960"/>
      <c r="AF34" s="959"/>
      <c r="AG34" s="549">
        <f>790242-(AG31+AG32+AG33)</f>
        <v>72166</v>
      </c>
      <c r="AH34" s="956" t="s">
        <v>891</v>
      </c>
      <c r="AI34" s="73"/>
      <c r="AJ34" s="959"/>
      <c r="AK34" s="961"/>
      <c r="AL34" s="960"/>
      <c r="AM34" s="960"/>
    </row>
    <row r="35" spans="1:39" x14ac:dyDescent="0.25">
      <c r="B35" s="974"/>
      <c r="D35" s="609"/>
      <c r="E35" s="609"/>
      <c r="F35" s="42"/>
      <c r="G35" s="42"/>
      <c r="H35" s="42"/>
      <c r="I35" s="42"/>
      <c r="J35" s="42"/>
      <c r="K35" s="42"/>
      <c r="L35" s="42"/>
      <c r="M35" s="165"/>
      <c r="N35" s="42"/>
      <c r="O35" s="42"/>
      <c r="P35" s="42"/>
      <c r="Q35" s="42"/>
      <c r="R35" s="42"/>
      <c r="S35" s="42"/>
      <c r="T35" s="42"/>
      <c r="U35" s="42"/>
      <c r="V35" s="42"/>
      <c r="W35" s="42"/>
      <c r="X35" s="42"/>
      <c r="Y35" s="42"/>
      <c r="AA35" s="974"/>
      <c r="AB35" s="974"/>
      <c r="AE35" s="974"/>
      <c r="AF35" s="973"/>
      <c r="AG35" s="549">
        <f>495751-SUM(AG31:AG34)</f>
        <v>-294491</v>
      </c>
      <c r="AH35" s="956" t="s">
        <v>906</v>
      </c>
      <c r="AI35" s="73"/>
      <c r="AJ35" s="973"/>
      <c r="AK35" s="975"/>
      <c r="AL35" s="974"/>
      <c r="AM35" s="974"/>
    </row>
    <row r="36" spans="1:39" x14ac:dyDescent="0.25">
      <c r="B36" s="990"/>
      <c r="D36" s="609"/>
      <c r="E36" s="609"/>
      <c r="F36" s="42"/>
      <c r="G36" s="42"/>
      <c r="H36" s="42"/>
      <c r="I36" s="42"/>
      <c r="J36" s="42"/>
      <c r="K36" s="42"/>
      <c r="L36" s="42"/>
      <c r="M36" s="165"/>
      <c r="N36" s="42"/>
      <c r="O36" s="42"/>
      <c r="P36" s="42"/>
      <c r="Q36" s="42"/>
      <c r="R36" s="42"/>
      <c r="S36" s="42"/>
      <c r="T36" s="42"/>
      <c r="U36" s="42"/>
      <c r="V36" s="42"/>
      <c r="W36" s="42"/>
      <c r="X36" s="42"/>
      <c r="Y36" s="42"/>
      <c r="AA36" s="990"/>
      <c r="AB36" s="990"/>
      <c r="AE36" s="990"/>
      <c r="AF36" s="989"/>
      <c r="AG36" s="549">
        <f>613115-SUM(AG31:AG35)</f>
        <v>117364</v>
      </c>
      <c r="AH36" s="956" t="s">
        <v>910</v>
      </c>
      <c r="AI36" s="73"/>
      <c r="AJ36" s="989"/>
      <c r="AK36" s="991"/>
      <c r="AL36" s="990"/>
      <c r="AM36" s="990"/>
    </row>
    <row r="37" spans="1:39" x14ac:dyDescent="0.25">
      <c r="B37" s="993"/>
      <c r="D37" s="609"/>
      <c r="E37" s="609"/>
      <c r="F37" s="42"/>
      <c r="G37" s="42"/>
      <c r="H37" s="42"/>
      <c r="I37" s="42"/>
      <c r="J37" s="42"/>
      <c r="K37" s="42"/>
      <c r="L37" s="42"/>
      <c r="M37" s="165"/>
      <c r="N37" s="42"/>
      <c r="O37" s="42"/>
      <c r="P37" s="42"/>
      <c r="Q37" s="42"/>
      <c r="R37" s="42"/>
      <c r="S37" s="42"/>
      <c r="T37" s="42"/>
      <c r="U37" s="42"/>
      <c r="V37" s="42"/>
      <c r="W37" s="42"/>
      <c r="X37" s="42"/>
      <c r="Y37" s="42"/>
      <c r="AA37" s="993"/>
      <c r="AB37" s="993"/>
      <c r="AE37" s="993"/>
      <c r="AF37" s="992"/>
      <c r="AG37" s="549">
        <f>631962-SUM(AG31,AG32,AG33,AG34,AG35,AG36)</f>
        <v>18847</v>
      </c>
      <c r="AH37" s="956" t="s">
        <v>911</v>
      </c>
      <c r="AI37" s="73"/>
      <c r="AJ37" s="992"/>
      <c r="AK37" s="994"/>
      <c r="AL37" s="993"/>
      <c r="AM37" s="993"/>
    </row>
    <row r="38" spans="1:39" x14ac:dyDescent="0.25">
      <c r="A38" s="79"/>
      <c r="B38" s="938"/>
      <c r="C38" s="52"/>
      <c r="D38" s="42"/>
      <c r="E38" s="128"/>
      <c r="F38" s="128"/>
      <c r="G38" s="128"/>
      <c r="H38" s="128"/>
      <c r="I38" s="128"/>
      <c r="J38" s="128"/>
      <c r="K38" s="128"/>
      <c r="L38" s="133"/>
      <c r="M38" s="154"/>
      <c r="N38" s="52"/>
      <c r="O38" s="967"/>
      <c r="P38" s="967"/>
      <c r="Q38" s="52"/>
      <c r="R38" s="52"/>
      <c r="S38" s="52"/>
      <c r="AF38" s="852"/>
      <c r="AG38" s="73"/>
      <c r="AH38" s="851"/>
      <c r="AI38" s="73"/>
      <c r="AJ38" s="73"/>
      <c r="AK38" s="42"/>
      <c r="AL38" s="42"/>
      <c r="AM38" s="42"/>
    </row>
    <row r="39" spans="1:39" ht="13" x14ac:dyDescent="0.3">
      <c r="B39" s="559" t="s">
        <v>737</v>
      </c>
      <c r="C39" s="52"/>
      <c r="D39" s="94">
        <f>IF(H39+I39&lt;'Group Sizes'!$B$46,'Group Sizes'!$F$46,IF('1819 Funding Detail'!I33+I39&lt;'Group Sizes'!$B$47,'Group Sizes'!$F$47,IF('1819 Funding Detail'!I33+I39&lt;'Group Sizes'!$B$48,'Group Sizes'!$F$48,IF(H39+I39&lt;'Group Sizes'!$B$49,'Group Sizes'!$F$49,IF(H39+I39&lt;'Group Sizes'!$B$50,'Group Sizes'!$F$50,IF(H39+I39&lt;'Group Sizes'!$B$51,'Group Sizes'!$F$51,IF(H39+I39&lt;'Group Sizes'!$B$52,'Group Sizes'!$F$52,IF(H39+I39&lt;'Group Sizes'!$B$53,'Group Sizes'!$F$53,IF(H39+I39&lt;'Group Sizes'!$B$54,'Group Sizes'!$F$54,IF(H39+I39&lt;'Group Sizes'!$B$55,'Group Sizes'!$F$55,IF(H39+I39&lt;'Group Sizes'!$B$56,'Group Sizes'!$F$56)))))))))))</f>
        <v>505000</v>
      </c>
      <c r="E39" s="128"/>
      <c r="F39" s="73"/>
      <c r="G39" s="73"/>
      <c r="H39" s="73">
        <f>70*'1920 Band Calculations'!G100</f>
        <v>980296.51667889929</v>
      </c>
      <c r="I39" s="73">
        <v>0</v>
      </c>
      <c r="J39" s="723"/>
      <c r="K39" s="944">
        <f>SUM(D39:J39)</f>
        <v>1485296.5166788993</v>
      </c>
      <c r="L39" s="333">
        <f>K39-F39</f>
        <v>1485296.5166788993</v>
      </c>
      <c r="M39" s="751">
        <v>70</v>
      </c>
      <c r="N39" s="52"/>
      <c r="O39" s="967"/>
      <c r="P39" s="967"/>
      <c r="Q39" s="52"/>
      <c r="R39" s="724">
        <f>L39-D39-E39</f>
        <v>980296.51667889929</v>
      </c>
      <c r="S39" s="724">
        <f>R39/M39</f>
        <v>14004.235952555704</v>
      </c>
      <c r="T39" s="724">
        <f>'1819 Funding Detail'!AW31</f>
        <v>0</v>
      </c>
      <c r="U39" s="42">
        <f>S39-T39</f>
        <v>14004.235952555704</v>
      </c>
      <c r="V39" s="724">
        <f>IF(U39&lt;0,((U39*M39)*-1),(0))</f>
        <v>0</v>
      </c>
      <c r="W39" s="724">
        <f>L39+V39</f>
        <v>1485296.5166788993</v>
      </c>
      <c r="X39" s="42">
        <f>M39*10000</f>
        <v>700000</v>
      </c>
      <c r="Y39" s="42">
        <f>IF(X39&gt;W39,(X39-W39),(0))</f>
        <v>0</v>
      </c>
      <c r="Z39" s="942">
        <f>L39/M39</f>
        <v>21218.521666841418</v>
      </c>
      <c r="AA39" s="942">
        <f>M39*10000</f>
        <v>700000</v>
      </c>
      <c r="AB39" s="942">
        <f>Z39-10000</f>
        <v>11218.521666841418</v>
      </c>
      <c r="AC39" s="669" t="e">
        <f>VLOOKUP(A39,'1819 Funding Detail'!$A$4:$AK$23,27,FALSE)</f>
        <v>#N/A</v>
      </c>
      <c r="AD39" s="944" t="e">
        <f>IF(AB39&gt;AC39,(AB39),(AC39))</f>
        <v>#N/A</v>
      </c>
      <c r="AE39" s="944" t="e">
        <f>10000+AD39</f>
        <v>#N/A</v>
      </c>
      <c r="AF39" s="726">
        <f>V39+Y39</f>
        <v>0</v>
      </c>
      <c r="AG39" s="727">
        <f>L39+AF39</f>
        <v>1485296.5166788993</v>
      </c>
      <c r="AH39" s="73">
        <v>1312995</v>
      </c>
      <c r="AI39" s="549">
        <f>AG39-AH39</f>
        <v>172301.51667889929</v>
      </c>
      <c r="AJ39" s="932"/>
    </row>
    <row r="40" spans="1:39" x14ac:dyDescent="0.25">
      <c r="B40" s="559" t="s">
        <v>731</v>
      </c>
      <c r="C40" s="52"/>
      <c r="D40" s="73"/>
      <c r="E40" s="73"/>
      <c r="F40" s="73"/>
      <c r="G40" s="73"/>
      <c r="H40" s="73">
        <f>13*'1920 Band Calculations'!G100</f>
        <v>182055.06738322414</v>
      </c>
      <c r="I40" s="73">
        <v>0</v>
      </c>
      <c r="J40" s="723"/>
      <c r="K40" s="73"/>
      <c r="L40" s="932"/>
      <c r="M40" s="932"/>
      <c r="N40" s="52"/>
      <c r="O40" s="967"/>
      <c r="P40" s="967"/>
      <c r="Q40" s="52"/>
      <c r="R40" s="52"/>
      <c r="S40" s="52"/>
      <c r="AF40" s="73"/>
      <c r="AG40" s="73"/>
      <c r="AH40" s="851"/>
      <c r="AI40" s="73"/>
      <c r="AJ40" s="73"/>
      <c r="AK40" s="42"/>
      <c r="AL40" s="42"/>
      <c r="AM40" s="42"/>
    </row>
    <row r="41" spans="1:39" x14ac:dyDescent="0.25">
      <c r="B41" s="932"/>
      <c r="C41" s="52"/>
      <c r="D41" s="1886"/>
      <c r="E41" s="1886"/>
      <c r="F41" s="932"/>
      <c r="G41" s="932"/>
      <c r="H41" s="47"/>
      <c r="I41" s="385"/>
      <c r="J41" s="50"/>
      <c r="K41" s="932"/>
      <c r="L41" s="52"/>
      <c r="M41" s="932"/>
      <c r="N41" s="52"/>
      <c r="O41" s="967"/>
      <c r="P41" s="967"/>
      <c r="Q41" s="52"/>
      <c r="R41" s="52"/>
      <c r="S41" s="52"/>
      <c r="AF41" s="932"/>
      <c r="AG41" s="73"/>
      <c r="AH41" s="73"/>
      <c r="AI41" s="932"/>
      <c r="AJ41" s="932"/>
    </row>
    <row r="42" spans="1:39" x14ac:dyDescent="0.25">
      <c r="B42" s="938"/>
      <c r="C42" s="52"/>
      <c r="D42" s="802"/>
      <c r="E42" s="802"/>
      <c r="F42" s="802"/>
      <c r="G42" s="802"/>
      <c r="H42" s="802"/>
      <c r="I42" s="802"/>
      <c r="J42" s="803"/>
      <c r="K42" s="802"/>
      <c r="L42" s="802"/>
      <c r="M42" s="802"/>
      <c r="N42" s="802"/>
      <c r="O42" s="802"/>
      <c r="P42" s="802"/>
      <c r="Q42" s="802"/>
      <c r="R42" s="802"/>
      <c r="S42" s="802"/>
      <c r="T42" s="627"/>
      <c r="U42" s="627"/>
      <c r="V42" s="627"/>
      <c r="W42" s="627"/>
      <c r="X42" s="627"/>
      <c r="Y42" s="627"/>
      <c r="Z42" s="627"/>
      <c r="AA42" s="627"/>
      <c r="AB42" s="627"/>
      <c r="AC42" s="627"/>
      <c r="AD42" s="627"/>
      <c r="AE42" s="627"/>
      <c r="AF42" s="802"/>
      <c r="AG42" s="128"/>
      <c r="AH42" s="549"/>
      <c r="AI42" s="802"/>
      <c r="AJ42" s="633"/>
      <c r="AK42" s="627"/>
      <c r="AL42" s="627"/>
      <c r="AM42" s="627"/>
    </row>
    <row r="43" spans="1:39" x14ac:dyDescent="0.25">
      <c r="B43" s="52"/>
      <c r="C43" s="52"/>
      <c r="D43" s="932"/>
      <c r="E43" s="932"/>
      <c r="F43" s="932"/>
      <c r="G43" s="932"/>
      <c r="H43" s="52"/>
      <c r="I43" s="52"/>
      <c r="J43" s="50"/>
      <c r="K43" s="932"/>
      <c r="L43" s="52"/>
      <c r="M43" s="932"/>
      <c r="N43" s="52"/>
      <c r="O43" s="967"/>
      <c r="P43" s="967"/>
      <c r="Q43" s="52"/>
      <c r="R43" s="52"/>
      <c r="S43" s="52"/>
      <c r="AF43" s="932"/>
      <c r="AG43" s="73"/>
      <c r="AH43" s="73"/>
      <c r="AI43" s="932"/>
      <c r="AJ43" s="932"/>
    </row>
    <row r="44" spans="1:39" x14ac:dyDescent="0.25">
      <c r="B44" s="52"/>
      <c r="C44" s="52"/>
      <c r="D44" s="932"/>
      <c r="E44" s="932"/>
      <c r="F44" s="932"/>
      <c r="G44" s="932"/>
      <c r="H44" s="52"/>
      <c r="I44" s="52"/>
      <c r="J44" s="50"/>
      <c r="K44" s="932"/>
      <c r="L44" s="52"/>
      <c r="M44" s="932"/>
      <c r="N44" s="52"/>
      <c r="O44" s="967"/>
      <c r="P44" s="967"/>
      <c r="Q44" s="52"/>
      <c r="R44" s="52"/>
      <c r="S44" s="52"/>
      <c r="AF44" s="932"/>
      <c r="AG44" s="73"/>
      <c r="AH44" s="73"/>
      <c r="AI44" s="932"/>
      <c r="AJ44" s="932"/>
    </row>
    <row r="45" spans="1:39" x14ac:dyDescent="0.25">
      <c r="B45" s="52"/>
      <c r="C45" s="52"/>
      <c r="D45" s="932"/>
      <c r="E45" s="932"/>
      <c r="F45" s="932"/>
      <c r="G45" s="932"/>
      <c r="H45" s="52"/>
      <c r="I45" s="52"/>
      <c r="J45" s="50"/>
      <c r="K45" s="932"/>
      <c r="L45" s="52"/>
      <c r="M45" s="932"/>
      <c r="N45" s="52"/>
      <c r="O45" s="967"/>
      <c r="P45" s="967"/>
      <c r="Q45" s="52"/>
      <c r="R45" s="52"/>
      <c r="S45" s="52"/>
      <c r="AF45" s="932"/>
      <c r="AG45" s="73"/>
      <c r="AH45" s="73"/>
      <c r="AI45" s="932"/>
      <c r="AJ45" s="932"/>
    </row>
    <row r="46" spans="1:39" x14ac:dyDescent="0.25">
      <c r="B46" s="52"/>
      <c r="C46" s="52"/>
      <c r="D46" s="932"/>
      <c r="E46" s="932"/>
      <c r="F46" s="932"/>
      <c r="G46" s="932"/>
      <c r="H46" s="633"/>
      <c r="I46" s="805"/>
      <c r="J46" s="50"/>
      <c r="K46" s="932"/>
      <c r="L46" s="52"/>
      <c r="M46" s="932"/>
      <c r="N46" s="52"/>
      <c r="O46" s="967"/>
      <c r="P46" s="967"/>
      <c r="Q46" s="52"/>
      <c r="R46" s="52"/>
      <c r="S46" s="52"/>
      <c r="AF46" s="932"/>
      <c r="AG46" s="73"/>
      <c r="AH46" s="73"/>
      <c r="AI46" s="932"/>
      <c r="AJ46" s="932"/>
    </row>
    <row r="47" spans="1:39" x14ac:dyDescent="0.25">
      <c r="B47" s="52"/>
      <c r="C47" s="52"/>
      <c r="D47" s="932"/>
      <c r="E47" s="932"/>
      <c r="F47" s="932"/>
      <c r="G47" s="932"/>
      <c r="H47" s="805"/>
      <c r="I47" s="805"/>
      <c r="J47" s="50"/>
      <c r="K47" s="932"/>
      <c r="L47" s="52"/>
      <c r="M47" s="932"/>
      <c r="N47" s="52"/>
      <c r="O47" s="967"/>
      <c r="P47" s="967"/>
      <c r="Q47" s="52"/>
      <c r="R47" s="52"/>
      <c r="S47" s="52"/>
    </row>
    <row r="48" spans="1:39" x14ac:dyDescent="0.25">
      <c r="B48" s="52"/>
      <c r="C48" s="52"/>
      <c r="D48" s="932"/>
      <c r="E48" s="932"/>
      <c r="F48" s="932"/>
      <c r="G48" s="932"/>
      <c r="H48" s="806"/>
      <c r="I48" s="805"/>
      <c r="J48" s="50"/>
      <c r="K48" s="932"/>
      <c r="L48" s="52"/>
      <c r="M48" s="932"/>
      <c r="N48" s="52"/>
      <c r="O48" s="967"/>
      <c r="P48" s="967"/>
      <c r="Q48" s="52"/>
      <c r="R48" s="52"/>
      <c r="S48" s="52"/>
    </row>
    <row r="49" spans="2:39" x14ac:dyDescent="0.25">
      <c r="B49" s="52"/>
      <c r="C49" s="52"/>
      <c r="D49" s="932"/>
      <c r="E49" s="932"/>
      <c r="F49" s="932"/>
      <c r="G49" s="932"/>
      <c r="H49" s="805"/>
      <c r="I49" s="805"/>
      <c r="J49" s="50"/>
      <c r="K49" s="932"/>
      <c r="L49" s="52"/>
      <c r="M49" s="932"/>
      <c r="N49" s="52"/>
      <c r="O49" s="967"/>
      <c r="P49" s="967"/>
      <c r="Q49" s="52"/>
      <c r="R49" s="52"/>
      <c r="S49" s="52"/>
      <c r="Z49" s="34"/>
      <c r="AA49" s="34"/>
      <c r="AB49" s="34"/>
      <c r="AE49" s="34"/>
      <c r="AF49" s="34"/>
      <c r="AG49" s="34"/>
      <c r="AH49" s="34"/>
      <c r="AI49" s="34"/>
      <c r="AJ49" s="34"/>
      <c r="AK49" s="34"/>
      <c r="AL49" s="34"/>
      <c r="AM49" s="34"/>
    </row>
    <row r="50" spans="2:39" x14ac:dyDescent="0.25">
      <c r="B50" s="52"/>
      <c r="C50" s="52"/>
      <c r="D50" s="932"/>
      <c r="E50" s="932"/>
      <c r="F50" s="932"/>
      <c r="G50" s="932"/>
      <c r="H50" s="633"/>
      <c r="I50" s="805"/>
      <c r="J50" s="50"/>
      <c r="K50" s="932"/>
      <c r="L50" s="52"/>
      <c r="M50" s="932"/>
      <c r="N50" s="52"/>
      <c r="O50" s="967"/>
      <c r="P50" s="967"/>
      <c r="Q50" s="52"/>
      <c r="R50" s="52"/>
      <c r="S50" s="52"/>
      <c r="Z50" s="34"/>
      <c r="AA50" s="34"/>
      <c r="AB50" s="34"/>
      <c r="AE50" s="34"/>
      <c r="AF50" s="34"/>
      <c r="AG50" s="34"/>
      <c r="AH50" s="34"/>
      <c r="AI50" s="34"/>
      <c r="AJ50" s="34"/>
      <c r="AK50" s="34"/>
      <c r="AL50" s="34"/>
      <c r="AM50" s="34"/>
    </row>
    <row r="51" spans="2:39" x14ac:dyDescent="0.25">
      <c r="B51" s="52"/>
      <c r="C51" s="52"/>
      <c r="D51" s="932"/>
      <c r="E51" s="932"/>
      <c r="F51" s="932"/>
      <c r="G51" s="932"/>
      <c r="H51" s="805"/>
      <c r="I51" s="805"/>
      <c r="J51" s="50"/>
      <c r="K51" s="932"/>
      <c r="L51" s="52"/>
      <c r="M51" s="932"/>
      <c r="N51" s="52"/>
      <c r="O51" s="967"/>
      <c r="P51" s="967"/>
      <c r="Q51" s="52"/>
      <c r="R51" s="52"/>
      <c r="S51" s="52"/>
      <c r="Z51" s="34"/>
      <c r="AA51" s="34"/>
      <c r="AB51" s="34"/>
      <c r="AE51" s="34"/>
      <c r="AF51" s="34"/>
      <c r="AG51" s="34"/>
      <c r="AH51" s="34"/>
      <c r="AI51" s="34"/>
      <c r="AJ51" s="34"/>
      <c r="AK51" s="34"/>
      <c r="AL51" s="34"/>
      <c r="AM51" s="34"/>
    </row>
    <row r="52" spans="2:39" x14ac:dyDescent="0.25">
      <c r="B52" s="52"/>
      <c r="C52" s="52"/>
      <c r="D52" s="932"/>
      <c r="E52" s="932"/>
      <c r="F52" s="932"/>
      <c r="G52" s="932"/>
      <c r="H52" s="52"/>
      <c r="I52" s="52"/>
      <c r="J52" s="50"/>
      <c r="K52" s="932"/>
      <c r="L52" s="52"/>
      <c r="M52" s="932"/>
      <c r="N52" s="52"/>
      <c r="O52" s="967"/>
      <c r="P52" s="967"/>
      <c r="Q52" s="52"/>
      <c r="R52" s="52"/>
      <c r="S52" s="52"/>
      <c r="Z52" s="34"/>
      <c r="AA52" s="34"/>
      <c r="AB52" s="34"/>
      <c r="AE52" s="34"/>
      <c r="AF52" s="34"/>
      <c r="AG52" s="34"/>
      <c r="AH52" s="34"/>
      <c r="AI52" s="34"/>
      <c r="AJ52" s="34"/>
      <c r="AK52" s="34"/>
      <c r="AL52" s="34"/>
      <c r="AM52" s="34"/>
    </row>
  </sheetData>
  <mergeCells count="3">
    <mergeCell ref="T2:T3"/>
    <mergeCell ref="D41:E41"/>
    <mergeCell ref="AR2:AR3"/>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3"/>
  <sheetViews>
    <sheetView topLeftCell="C1" zoomScaleNormal="100" workbookViewId="0">
      <selection activeCell="Y112" sqref="Y112"/>
    </sheetView>
  </sheetViews>
  <sheetFormatPr defaultColWidth="10.26953125" defaultRowHeight="12.5" x14ac:dyDescent="0.25"/>
  <cols>
    <col min="1" max="1" width="9.1796875" style="34" customWidth="1"/>
    <col min="2" max="2" width="26.7265625" style="34" customWidth="1"/>
    <col min="3" max="3" width="6.26953125" style="34" customWidth="1"/>
    <col min="4" max="4" width="12.1796875" style="34" bestFit="1" customWidth="1"/>
    <col min="5" max="5" width="16.453125" style="34" customWidth="1"/>
    <col min="6" max="6" width="12.7265625" style="34" customWidth="1"/>
    <col min="7" max="7" width="14.54296875" style="34" customWidth="1"/>
    <col min="8" max="8" width="13.26953125" style="34" customWidth="1"/>
    <col min="9" max="9" width="13" style="933" customWidth="1"/>
    <col min="10" max="10" width="12.81640625" style="933" customWidth="1"/>
    <col min="11" max="11" width="12.26953125" style="34" customWidth="1"/>
    <col min="12" max="12" width="11.1796875" style="34" customWidth="1"/>
    <col min="13" max="13" width="13.26953125" style="34" customWidth="1"/>
    <col min="14" max="14" width="11.453125" style="34" customWidth="1"/>
    <col min="15" max="15" width="12.81640625" style="34" customWidth="1"/>
    <col min="16" max="16" width="12.453125" style="34" customWidth="1"/>
    <col min="17" max="17" width="12.453125" style="34" bestFit="1" customWidth="1"/>
    <col min="18" max="18" width="11.54296875" style="34" customWidth="1"/>
    <col min="19" max="19" width="12.453125" style="347" customWidth="1"/>
    <col min="20" max="20" width="12.26953125" style="34" customWidth="1"/>
    <col min="21" max="22" width="11.26953125" style="34" customWidth="1"/>
    <col min="23" max="23" width="10.26953125" style="34" customWidth="1"/>
    <col min="24" max="24" width="11.1796875" style="34" bestFit="1" customWidth="1"/>
    <col min="25" max="25" width="11.1796875" style="34" customWidth="1"/>
    <col min="26" max="26" width="12.81640625" style="34" customWidth="1"/>
    <col min="27" max="27" width="11" style="34" customWidth="1"/>
    <col min="28" max="28" width="12.7265625" style="34" customWidth="1"/>
    <col min="29" max="29" width="13.1796875" style="34" customWidth="1"/>
    <col min="30" max="30" width="12.1796875" style="34" customWidth="1"/>
    <col min="31" max="31" width="11" style="34" customWidth="1"/>
    <col min="32" max="32" width="10.54296875" style="34" bestFit="1" customWidth="1"/>
    <col min="33" max="33" width="12.453125" style="34" customWidth="1"/>
    <col min="34" max="34" width="10.26953125" style="34" customWidth="1"/>
    <col min="35" max="35" width="28.54296875" style="34" bestFit="1" customWidth="1"/>
    <col min="36" max="36" width="11.1796875" style="34" customWidth="1"/>
    <col min="37" max="37" width="2" style="34" customWidth="1"/>
    <col min="38" max="38" width="11" style="34" customWidth="1"/>
    <col min="39" max="42" width="10.26953125" style="34" customWidth="1"/>
    <col min="43" max="47" width="10.26953125" style="34"/>
    <col min="48" max="48" width="14.7265625" style="963" customWidth="1"/>
    <col min="49" max="49" width="13.26953125" style="963" customWidth="1"/>
    <col min="50" max="51" width="10.26953125" style="34"/>
    <col min="52" max="52" width="19" style="963" bestFit="1" customWidth="1"/>
    <col min="53" max="53" width="16.81640625" style="963" customWidth="1"/>
    <col min="54" max="54" width="10.26953125" style="968"/>
    <col min="55" max="16384" width="10.26953125" style="34"/>
  </cols>
  <sheetData>
    <row r="1" spans="1:54" x14ac:dyDescent="0.25">
      <c r="A1" s="63" t="s">
        <v>97</v>
      </c>
      <c r="C1" s="33"/>
      <c r="S1" s="976"/>
      <c r="T1" s="810"/>
      <c r="U1" s="810"/>
      <c r="V1" s="810"/>
      <c r="W1" s="810"/>
      <c r="AV1" s="34"/>
      <c r="AW1" s="34"/>
      <c r="AZ1" s="34"/>
      <c r="BA1" s="34"/>
      <c r="BB1" s="34"/>
    </row>
    <row r="2" spans="1:54" ht="13" x14ac:dyDescent="0.3">
      <c r="A2" s="63"/>
      <c r="C2" s="33"/>
      <c r="E2" s="332" t="s">
        <v>852</v>
      </c>
      <c r="S2" s="976"/>
      <c r="T2" s="810"/>
      <c r="U2" s="810"/>
      <c r="V2" s="810"/>
      <c r="W2" s="810"/>
      <c r="AV2" s="34"/>
      <c r="AW2" s="34"/>
      <c r="AZ2" s="34"/>
      <c r="BA2" s="34"/>
      <c r="BB2" s="34"/>
    </row>
    <row r="3" spans="1:54" ht="13" x14ac:dyDescent="0.3">
      <c r="A3" s="230" t="s">
        <v>854</v>
      </c>
      <c r="C3" s="47"/>
      <c r="I3" s="231" t="s">
        <v>693</v>
      </c>
      <c r="S3" s="976"/>
      <c r="T3" s="810"/>
      <c r="U3" s="810"/>
      <c r="V3" s="810"/>
      <c r="W3" s="810"/>
      <c r="AV3" s="34"/>
      <c r="AW3" s="34"/>
      <c r="AZ3" s="34"/>
      <c r="BA3" s="34"/>
      <c r="BB3" s="34"/>
    </row>
    <row r="4" spans="1:54" x14ac:dyDescent="0.25">
      <c r="B4" s="35"/>
      <c r="C4" s="35"/>
      <c r="O4" s="1893" t="s">
        <v>332</v>
      </c>
      <c r="P4" s="1894"/>
      <c r="R4" s="976"/>
      <c r="S4" s="810"/>
      <c r="T4" s="810"/>
      <c r="U4" s="810"/>
      <c r="V4" s="810"/>
      <c r="AV4" s="34"/>
      <c r="AW4" s="34"/>
      <c r="AZ4" s="34"/>
      <c r="BA4" s="34"/>
      <c r="BB4" s="34"/>
    </row>
    <row r="5" spans="1:54" ht="37.5" x14ac:dyDescent="0.25">
      <c r="A5" s="183" t="s">
        <v>201</v>
      </c>
      <c r="B5" s="36" t="s">
        <v>66</v>
      </c>
      <c r="C5" s="935" t="s">
        <v>51</v>
      </c>
      <c r="D5" s="939" t="s">
        <v>858</v>
      </c>
      <c r="E5" s="939" t="s">
        <v>859</v>
      </c>
      <c r="F5" s="939" t="s">
        <v>860</v>
      </c>
      <c r="G5" s="939" t="s">
        <v>861</v>
      </c>
      <c r="H5" s="939" t="s">
        <v>862</v>
      </c>
      <c r="I5" s="939" t="s">
        <v>863</v>
      </c>
      <c r="J5" s="939" t="s">
        <v>864</v>
      </c>
      <c r="K5" s="941" t="s">
        <v>253</v>
      </c>
      <c r="L5" s="941" t="s">
        <v>336</v>
      </c>
      <c r="M5" s="941" t="s">
        <v>386</v>
      </c>
      <c r="N5" s="941" t="s">
        <v>387</v>
      </c>
      <c r="O5" s="413" t="s">
        <v>337</v>
      </c>
      <c r="P5" s="694" t="s">
        <v>338</v>
      </c>
      <c r="R5" s="977" t="s">
        <v>900</v>
      </c>
      <c r="S5" s="34"/>
      <c r="AV5" s="34"/>
      <c r="AW5" s="34"/>
      <c r="AZ5" s="34"/>
      <c r="BA5" s="34"/>
      <c r="BB5" s="34"/>
    </row>
    <row r="6" spans="1:54" x14ac:dyDescent="0.25">
      <c r="A6" s="185">
        <v>9257010</v>
      </c>
      <c r="B6" s="38" t="s">
        <v>67</v>
      </c>
      <c r="C6" s="39">
        <v>4</v>
      </c>
      <c r="D6" s="812">
        <f>VLOOKUP(A6,'1920 Band Moderations'!$A$181:$R$198,6,(FALSE))</f>
        <v>0.05</v>
      </c>
      <c r="E6" s="812">
        <f>VLOOKUP(A6,'1920 Band Moderations'!$A$181:$R$198,8,(FALSE))</f>
        <v>0.35</v>
      </c>
      <c r="F6" s="812">
        <f>VLOOKUP(A6,'1920 Band Moderations'!$A$181:$R$198,10,(FALSE))</f>
        <v>6.6666666666666666E-2</v>
      </c>
      <c r="G6" s="812">
        <f>VLOOKUP(A6,'1920 Band Moderations'!$A$181:$R$198,12,(FALSE))</f>
        <v>0.15</v>
      </c>
      <c r="H6" s="812">
        <f>VLOOKUP(A6,'1920 Band Moderations'!$A$181:$R$198,14,(FALSE))</f>
        <v>0.05</v>
      </c>
      <c r="I6" s="812">
        <f>VLOOKUP(A6,'1920 Band Moderations'!$A$181:$R$198,16,(FALSE))</f>
        <v>0.21666666666666667</v>
      </c>
      <c r="J6" s="812">
        <f>VLOOKUP(A6,'1920 Band Moderations'!$A$181:$R$198,18,(FALSE))</f>
        <v>0.11666666666666667</v>
      </c>
      <c r="K6" s="524">
        <v>47</v>
      </c>
      <c r="L6" s="813">
        <f t="shared" ref="L6:L23" si="0">((((K6*D6)*$G$92)+((K6*E6)*$G$94)+((K6*F6)*$G$96)+((K6*G6)*$G$98)+((K6*H6)*$G$100)+((K6*I6)*$G$102)+((K6*J6)*$G$104))*(5/12))</f>
        <v>236543.24640657037</v>
      </c>
      <c r="M6" s="813">
        <f>((K6*F6)*$G$106)*(5/12)</f>
        <v>3440.1388888888891</v>
      </c>
      <c r="N6" s="813">
        <f t="shared" ref="N6:N23" si="1">SUM(L6:M6)</f>
        <v>239983.38529545924</v>
      </c>
      <c r="O6" s="724">
        <f>(K6*(5/12))*10000</f>
        <v>195833.33333333334</v>
      </c>
      <c r="P6" s="724">
        <f>(VLOOKUP(A6,'1920 Funding Detail'!$A$4:$AN$23,38,FALSE)*5/12)*K6</f>
        <v>200420.27651181092</v>
      </c>
      <c r="Q6" s="42"/>
      <c r="R6" s="42">
        <f t="shared" ref="R6:R23" si="2">(J6*K6*$G$104)*5/12</f>
        <v>51435.381935113655</v>
      </c>
      <c r="S6" s="168"/>
      <c r="T6" s="623"/>
      <c r="W6" s="42"/>
      <c r="AV6" s="34"/>
      <c r="AW6" s="34"/>
      <c r="AZ6" s="34"/>
      <c r="BA6" s="34"/>
      <c r="BB6" s="34"/>
    </row>
    <row r="7" spans="1:54" ht="12.75" customHeight="1" x14ac:dyDescent="0.25">
      <c r="A7" s="185">
        <v>9257005</v>
      </c>
      <c r="B7" s="38" t="s">
        <v>68</v>
      </c>
      <c r="C7" s="39">
        <v>4</v>
      </c>
      <c r="D7" s="812">
        <f>VLOOKUP(A7,'1920 Band Moderations'!$A$181:$R$198,6,(FALSE))</f>
        <v>0.10810810810810811</v>
      </c>
      <c r="E7" s="812">
        <f>VLOOKUP(A7,'1920 Band Moderations'!$A$181:$R$198,8,(FALSE))</f>
        <v>0.22972972972972974</v>
      </c>
      <c r="F7" s="812">
        <f>VLOOKUP(A7,'1920 Band Moderations'!$A$181:$R$198,10,(FALSE))</f>
        <v>0.12162162162162163</v>
      </c>
      <c r="G7" s="812">
        <f>VLOOKUP(A7,'1920 Band Moderations'!$A$181:$R$198,12,(FALSE))</f>
        <v>0.14864864864864866</v>
      </c>
      <c r="H7" s="812">
        <f>VLOOKUP(A7,'1920 Band Moderations'!$A$181:$R$198,14,(FALSE))</f>
        <v>0.13513513513513514</v>
      </c>
      <c r="I7" s="812">
        <f>VLOOKUP(A7,'1920 Band Moderations'!$A$181:$R$198,16,(FALSE))</f>
        <v>0.17567567567567569</v>
      </c>
      <c r="J7" s="812">
        <f>VLOOKUP(A7,'1920 Band Moderations'!$A$181:$R$198,18,(FALSE))</f>
        <v>8.1081081081081086E-2</v>
      </c>
      <c r="K7" s="524">
        <v>43</v>
      </c>
      <c r="L7" s="813">
        <f t="shared" si="0"/>
        <v>214505.82862463864</v>
      </c>
      <c r="M7" s="813">
        <f t="shared" ref="M7:M23" si="3">((K7*F7)*$G$106)*(5/12)</f>
        <v>5741.8074324324325</v>
      </c>
      <c r="N7" s="813">
        <f t="shared" si="1"/>
        <v>220247.63605707107</v>
      </c>
      <c r="O7" s="724">
        <f t="shared" ref="O7:O23" si="4">(K7*(5/12))*10000</f>
        <v>179166.66666666669</v>
      </c>
      <c r="P7" s="724">
        <f>(VLOOKUP(A7,'1920 Funding Detail'!$A$4:$AN$23,38,FALSE)*5/12)*K7</f>
        <v>153832.25768141818</v>
      </c>
      <c r="Q7" s="42"/>
      <c r="R7" s="42">
        <f t="shared" si="2"/>
        <v>32704.333868214879</v>
      </c>
      <c r="S7" s="978"/>
      <c r="T7" s="624"/>
      <c r="U7" s="33"/>
      <c r="V7" s="33"/>
      <c r="W7" s="42"/>
      <c r="X7" s="939"/>
      <c r="AV7" s="34"/>
      <c r="AW7" s="34"/>
      <c r="AZ7" s="34"/>
      <c r="BA7" s="34"/>
      <c r="BB7" s="34"/>
    </row>
    <row r="8" spans="1:54" ht="12.75" customHeight="1" x14ac:dyDescent="0.25">
      <c r="A8" s="185">
        <v>9257025</v>
      </c>
      <c r="B8" s="38" t="s">
        <v>69</v>
      </c>
      <c r="C8" s="39">
        <v>4</v>
      </c>
      <c r="D8" s="812">
        <f>VLOOKUP(A8,'1920 Band Moderations'!$A$181:$R$198,6,(FALSE))</f>
        <v>0.22972972972972974</v>
      </c>
      <c r="E8" s="812">
        <f>VLOOKUP(A8,'1920 Band Moderations'!$A$181:$R$198,8,(FALSE))</f>
        <v>0.29729729729729731</v>
      </c>
      <c r="F8" s="812">
        <f>VLOOKUP(A8,'1920 Band Moderations'!$A$181:$R$198,10,(FALSE))</f>
        <v>0.12162162162162163</v>
      </c>
      <c r="G8" s="812">
        <f>VLOOKUP(A8,'1920 Band Moderations'!$A$181:$R$198,12,(FALSE))</f>
        <v>0.12162162162162163</v>
      </c>
      <c r="H8" s="812">
        <f>VLOOKUP(A8,'1920 Band Moderations'!$A$181:$R$198,14,(FALSE))</f>
        <v>8.1081081081081086E-2</v>
      </c>
      <c r="I8" s="812">
        <f>VLOOKUP(A8,'1920 Band Moderations'!$A$181:$R$198,16,(FALSE))</f>
        <v>0.10810810810810811</v>
      </c>
      <c r="J8" s="812">
        <f>VLOOKUP(A8,'1920 Band Moderations'!$A$181:$R$198,18,(FALSE))</f>
        <v>4.0540540540540543E-2</v>
      </c>
      <c r="K8" s="524">
        <v>49</v>
      </c>
      <c r="L8" s="813">
        <f t="shared" si="0"/>
        <v>205773.51234505183</v>
      </c>
      <c r="M8" s="813">
        <f t="shared" si="3"/>
        <v>6542.9898648648659</v>
      </c>
      <c r="N8" s="813">
        <f t="shared" si="1"/>
        <v>212316.50220991668</v>
      </c>
      <c r="O8" s="724">
        <f t="shared" si="4"/>
        <v>204166.66666666669</v>
      </c>
      <c r="P8" s="724">
        <f>(VLOOKUP(A8,'1920 Funding Detail'!$A$4:$AN$23,38,FALSE)*5/12)*K8</f>
        <v>147516.01314382663</v>
      </c>
      <c r="Q8" s="42"/>
      <c r="R8" s="42">
        <f t="shared" si="2"/>
        <v>18633.864645843361</v>
      </c>
      <c r="S8" s="978"/>
      <c r="T8" s="808"/>
      <c r="U8" s="808"/>
      <c r="V8" s="808"/>
      <c r="W8" s="808"/>
      <c r="X8" s="808"/>
      <c r="Y8" s="808"/>
      <c r="Z8" s="808"/>
      <c r="AV8" s="34"/>
      <c r="AW8" s="34"/>
      <c r="AZ8" s="34"/>
      <c r="BA8" s="34"/>
      <c r="BB8" s="34"/>
    </row>
    <row r="9" spans="1:54" x14ac:dyDescent="0.25">
      <c r="A9" s="185">
        <v>9257011</v>
      </c>
      <c r="B9" s="38" t="s">
        <v>70</v>
      </c>
      <c r="C9" s="39">
        <v>4</v>
      </c>
      <c r="D9" s="812">
        <f>VLOOKUP(A9,'1920 Band Moderations'!$A$181:$R$198,6,(FALSE))</f>
        <v>7.2727272727272724E-2</v>
      </c>
      <c r="E9" s="812">
        <f>VLOOKUP(A9,'1920 Band Moderations'!$A$181:$R$198,8,(FALSE))</f>
        <v>0.27272727272727271</v>
      </c>
      <c r="F9" s="812">
        <f>VLOOKUP(A9,'1920 Band Moderations'!$A$181:$R$198,10,(FALSE))</f>
        <v>3.6363636363636362E-2</v>
      </c>
      <c r="G9" s="812">
        <f>VLOOKUP(A9,'1920 Band Moderations'!$A$181:$R$198,12,(FALSE))</f>
        <v>0.23636363636363636</v>
      </c>
      <c r="H9" s="812">
        <f>VLOOKUP(A9,'1920 Band Moderations'!$A$181:$R$198,14,(FALSE))</f>
        <v>0.14545454545454545</v>
      </c>
      <c r="I9" s="812">
        <f>VLOOKUP(A9,'1920 Band Moderations'!$A$181:$R$198,16,(FALSE))</f>
        <v>0.14545454545454545</v>
      </c>
      <c r="J9" s="812">
        <f>VLOOKUP(A9,'1920 Band Moderations'!$A$181:$R$198,18,(FALSE))</f>
        <v>9.0909090909090912E-2</v>
      </c>
      <c r="K9" s="524">
        <v>44</v>
      </c>
      <c r="L9" s="813">
        <f t="shared" si="0"/>
        <v>224531.82160550327</v>
      </c>
      <c r="M9" s="813">
        <f t="shared" si="3"/>
        <v>1756.6666666666667</v>
      </c>
      <c r="N9" s="813">
        <f t="shared" si="1"/>
        <v>226288.48827216993</v>
      </c>
      <c r="O9" s="724">
        <f t="shared" si="4"/>
        <v>183333.33333333334</v>
      </c>
      <c r="P9" s="724">
        <f>(VLOOKUP(A9,'1920 Funding Detail'!$A$4:$AN$23,38,FALSE)*5/12)*K9</f>
        <v>183603.03488233942</v>
      </c>
      <c r="Q9" s="42"/>
      <c r="R9" s="42">
        <f t="shared" si="2"/>
        <v>37521.25125965738</v>
      </c>
      <c r="S9" s="978"/>
      <c r="T9" s="808"/>
      <c r="U9" s="808"/>
      <c r="V9" s="808"/>
      <c r="W9" s="808"/>
      <c r="X9" s="808"/>
      <c r="Y9" s="808"/>
      <c r="Z9" s="808"/>
      <c r="AV9" s="34"/>
      <c r="AW9" s="34"/>
      <c r="AZ9" s="34"/>
      <c r="BA9" s="34"/>
      <c r="BB9" s="34"/>
    </row>
    <row r="10" spans="1:54" x14ac:dyDescent="0.25">
      <c r="A10" s="185">
        <v>9257024</v>
      </c>
      <c r="B10" s="38" t="s">
        <v>71</v>
      </c>
      <c r="C10" s="39">
        <v>3</v>
      </c>
      <c r="D10" s="812">
        <f>VLOOKUP(A10,'1920 Band Moderations'!$A$181:$R$198,6,(FALSE))</f>
        <v>0.10975609756097561</v>
      </c>
      <c r="E10" s="812">
        <f>VLOOKUP(A10,'1920 Band Moderations'!$A$181:$R$198,8,(FALSE))</f>
        <v>0.41463414634146339</v>
      </c>
      <c r="F10" s="812">
        <f>VLOOKUP(A10,'1920 Band Moderations'!$A$181:$R$198,10,(FALSE))</f>
        <v>2.4390243902439025E-2</v>
      </c>
      <c r="G10" s="812">
        <f>VLOOKUP(A10,'1920 Band Moderations'!$A$181:$R$198,12,(FALSE))</f>
        <v>0.13414634146341464</v>
      </c>
      <c r="H10" s="812">
        <f>VLOOKUP(A10,'1920 Band Moderations'!$A$181:$R$198,14,(FALSE))</f>
        <v>0.12195121951219512</v>
      </c>
      <c r="I10" s="812">
        <f>VLOOKUP(A10,'1920 Band Moderations'!$A$181:$R$198,16,(FALSE))</f>
        <v>7.3170731707317069E-2</v>
      </c>
      <c r="J10" s="812">
        <f>VLOOKUP(A10,'1920 Band Moderations'!$A$181:$R$198,18,(FALSE))</f>
        <v>0.12195121951219512</v>
      </c>
      <c r="K10" s="524">
        <v>68</v>
      </c>
      <c r="L10" s="813">
        <f t="shared" si="0"/>
        <v>316110.99059343652</v>
      </c>
      <c r="M10" s="813">
        <f t="shared" si="3"/>
        <v>1820.9349593495938</v>
      </c>
      <c r="N10" s="813">
        <f t="shared" si="1"/>
        <v>317931.9255527861</v>
      </c>
      <c r="O10" s="724">
        <f t="shared" si="4"/>
        <v>283333.33333333337</v>
      </c>
      <c r="P10" s="724">
        <f>(VLOOKUP(A10,'1920 Funding Detail'!$A$4:$AN$23,38,FALSE)*5/12)*K10</f>
        <v>206873.67498724395</v>
      </c>
      <c r="Q10" s="42"/>
      <c r="R10" s="42">
        <f t="shared" si="2"/>
        <v>77787.959928557975</v>
      </c>
      <c r="S10" s="978"/>
      <c r="T10" s="808"/>
      <c r="U10" s="808"/>
      <c r="V10" s="808"/>
      <c r="W10" s="808"/>
      <c r="X10" s="808"/>
      <c r="Y10" s="808"/>
      <c r="Z10" s="808"/>
      <c r="AV10" s="34"/>
      <c r="AW10" s="34"/>
      <c r="AZ10" s="34"/>
      <c r="BA10" s="34"/>
      <c r="BB10" s="34"/>
    </row>
    <row r="11" spans="1:54" ht="12.75" customHeight="1" x14ac:dyDescent="0.25">
      <c r="A11" s="185">
        <v>9257031</v>
      </c>
      <c r="B11" s="38" t="s">
        <v>98</v>
      </c>
      <c r="C11" s="39">
        <v>4</v>
      </c>
      <c r="D11" s="812">
        <f>VLOOKUP(A11,'1920 Band Moderations'!$A$181:$R$198,6,(FALSE))</f>
        <v>0</v>
      </c>
      <c r="E11" s="812">
        <f>VLOOKUP(A11,'1920 Band Moderations'!$A$181:$R$198,8,(FALSE))</f>
        <v>0</v>
      </c>
      <c r="F11" s="812">
        <f>VLOOKUP(A11,'1920 Band Moderations'!$A$181:$R$198,10,(FALSE))</f>
        <v>1</v>
      </c>
      <c r="G11" s="812">
        <f>VLOOKUP(A11,'1920 Band Moderations'!$A$181:$R$198,12,(FALSE))</f>
        <v>0</v>
      </c>
      <c r="H11" s="812">
        <f>VLOOKUP(A11,'1920 Band Moderations'!$A$181:$R$198,14,(FALSE))</f>
        <v>0</v>
      </c>
      <c r="I11" s="812">
        <f>VLOOKUP(A11,'1920 Band Moderations'!$A$181:$R$198,16,(FALSE))</f>
        <v>0</v>
      </c>
      <c r="J11" s="812">
        <f>VLOOKUP(A11,'1920 Band Moderations'!$A$181:$R$198,18,(FALSE))</f>
        <v>0</v>
      </c>
      <c r="K11" s="524">
        <v>72</v>
      </c>
      <c r="L11" s="813">
        <f t="shared" si="0"/>
        <v>337902.36951553577</v>
      </c>
      <c r="M11" s="813">
        <f t="shared" si="3"/>
        <v>79050</v>
      </c>
      <c r="N11" s="813">
        <f t="shared" si="1"/>
        <v>416952.36951553577</v>
      </c>
      <c r="O11" s="724">
        <f t="shared" si="4"/>
        <v>300000</v>
      </c>
      <c r="P11" s="724">
        <f>(VLOOKUP(A11,'1920 Funding Detail'!$A$4:$AN$23,38,FALSE)*5/12)*K11</f>
        <v>303625.31973507919</v>
      </c>
      <c r="Q11" s="42"/>
      <c r="R11" s="42">
        <f t="shared" si="2"/>
        <v>0</v>
      </c>
      <c r="S11" s="978"/>
      <c r="T11" s="808"/>
      <c r="U11" s="808"/>
      <c r="V11" s="808"/>
      <c r="W11" s="808"/>
      <c r="X11" s="808"/>
      <c r="Y11" s="808"/>
      <c r="Z11" s="808"/>
      <c r="AV11" s="34"/>
      <c r="AW11" s="34"/>
      <c r="AZ11" s="34"/>
      <c r="BA11" s="34"/>
      <c r="BB11" s="34"/>
    </row>
    <row r="12" spans="1:54" x14ac:dyDescent="0.25">
      <c r="A12" s="185">
        <v>9257033</v>
      </c>
      <c r="B12" s="38" t="s">
        <v>72</v>
      </c>
      <c r="C12" s="39">
        <v>3</v>
      </c>
      <c r="D12" s="812">
        <f>VLOOKUP(A12,'1920 Band Moderations'!$A$181:$R$198,6,(FALSE))</f>
        <v>0.20454545454545456</v>
      </c>
      <c r="E12" s="812">
        <f>VLOOKUP(A12,'1920 Band Moderations'!$A$181:$R$198,8,(FALSE))</f>
        <v>0.28409090909090912</v>
      </c>
      <c r="F12" s="812">
        <f>VLOOKUP(A12,'1920 Band Moderations'!$A$181:$R$198,10,(FALSE))</f>
        <v>0.19318181818181818</v>
      </c>
      <c r="G12" s="812">
        <f>VLOOKUP(A12,'1920 Band Moderations'!$A$181:$R$198,12,(FALSE))</f>
        <v>0.17045454545454544</v>
      </c>
      <c r="H12" s="812">
        <f>VLOOKUP(A12,'1920 Band Moderations'!$A$181:$R$198,14,(FALSE))</f>
        <v>7.9545454545454544E-2</v>
      </c>
      <c r="I12" s="812">
        <f>VLOOKUP(A12,'1920 Band Moderations'!$A$181:$R$198,16,(FALSE))</f>
        <v>6.8181818181818177E-2</v>
      </c>
      <c r="J12" s="812">
        <f>VLOOKUP(A12,'1920 Band Moderations'!$A$181:$R$198,18,(FALSE))</f>
        <v>0</v>
      </c>
      <c r="K12" s="524">
        <v>93</v>
      </c>
      <c r="L12" s="813">
        <f t="shared" si="0"/>
        <v>379968.78874726937</v>
      </c>
      <c r="M12" s="813">
        <f t="shared" si="3"/>
        <v>19725.071022727272</v>
      </c>
      <c r="N12" s="813">
        <f t="shared" si="1"/>
        <v>399693.85976999666</v>
      </c>
      <c r="O12" s="724">
        <f t="shared" si="4"/>
        <v>387500</v>
      </c>
      <c r="P12" s="724">
        <f>(VLOOKUP(A12,'1920 Funding Detail'!$A$4:$AN$23,38,FALSE)*5/12)*K12</f>
        <v>208299.55033261003</v>
      </c>
      <c r="Q12" s="42"/>
      <c r="R12" s="42">
        <f t="shared" si="2"/>
        <v>0</v>
      </c>
      <c r="S12" s="978"/>
      <c r="T12" s="808"/>
      <c r="U12" s="808"/>
      <c r="V12" s="808"/>
      <c r="W12" s="808"/>
      <c r="X12" s="808"/>
      <c r="Y12" s="808"/>
      <c r="Z12" s="808"/>
      <c r="AV12" s="34"/>
      <c r="AW12" s="34"/>
      <c r="AZ12" s="34"/>
      <c r="BA12" s="34"/>
      <c r="BB12" s="34"/>
    </row>
    <row r="13" spans="1:54" x14ac:dyDescent="0.25">
      <c r="A13" s="185">
        <v>9257008</v>
      </c>
      <c r="B13" s="38" t="s">
        <v>73</v>
      </c>
      <c r="C13" s="39">
        <v>4</v>
      </c>
      <c r="D13" s="812">
        <f>VLOOKUP(A13,'1920 Band Moderations'!$A$181:$R$198,6,(FALSE))</f>
        <v>6.3157894736842107E-2</v>
      </c>
      <c r="E13" s="812">
        <f>VLOOKUP(A13,'1920 Band Moderations'!$A$181:$R$198,8,(FALSE))</f>
        <v>0.57894736842105265</v>
      </c>
      <c r="F13" s="812">
        <f>VLOOKUP(A13,'1920 Band Moderations'!$A$181:$R$198,10,(FALSE))</f>
        <v>0.10526315789473684</v>
      </c>
      <c r="G13" s="812">
        <f>VLOOKUP(A13,'1920 Band Moderations'!$A$181:$R$198,12,(FALSE))</f>
        <v>5.2631578947368418E-2</v>
      </c>
      <c r="H13" s="812">
        <f>VLOOKUP(A13,'1920 Band Moderations'!$A$181:$R$198,14,(FALSE))</f>
        <v>1.0526315789473684E-2</v>
      </c>
      <c r="I13" s="812">
        <f>VLOOKUP(A13,'1920 Band Moderations'!$A$181:$R$198,16,(FALSE))</f>
        <v>0.18947368421052632</v>
      </c>
      <c r="J13" s="812">
        <f>VLOOKUP(A13,'1920 Band Moderations'!$A$181:$R$198,18,(FALSE))</f>
        <v>0</v>
      </c>
      <c r="K13" s="524">
        <v>95</v>
      </c>
      <c r="L13" s="813">
        <f t="shared" si="0"/>
        <v>364371.09367785533</v>
      </c>
      <c r="M13" s="813">
        <f t="shared" si="3"/>
        <v>10979.166666666668</v>
      </c>
      <c r="N13" s="813">
        <f t="shared" si="1"/>
        <v>375350.26034452202</v>
      </c>
      <c r="O13" s="724">
        <f t="shared" si="4"/>
        <v>395833.33333333337</v>
      </c>
      <c r="P13" s="724">
        <f>(VLOOKUP(A13,'1920 Funding Detail'!$A$4:$AN$23,38,FALSE)*5/12)*K13</f>
        <v>168486.98951118859</v>
      </c>
      <c r="Q13" s="42"/>
      <c r="R13" s="42">
        <f t="shared" si="2"/>
        <v>0</v>
      </c>
      <c r="S13" s="978"/>
      <c r="T13" s="808"/>
      <c r="U13" s="808"/>
      <c r="V13" s="808"/>
      <c r="W13" s="808"/>
      <c r="X13" s="808"/>
      <c r="Y13" s="808"/>
      <c r="Z13" s="808"/>
      <c r="AV13" s="34"/>
      <c r="AW13" s="34"/>
      <c r="AZ13" s="34"/>
      <c r="BA13" s="34"/>
      <c r="BB13" s="34"/>
    </row>
    <row r="14" spans="1:54" x14ac:dyDescent="0.25">
      <c r="A14" s="185">
        <v>9257034</v>
      </c>
      <c r="B14" s="38" t="s">
        <v>74</v>
      </c>
      <c r="C14" s="39">
        <v>5</v>
      </c>
      <c r="D14" s="812">
        <f>VLOOKUP(A14,'1920 Band Moderations'!$A$181:$R$198,6,(FALSE))</f>
        <v>0.41964285714285715</v>
      </c>
      <c r="E14" s="812">
        <f>VLOOKUP(A14,'1920 Band Moderations'!$A$181:$R$198,8,(FALSE))</f>
        <v>0.26785714285714285</v>
      </c>
      <c r="F14" s="812">
        <f>VLOOKUP(A14,'1920 Band Moderations'!$A$181:$R$198,10,(FALSE))</f>
        <v>0.17857142857142858</v>
      </c>
      <c r="G14" s="812">
        <f>VLOOKUP(A14,'1920 Band Moderations'!$A$181:$R$198,12,(FALSE))</f>
        <v>4.4642857142857144E-2</v>
      </c>
      <c r="H14" s="812">
        <f>VLOOKUP(A14,'1920 Band Moderations'!$A$181:$R$198,14,(FALSE))</f>
        <v>3.5714285714285712E-2</v>
      </c>
      <c r="I14" s="812">
        <f>VLOOKUP(A14,'1920 Band Moderations'!$A$181:$R$198,16,(FALSE))</f>
        <v>4.4642857142857144E-2</v>
      </c>
      <c r="J14" s="812">
        <f>VLOOKUP(A14,'1920 Band Moderations'!$A$181:$R$198,18,(FALSE))</f>
        <v>8.9285714285714281E-3</v>
      </c>
      <c r="K14" s="524">
        <v>78</v>
      </c>
      <c r="L14" s="813">
        <f t="shared" si="0"/>
        <v>267805.7825802702</v>
      </c>
      <c r="M14" s="813">
        <f t="shared" si="3"/>
        <v>15292.410714285716</v>
      </c>
      <c r="N14" s="813">
        <f t="shared" si="1"/>
        <v>283098.19329455594</v>
      </c>
      <c r="O14" s="724">
        <f t="shared" si="4"/>
        <v>325000</v>
      </c>
      <c r="P14" s="724">
        <f>(VLOOKUP(A14,'1920 Funding Detail'!$A$4:$AN$23,38,FALSE)*5/12)*K14</f>
        <v>115910.77370840832</v>
      </c>
      <c r="Q14" s="42"/>
      <c r="R14" s="42">
        <f t="shared" si="2"/>
        <v>6532.7178532439184</v>
      </c>
      <c r="S14" s="978"/>
      <c r="T14" s="808"/>
      <c r="U14" s="808"/>
      <c r="V14" s="808"/>
      <c r="W14" s="808"/>
      <c r="X14" s="808"/>
      <c r="Y14" s="808"/>
      <c r="Z14" s="808"/>
      <c r="AV14" s="34"/>
      <c r="AW14" s="34"/>
      <c r="AZ14" s="34"/>
      <c r="BA14" s="34"/>
      <c r="BB14" s="34"/>
    </row>
    <row r="15" spans="1:54" x14ac:dyDescent="0.25">
      <c r="A15" s="185">
        <v>9257002</v>
      </c>
      <c r="B15" s="38" t="s">
        <v>75</v>
      </c>
      <c r="C15" s="39">
        <v>5</v>
      </c>
      <c r="D15" s="812">
        <f>VLOOKUP(A15,'1920 Band Moderations'!$A$181:$R$198,6,(FALSE))</f>
        <v>0.46527777777777779</v>
      </c>
      <c r="E15" s="812">
        <f>VLOOKUP(A15,'1920 Band Moderations'!$A$181:$R$198,8,(FALSE))</f>
        <v>0.16666666666666666</v>
      </c>
      <c r="F15" s="812">
        <f>VLOOKUP(A15,'1920 Band Moderations'!$A$181:$R$198,10,(FALSE))</f>
        <v>0.1875</v>
      </c>
      <c r="G15" s="812">
        <f>VLOOKUP(A15,'1920 Band Moderations'!$A$181:$R$198,12,(FALSE))</f>
        <v>1.3888888888888888E-2</v>
      </c>
      <c r="H15" s="812">
        <f>VLOOKUP(A15,'1920 Band Moderations'!$A$181:$R$198,14,(FALSE))</f>
        <v>4.8611111111111112E-2</v>
      </c>
      <c r="I15" s="812">
        <f>VLOOKUP(A15,'1920 Band Moderations'!$A$181:$R$198,16,(FALSE))</f>
        <v>0.1111111111111111</v>
      </c>
      <c r="J15" s="812">
        <f>VLOOKUP(A15,'1920 Band Moderations'!$A$181:$R$198,18,(FALSE))</f>
        <v>6.9444444444444441E-3</v>
      </c>
      <c r="K15" s="524">
        <v>144</v>
      </c>
      <c r="L15" s="813">
        <f t="shared" si="0"/>
        <v>516347.8170998639</v>
      </c>
      <c r="M15" s="813">
        <f t="shared" si="3"/>
        <v>29643.75</v>
      </c>
      <c r="N15" s="813">
        <f t="shared" si="1"/>
        <v>545991.5670998639</v>
      </c>
      <c r="O15" s="724">
        <f t="shared" si="4"/>
        <v>600000</v>
      </c>
      <c r="P15" s="724">
        <f>(VLOOKUP(A15,'1920 Funding Detail'!$A$4:$AN$23,38,FALSE)*5/12)*K15</f>
        <v>163356.47545721254</v>
      </c>
      <c r="Q15" s="42"/>
      <c r="R15" s="42">
        <f t="shared" si="2"/>
        <v>9380.3128149143449</v>
      </c>
      <c r="S15" s="978"/>
      <c r="T15" s="808"/>
      <c r="U15" s="808"/>
      <c r="V15" s="808"/>
      <c r="W15" s="808"/>
      <c r="X15" s="808"/>
      <c r="Y15" s="808"/>
      <c r="Z15" s="808"/>
      <c r="AV15" s="34"/>
      <c r="AW15" s="34"/>
      <c r="AZ15" s="34"/>
      <c r="BA15" s="34"/>
      <c r="BB15" s="34"/>
    </row>
    <row r="16" spans="1:54" x14ac:dyDescent="0.25">
      <c r="A16" s="185">
        <v>9257009</v>
      </c>
      <c r="B16" s="38" t="s">
        <v>76</v>
      </c>
      <c r="C16" s="39">
        <v>4</v>
      </c>
      <c r="D16" s="812">
        <f>VLOOKUP(A16,'1920 Band Moderations'!$A$181:$R$198,6,(FALSE))</f>
        <v>0.17910447761194029</v>
      </c>
      <c r="E16" s="812">
        <f>VLOOKUP(A16,'1920 Band Moderations'!$A$181:$R$198,8,(FALSE))</f>
        <v>0.5074626865671642</v>
      </c>
      <c r="F16" s="812">
        <f>VLOOKUP(A16,'1920 Band Moderations'!$A$181:$R$198,10,(FALSE))</f>
        <v>0.11940298507462686</v>
      </c>
      <c r="G16" s="812">
        <f>VLOOKUP(A16,'1920 Band Moderations'!$A$181:$R$198,12,(FALSE))</f>
        <v>1.4925373134328358E-2</v>
      </c>
      <c r="H16" s="812">
        <f>VLOOKUP(A16,'1920 Band Moderations'!$A$181:$R$198,14,(FALSE))</f>
        <v>3.7313432835820892E-2</v>
      </c>
      <c r="I16" s="812">
        <f>VLOOKUP(A16,'1920 Band Moderations'!$A$181:$R$198,16,(FALSE))</f>
        <v>0.1417910447761194</v>
      </c>
      <c r="J16" s="812">
        <f>VLOOKUP(A16,'1920 Band Moderations'!$A$181:$R$198,18,(FALSE))</f>
        <v>0</v>
      </c>
      <c r="K16" s="524">
        <v>133</v>
      </c>
      <c r="L16" s="813">
        <f t="shared" si="0"/>
        <v>480994.7489818334</v>
      </c>
      <c r="M16" s="813">
        <f t="shared" si="3"/>
        <v>17435.572139303484</v>
      </c>
      <c r="N16" s="813">
        <f t="shared" si="1"/>
        <v>498430.32112113689</v>
      </c>
      <c r="O16" s="724">
        <f t="shared" si="4"/>
        <v>554166.66666666674</v>
      </c>
      <c r="P16" s="724">
        <f>(VLOOKUP(A16,'1920 Funding Detail'!$A$4:$AN$23,38,FALSE)*5/12)*K16</f>
        <v>190160.06529275837</v>
      </c>
      <c r="Q16" s="42"/>
      <c r="R16" s="42">
        <f t="shared" si="2"/>
        <v>0</v>
      </c>
      <c r="S16" s="978"/>
      <c r="T16" s="808"/>
      <c r="U16" s="808"/>
      <c r="V16" s="808"/>
      <c r="W16" s="808"/>
      <c r="X16" s="808"/>
      <c r="Y16" s="808"/>
      <c r="Z16" s="808"/>
      <c r="AV16" s="34"/>
      <c r="AW16" s="34"/>
      <c r="AZ16" s="34"/>
      <c r="BA16" s="34"/>
      <c r="BB16" s="34"/>
    </row>
    <row r="17" spans="1:23" s="34" customFormat="1" x14ac:dyDescent="0.25">
      <c r="A17" s="185">
        <v>9257029</v>
      </c>
      <c r="B17" s="915" t="s">
        <v>848</v>
      </c>
      <c r="C17" s="39">
        <v>3</v>
      </c>
      <c r="D17" s="812">
        <f>VLOOKUP(A17,'1920 Band Moderations'!$A$181:$R$198,6,(FALSE))</f>
        <v>0</v>
      </c>
      <c r="E17" s="812">
        <f>VLOOKUP(A17,'1920 Band Moderations'!$A$181:$R$198,8,(FALSE))</f>
        <v>0</v>
      </c>
      <c r="F17" s="812">
        <f>VLOOKUP(A17,'1920 Band Moderations'!$A$181:$R$198,10,(FALSE))</f>
        <v>1</v>
      </c>
      <c r="G17" s="812">
        <f>VLOOKUP(A17,'1920 Band Moderations'!$A$181:$R$198,12,(FALSE))</f>
        <v>0</v>
      </c>
      <c r="H17" s="812">
        <f>VLOOKUP(A17,'1920 Band Moderations'!$A$181:$R$198,14,(FALSE))</f>
        <v>0</v>
      </c>
      <c r="I17" s="812">
        <f>VLOOKUP(A17,'1920 Band Moderations'!$A$181:$R$198,16,(FALSE))</f>
        <v>0</v>
      </c>
      <c r="J17" s="812">
        <f>VLOOKUP(A17,'1920 Band Moderations'!$A$181:$R$198,18,(FALSE))</f>
        <v>0</v>
      </c>
      <c r="K17" s="524">
        <v>41</v>
      </c>
      <c r="L17" s="813">
        <f t="shared" si="0"/>
        <v>192416.62708523564</v>
      </c>
      <c r="M17" s="813">
        <f t="shared" si="3"/>
        <v>45014.583333333336</v>
      </c>
      <c r="N17" s="813">
        <f t="shared" si="1"/>
        <v>237431.21041856898</v>
      </c>
      <c r="O17" s="724">
        <f t="shared" si="4"/>
        <v>170833.33333333334</v>
      </c>
      <c r="P17" s="724">
        <f>(VLOOKUP(A17,'1920 Funding Detail'!$A$4:$AN$23,38,FALSE)*5/12)*K17</f>
        <v>196593.24198534037</v>
      </c>
      <c r="Q17" s="42"/>
      <c r="R17" s="42">
        <f t="shared" si="2"/>
        <v>0</v>
      </c>
      <c r="S17" s="978"/>
      <c r="T17" s="625"/>
      <c r="W17" s="42"/>
    </row>
    <row r="18" spans="1:23" s="34" customFormat="1" x14ac:dyDescent="0.25">
      <c r="A18" s="185">
        <v>9257032</v>
      </c>
      <c r="B18" s="38" t="s">
        <v>100</v>
      </c>
      <c r="C18" s="39">
        <v>4</v>
      </c>
      <c r="D18" s="812">
        <f>VLOOKUP(A18,'1920 Band Moderations'!$A$181:$R$198,6,(FALSE))</f>
        <v>0</v>
      </c>
      <c r="E18" s="812">
        <f>VLOOKUP(A18,'1920 Band Moderations'!$A$181:$R$198,8,(FALSE))</f>
        <v>0</v>
      </c>
      <c r="F18" s="812">
        <f>VLOOKUP(A18,'1920 Band Moderations'!$A$181:$R$198,10,(FALSE))</f>
        <v>1</v>
      </c>
      <c r="G18" s="812">
        <f>VLOOKUP(A18,'1920 Band Moderations'!$A$181:$R$198,12,(FALSE))</f>
        <v>0</v>
      </c>
      <c r="H18" s="812">
        <f>VLOOKUP(A18,'1920 Band Moderations'!$A$181:$R$198,14,(FALSE))</f>
        <v>0</v>
      </c>
      <c r="I18" s="812">
        <f>VLOOKUP(A18,'1920 Band Moderations'!$A$181:$R$198,16,(FALSE))</f>
        <v>0</v>
      </c>
      <c r="J18" s="812">
        <f>VLOOKUP(A18,'1920 Band Moderations'!$A$181:$R$198,18,(FALSE))</f>
        <v>0</v>
      </c>
      <c r="K18" s="524">
        <v>72</v>
      </c>
      <c r="L18" s="813">
        <f t="shared" si="0"/>
        <v>337902.36951553577</v>
      </c>
      <c r="M18" s="813">
        <f t="shared" si="3"/>
        <v>79050</v>
      </c>
      <c r="N18" s="813">
        <f t="shared" si="1"/>
        <v>416952.36951553577</v>
      </c>
      <c r="O18" s="724">
        <f t="shared" si="4"/>
        <v>300000</v>
      </c>
      <c r="P18" s="724">
        <f>(VLOOKUP(A18,'1920 Funding Detail'!$A$4:$AN$23,38,FALSE)*5/12)*K18</f>
        <v>311815.42503160075</v>
      </c>
      <c r="Q18" s="42"/>
      <c r="R18" s="42">
        <f t="shared" si="2"/>
        <v>0</v>
      </c>
      <c r="S18" s="168"/>
      <c r="W18" s="42"/>
    </row>
    <row r="19" spans="1:23" s="34" customFormat="1" x14ac:dyDescent="0.25">
      <c r="A19" s="185">
        <v>9257030</v>
      </c>
      <c r="B19" s="38" t="s">
        <v>92</v>
      </c>
      <c r="C19" s="39">
        <v>4</v>
      </c>
      <c r="D19" s="812">
        <f>VLOOKUP(A19,'1920 Band Moderations'!$A$181:$R$198,6,(FALSE))</f>
        <v>0</v>
      </c>
      <c r="E19" s="812">
        <f>VLOOKUP(A19,'1920 Band Moderations'!$A$181:$R$198,8,(FALSE))</f>
        <v>0</v>
      </c>
      <c r="F19" s="812">
        <f>VLOOKUP(A19,'1920 Band Moderations'!$A$181:$R$198,10,(FALSE))</f>
        <v>1</v>
      </c>
      <c r="G19" s="812">
        <f>VLOOKUP(A19,'1920 Band Moderations'!$A$181:$R$198,12,(FALSE))</f>
        <v>0</v>
      </c>
      <c r="H19" s="812">
        <f>VLOOKUP(A19,'1920 Band Moderations'!$A$181:$R$198,14,(FALSE))</f>
        <v>0</v>
      </c>
      <c r="I19" s="812">
        <f>VLOOKUP(A19,'1920 Band Moderations'!$A$181:$R$198,16,(FALSE))</f>
        <v>0</v>
      </c>
      <c r="J19" s="812">
        <f>VLOOKUP(A19,'1920 Band Moderations'!$A$181:$R$198,18,(FALSE))</f>
        <v>0</v>
      </c>
      <c r="K19" s="524">
        <v>70</v>
      </c>
      <c r="L19" s="813">
        <f t="shared" si="0"/>
        <v>328516.19258454861</v>
      </c>
      <c r="M19" s="813">
        <f t="shared" si="3"/>
        <v>76854.166666666672</v>
      </c>
      <c r="N19" s="813">
        <f t="shared" si="1"/>
        <v>405370.3592512153</v>
      </c>
      <c r="O19" s="724">
        <f t="shared" si="4"/>
        <v>291666.66666666669</v>
      </c>
      <c r="P19" s="724">
        <f>(VLOOKUP(A19,'1920 Funding Detail'!$A$4:$AN$23,38,FALSE)*5/12)*K19</f>
        <v>302503.2388442427</v>
      </c>
      <c r="Q19" s="42"/>
      <c r="R19" s="42">
        <f t="shared" si="2"/>
        <v>0</v>
      </c>
      <c r="S19" s="168"/>
      <c r="W19" s="42"/>
    </row>
    <row r="20" spans="1:23" s="34" customFormat="1" x14ac:dyDescent="0.25">
      <c r="A20" s="185">
        <v>9257028</v>
      </c>
      <c r="B20" s="38" t="s">
        <v>77</v>
      </c>
      <c r="C20" s="39">
        <v>5</v>
      </c>
      <c r="D20" s="812">
        <f>VLOOKUP(A20,'1920 Band Moderations'!$A$181:$R$198,6,(FALSE))</f>
        <v>6.9767441860465115E-2</v>
      </c>
      <c r="E20" s="812">
        <f>VLOOKUP(A20,'1920 Band Moderations'!$A$181:$R$198,8,(FALSE))</f>
        <v>0.27906976744186046</v>
      </c>
      <c r="F20" s="812">
        <f>VLOOKUP(A20,'1920 Band Moderations'!$A$181:$R$198,10,(FALSE))</f>
        <v>3.4883720930232558E-2</v>
      </c>
      <c r="G20" s="812">
        <f>VLOOKUP(A20,'1920 Band Moderations'!$A$181:$R$198,12,(FALSE))</f>
        <v>0.12790697674418605</v>
      </c>
      <c r="H20" s="812">
        <f>VLOOKUP(A20,'1920 Band Moderations'!$A$181:$R$198,14,(FALSE))</f>
        <v>0.18604651162790697</v>
      </c>
      <c r="I20" s="812">
        <f>VLOOKUP(A20,'1920 Band Moderations'!$A$181:$R$198,16,(FALSE))</f>
        <v>0.16279069767441862</v>
      </c>
      <c r="J20" s="812">
        <f>VLOOKUP(A20,'1920 Band Moderations'!$A$181:$R$198,18,(FALSE))</f>
        <v>0.13953488372093023</v>
      </c>
      <c r="K20" s="524">
        <v>66</v>
      </c>
      <c r="L20" s="813">
        <f t="shared" si="0"/>
        <v>348124.14327617787</v>
      </c>
      <c r="M20" s="813">
        <f t="shared" si="3"/>
        <v>2527.7616279069771</v>
      </c>
      <c r="N20" s="813">
        <f t="shared" si="1"/>
        <v>350651.90490408486</v>
      </c>
      <c r="O20" s="724">
        <f t="shared" si="4"/>
        <v>275000</v>
      </c>
      <c r="P20" s="724">
        <f>(VLOOKUP(A20,'1920 Funding Detail'!$A$4:$AN$23,38,FALSE)*5/12)*K20</f>
        <v>234539.31490408484</v>
      </c>
      <c r="Q20" s="42"/>
      <c r="R20" s="42">
        <f t="shared" si="2"/>
        <v>86386.136621071637</v>
      </c>
      <c r="S20" s="168"/>
      <c r="W20" s="42"/>
    </row>
    <row r="21" spans="1:23" s="34" customFormat="1" x14ac:dyDescent="0.25">
      <c r="A21" s="185">
        <v>9257021</v>
      </c>
      <c r="B21" s="38" t="s">
        <v>78</v>
      </c>
      <c r="C21" s="39">
        <v>5</v>
      </c>
      <c r="D21" s="812">
        <f>VLOOKUP(A21,'1920 Band Moderations'!$A$181:$R$198,6,(FALSE))</f>
        <v>0.27777777777777779</v>
      </c>
      <c r="E21" s="812">
        <f>VLOOKUP(A21,'1920 Band Moderations'!$A$181:$R$198,8,(FALSE))</f>
        <v>0.35185185185185186</v>
      </c>
      <c r="F21" s="812">
        <f>VLOOKUP(A21,'1920 Band Moderations'!$A$181:$R$198,10,(FALSE))</f>
        <v>9.8765432098765427E-2</v>
      </c>
      <c r="G21" s="812">
        <f>VLOOKUP(A21,'1920 Band Moderations'!$A$181:$R$198,12,(FALSE))</f>
        <v>4.3209876543209874E-2</v>
      </c>
      <c r="H21" s="812">
        <f>VLOOKUP(A21,'1920 Band Moderations'!$A$181:$R$198,14,(FALSE))</f>
        <v>7.407407407407407E-2</v>
      </c>
      <c r="I21" s="812">
        <f>VLOOKUP(A21,'1920 Band Moderations'!$A$181:$R$198,16,(FALSE))</f>
        <v>0.14814814814814814</v>
      </c>
      <c r="J21" s="812">
        <f>VLOOKUP(A21,'1920 Band Moderations'!$A$181:$R$198,18,(FALSE))</f>
        <v>6.1728395061728392E-3</v>
      </c>
      <c r="K21" s="524">
        <v>155</v>
      </c>
      <c r="L21" s="813">
        <f t="shared" si="0"/>
        <v>587411.34428256727</v>
      </c>
      <c r="M21" s="813">
        <f t="shared" si="3"/>
        <v>16807.613168724278</v>
      </c>
      <c r="N21" s="813">
        <f t="shared" si="1"/>
        <v>604218.9574512915</v>
      </c>
      <c r="O21" s="724">
        <f t="shared" si="4"/>
        <v>645833.33333333337</v>
      </c>
      <c r="P21" s="724">
        <f>(VLOOKUP(A21,'1920 Funding Detail'!$A$4:$AN$23,38,FALSE)*5/12)*K21</f>
        <v>196313.2751571734</v>
      </c>
      <c r="Q21" s="42"/>
      <c r="R21" s="42">
        <f t="shared" si="2"/>
        <v>8974.990656245207</v>
      </c>
      <c r="S21" s="168"/>
      <c r="W21" s="42"/>
    </row>
    <row r="22" spans="1:23" s="34" customFormat="1" x14ac:dyDescent="0.25">
      <c r="A22" s="185">
        <v>9257015</v>
      </c>
      <c r="B22" s="38" t="s">
        <v>55</v>
      </c>
      <c r="C22" s="39">
        <v>6</v>
      </c>
      <c r="D22" s="812">
        <f>VLOOKUP(A22,'1920 Band Moderations'!$A$181:$R$198,6,(FALSE))</f>
        <v>0.43037974683544306</v>
      </c>
      <c r="E22" s="812">
        <f>VLOOKUP(A22,'1920 Band Moderations'!$A$181:$R$198,8,(FALSE))</f>
        <v>0.27004219409282698</v>
      </c>
      <c r="F22" s="812">
        <f>VLOOKUP(A22,'1920 Band Moderations'!$A$181:$R$198,10,(FALSE))</f>
        <v>2.9535864978902954E-2</v>
      </c>
      <c r="G22" s="812">
        <f>VLOOKUP(A22,'1920 Band Moderations'!$A$181:$R$198,12,(FALSE))</f>
        <v>6.3291139240506333E-2</v>
      </c>
      <c r="H22" s="812">
        <f>VLOOKUP(A22,'1920 Band Moderations'!$A$181:$R$198,14,(FALSE))</f>
        <v>5.9071729957805907E-2</v>
      </c>
      <c r="I22" s="812">
        <f>VLOOKUP(A22,'1920 Band Moderations'!$A$181:$R$198,16,(FALSE))</f>
        <v>0.13924050632911392</v>
      </c>
      <c r="J22" s="812">
        <f>VLOOKUP(A22,'1920 Band Moderations'!$A$181:$R$198,18,(FALSE))</f>
        <v>8.4388185654008432E-3</v>
      </c>
      <c r="K22" s="524">
        <v>217</v>
      </c>
      <c r="L22" s="813">
        <f t="shared" si="0"/>
        <v>779631.46659690177</v>
      </c>
      <c r="M22" s="813">
        <f t="shared" si="3"/>
        <v>7036.858298171589</v>
      </c>
      <c r="N22" s="813">
        <f t="shared" si="1"/>
        <v>786668.32489507331</v>
      </c>
      <c r="O22" s="724">
        <f t="shared" si="4"/>
        <v>904166.66666666674</v>
      </c>
      <c r="P22" s="724">
        <f>(VLOOKUP(A22,'1920 Funding Detail'!$A$4:$AN$23,38,FALSE)*5/12)*K22</f>
        <v>115901.39903723021</v>
      </c>
      <c r="Q22" s="42"/>
      <c r="R22" s="42">
        <f t="shared" si="2"/>
        <v>17177.450471193355</v>
      </c>
      <c r="S22" s="168"/>
      <c r="W22" s="42"/>
    </row>
    <row r="23" spans="1:23" s="34" customFormat="1" x14ac:dyDescent="0.25">
      <c r="A23" s="185">
        <v>9257016</v>
      </c>
      <c r="B23" s="38" t="s">
        <v>80</v>
      </c>
      <c r="C23" s="39">
        <v>6</v>
      </c>
      <c r="D23" s="812">
        <f>VLOOKUP(A23,'1920 Band Moderations'!$A$181:$R$198,6,(FALSE))</f>
        <v>0.16911764705882354</v>
      </c>
      <c r="E23" s="812">
        <f>VLOOKUP(A23,'1920 Band Moderations'!$A$181:$R$198,8,(FALSE))</f>
        <v>0.11764705882352941</v>
      </c>
      <c r="F23" s="812">
        <f>VLOOKUP(A23,'1920 Band Moderations'!$A$181:$R$198,10,(FALSE))</f>
        <v>7.3529411764705881E-3</v>
      </c>
      <c r="G23" s="812">
        <f>VLOOKUP(A23,'1920 Band Moderations'!$A$181:$R$198,12,(FALSE))</f>
        <v>0.20588235294117646</v>
      </c>
      <c r="H23" s="812">
        <f>VLOOKUP(A23,'1920 Band Moderations'!$A$181:$R$198,14,(FALSE))</f>
        <v>0.23529411764705882</v>
      </c>
      <c r="I23" s="812">
        <f>VLOOKUP(A23,'1920 Band Moderations'!$A$181:$R$198,16,(FALSE))</f>
        <v>7.3529411764705881E-3</v>
      </c>
      <c r="J23" s="812">
        <f>VLOOKUP(A23,'1920 Band Moderations'!$A$181:$R$198,18,(FALSE))</f>
        <v>0.25735294117647056</v>
      </c>
      <c r="K23" s="524">
        <v>83</v>
      </c>
      <c r="L23" s="813">
        <f t="shared" si="0"/>
        <v>482042.68299447926</v>
      </c>
      <c r="M23" s="813">
        <f t="shared" si="3"/>
        <v>670.05208333333326</v>
      </c>
      <c r="N23" s="813">
        <f t="shared" si="1"/>
        <v>482712.73507781257</v>
      </c>
      <c r="O23" s="724">
        <f t="shared" si="4"/>
        <v>345833.33333333337</v>
      </c>
      <c r="P23" s="724">
        <f>(VLOOKUP(A23,'1920 Funding Detail'!$A$4:$AN$23,38,FALSE)*5/12)*K23</f>
        <v>280857.84931286826</v>
      </c>
      <c r="Q23" s="628" t="s">
        <v>402</v>
      </c>
      <c r="R23" s="42">
        <f t="shared" si="2"/>
        <v>200366.24064210418</v>
      </c>
      <c r="S23" s="168"/>
      <c r="W23" s="42"/>
    </row>
    <row r="24" spans="1:23" s="34" customFormat="1" x14ac:dyDescent="0.25">
      <c r="A24" s="75"/>
      <c r="B24" s="50"/>
      <c r="C24" s="61"/>
      <c r="D24" s="49"/>
      <c r="E24" s="49"/>
      <c r="G24" s="628"/>
      <c r="H24" s="49"/>
      <c r="I24" s="49"/>
      <c r="J24" s="628"/>
      <c r="K24" s="628"/>
      <c r="L24" s="168"/>
      <c r="M24" s="628" t="s">
        <v>402</v>
      </c>
      <c r="N24" s="80"/>
      <c r="O24" s="80"/>
      <c r="P24" s="80"/>
      <c r="Q24" s="628" t="s">
        <v>402</v>
      </c>
      <c r="R24" s="168"/>
      <c r="S24" s="168"/>
    </row>
    <row r="25" spans="1:23" s="34" customFormat="1" ht="13" x14ac:dyDescent="0.3">
      <c r="A25" s="230" t="s">
        <v>855</v>
      </c>
      <c r="B25" s="50"/>
      <c r="C25" s="61"/>
      <c r="D25" s="49"/>
      <c r="E25" s="49"/>
      <c r="G25" s="49"/>
      <c r="H25" s="49"/>
      <c r="I25" s="49"/>
      <c r="J25" s="49"/>
      <c r="K25" s="168"/>
      <c r="L25" s="168"/>
      <c r="M25" s="168"/>
      <c r="N25" s="80"/>
      <c r="O25" s="80"/>
      <c r="P25" s="80"/>
      <c r="Q25" s="80"/>
      <c r="R25" s="168"/>
      <c r="S25" s="168"/>
    </row>
    <row r="26" spans="1:23" s="34" customFormat="1" x14ac:dyDescent="0.25">
      <c r="A26" s="75"/>
      <c r="B26" s="50"/>
      <c r="C26" s="61"/>
      <c r="D26" s="49"/>
      <c r="E26" s="49"/>
      <c r="G26" s="49"/>
      <c r="H26" s="49"/>
      <c r="I26" s="49"/>
      <c r="J26" s="49"/>
      <c r="K26" s="231" t="s">
        <v>693</v>
      </c>
      <c r="L26" s="168"/>
      <c r="M26" s="168"/>
      <c r="N26" s="80"/>
      <c r="O26" s="1893" t="s">
        <v>332</v>
      </c>
      <c r="P26" s="1894"/>
      <c r="Q26" s="80"/>
      <c r="R26" s="168"/>
      <c r="S26" s="168"/>
    </row>
    <row r="27" spans="1:23" s="34" customFormat="1" ht="37.5" x14ac:dyDescent="0.25">
      <c r="A27" s="183" t="s">
        <v>201</v>
      </c>
      <c r="B27" s="36" t="s">
        <v>66</v>
      </c>
      <c r="C27" s="39" t="s">
        <v>51</v>
      </c>
      <c r="D27" s="939" t="s">
        <v>858</v>
      </c>
      <c r="E27" s="939" t="s">
        <v>859</v>
      </c>
      <c r="F27" s="939" t="s">
        <v>860</v>
      </c>
      <c r="G27" s="939" t="s">
        <v>861</v>
      </c>
      <c r="H27" s="939" t="s">
        <v>862</v>
      </c>
      <c r="I27" s="939" t="s">
        <v>863</v>
      </c>
      <c r="J27" s="939" t="s">
        <v>864</v>
      </c>
      <c r="K27" s="941" t="s">
        <v>185</v>
      </c>
      <c r="L27" s="941" t="s">
        <v>288</v>
      </c>
      <c r="M27" s="941" t="s">
        <v>388</v>
      </c>
      <c r="N27" s="941" t="s">
        <v>288</v>
      </c>
      <c r="O27" s="252" t="s">
        <v>330</v>
      </c>
      <c r="P27" s="694" t="s">
        <v>339</v>
      </c>
      <c r="Q27" s="941"/>
      <c r="R27" s="941"/>
      <c r="S27" s="252"/>
    </row>
    <row r="28" spans="1:23" s="34" customFormat="1" x14ac:dyDescent="0.25">
      <c r="A28" s="185">
        <v>9257010</v>
      </c>
      <c r="B28" s="38" t="s">
        <v>67</v>
      </c>
      <c r="C28" s="39">
        <v>4</v>
      </c>
      <c r="D28" s="812">
        <f>VLOOKUP(A28,'1920 Band Moderations'!$A$181:$R$198,6,(FALSE))</f>
        <v>0.05</v>
      </c>
      <c r="E28" s="812">
        <f>VLOOKUP(A28,'1920 Band Moderations'!$A$181:$R$198,8,(FALSE))</f>
        <v>0.35</v>
      </c>
      <c r="F28" s="812">
        <f>VLOOKUP(A28,'1920 Band Moderations'!$A$181:$R$198,10,(FALSE))</f>
        <v>6.6666666666666666E-2</v>
      </c>
      <c r="G28" s="812">
        <f>VLOOKUP(A28,'1920 Band Moderations'!$A$181:$R$198,12,(FALSE))</f>
        <v>0.15</v>
      </c>
      <c r="H28" s="812">
        <f>VLOOKUP(A28,'1920 Band Moderations'!$A$181:$R$198,14,(FALSE))</f>
        <v>0.05</v>
      </c>
      <c r="I28" s="812">
        <f>VLOOKUP(A28,'1920 Band Moderations'!$A$181:$R$198,16,(FALSE))</f>
        <v>0.21666666666666667</v>
      </c>
      <c r="J28" s="812">
        <f>VLOOKUP(A28,'1920 Band Moderations'!$A$181:$R$198,18,(FALSE))</f>
        <v>0.11666666666666667</v>
      </c>
      <c r="K28" s="524">
        <v>11</v>
      </c>
      <c r="L28" s="813">
        <f>((((K28*D28)*$G$92)+((K28*E28)*$G$94)+((K28*F28)*$G$96)+((K28*G28)*$G$98)+((K28*H28)*$G$100)+((K28*I28)*$G$102)+((K28*J28)*$G$104)))*(4/12)</f>
        <v>44288.948263357845</v>
      </c>
      <c r="M28" s="813">
        <f t="shared" ref="M28:M45" si="5">((K28*F28)*$G$106)*(4/12)</f>
        <v>644.11111111111109</v>
      </c>
      <c r="N28" s="813">
        <f>SUM(L28:M28)</f>
        <v>44933.059374468954</v>
      </c>
      <c r="O28" s="724">
        <f>(K28*(4/12))*10000</f>
        <v>36666.666666666664</v>
      </c>
      <c r="P28" s="724">
        <f>(VLOOKUP(A28,'1920 Funding Detail'!$A$4:$AN$23,38,FALSE)*4/12)*K28</f>
        <v>37525.498580934815</v>
      </c>
      <c r="Q28" s="80"/>
      <c r="R28" s="42">
        <f t="shared" ref="R28:R45" si="6">(J28*K28*$G$104)*4/12</f>
        <v>9630.454489978727</v>
      </c>
      <c r="S28" s="233"/>
      <c r="T28" s="80"/>
      <c r="U28" s="42"/>
      <c r="V28" s="626"/>
      <c r="W28" s="625"/>
    </row>
    <row r="29" spans="1:23" s="34" customFormat="1" x14ac:dyDescent="0.25">
      <c r="A29" s="185">
        <v>9257005</v>
      </c>
      <c r="B29" s="38" t="s">
        <v>68</v>
      </c>
      <c r="C29" s="39">
        <v>4</v>
      </c>
      <c r="D29" s="812">
        <f>VLOOKUP(A29,'1920 Band Moderations'!$A$181:$R$198,6,(FALSE))</f>
        <v>0.10810810810810811</v>
      </c>
      <c r="E29" s="812">
        <f>VLOOKUP(A29,'1920 Band Moderations'!$A$181:$R$198,8,(FALSE))</f>
        <v>0.22972972972972974</v>
      </c>
      <c r="F29" s="812">
        <f>VLOOKUP(A29,'1920 Band Moderations'!$A$181:$R$198,10,(FALSE))</f>
        <v>0.12162162162162163</v>
      </c>
      <c r="G29" s="812">
        <f>VLOOKUP(A29,'1920 Band Moderations'!$A$181:$R$198,12,(FALSE))</f>
        <v>0.14864864864864866</v>
      </c>
      <c r="H29" s="812">
        <f>VLOOKUP(A29,'1920 Band Moderations'!$A$181:$R$198,14,(FALSE))</f>
        <v>0.13513513513513514</v>
      </c>
      <c r="I29" s="812">
        <f>VLOOKUP(A29,'1920 Band Moderations'!$A$181:$R$198,16,(FALSE))</f>
        <v>0.17567567567567569</v>
      </c>
      <c r="J29" s="812">
        <f>VLOOKUP(A29,'1920 Band Moderations'!$A$181:$R$198,18,(FALSE))</f>
        <v>8.1081081081081086E-2</v>
      </c>
      <c r="K29" s="524">
        <v>29</v>
      </c>
      <c r="L29" s="813">
        <f t="shared" ref="L29:L45" si="7">((((K29*D29)*$G$92)+((K29*E29)*$G$94)+((K29*F29)*$G$96)+((K29*G29)*$G$98)+((K29*H29)*$G$100)+((K29*I29)*$G$102)+((K29*J29)*$G$104)))*(4/12)</f>
        <v>115733.37730445617</v>
      </c>
      <c r="M29" s="813">
        <f t="shared" si="5"/>
        <v>3097.9054054054054</v>
      </c>
      <c r="N29" s="813">
        <f>SUM(L29:M29)</f>
        <v>118831.28270986157</v>
      </c>
      <c r="O29" s="724">
        <f>(K29*(4/12))*10000</f>
        <v>96666.666666666657</v>
      </c>
      <c r="P29" s="724">
        <f>(VLOOKUP(A29,'1920 Funding Detail'!$A$4:$AN$23,38,FALSE)*4/12)*K29</f>
        <v>82997.869260672131</v>
      </c>
      <c r="Q29" s="80"/>
      <c r="R29" s="42">
        <f t="shared" si="6"/>
        <v>17645.128970757793</v>
      </c>
      <c r="S29" s="233"/>
      <c r="T29" s="80"/>
      <c r="U29" s="42"/>
      <c r="V29" s="42"/>
    </row>
    <row r="30" spans="1:23" s="34" customFormat="1" x14ac:dyDescent="0.25">
      <c r="A30" s="185">
        <v>9257025</v>
      </c>
      <c r="B30" s="38" t="s">
        <v>69</v>
      </c>
      <c r="C30" s="39">
        <v>4</v>
      </c>
      <c r="D30" s="812">
        <f>VLOOKUP(A30,'1920 Band Moderations'!$A$181:$R$198,6,(FALSE))</f>
        <v>0.22972972972972974</v>
      </c>
      <c r="E30" s="812">
        <f>VLOOKUP(A30,'1920 Band Moderations'!$A$181:$R$198,8,(FALSE))</f>
        <v>0.29729729729729731</v>
      </c>
      <c r="F30" s="812">
        <f>VLOOKUP(A30,'1920 Band Moderations'!$A$181:$R$198,10,(FALSE))</f>
        <v>0.12162162162162163</v>
      </c>
      <c r="G30" s="812">
        <f>VLOOKUP(A30,'1920 Band Moderations'!$A$181:$R$198,12,(FALSE))</f>
        <v>0.12162162162162163</v>
      </c>
      <c r="H30" s="812">
        <f>VLOOKUP(A30,'1920 Band Moderations'!$A$181:$R$198,14,(FALSE))</f>
        <v>8.1081081081081086E-2</v>
      </c>
      <c r="I30" s="812">
        <f>VLOOKUP(A30,'1920 Band Moderations'!$A$181:$R$198,16,(FALSE))</f>
        <v>0.10810810810810811</v>
      </c>
      <c r="J30" s="812">
        <f>VLOOKUP(A30,'1920 Band Moderations'!$A$181:$R$198,18,(FALSE))</f>
        <v>4.0540540540540543E-2</v>
      </c>
      <c r="K30" s="524">
        <v>19</v>
      </c>
      <c r="L30" s="813">
        <f t="shared" si="7"/>
        <v>63831.783421322209</v>
      </c>
      <c r="M30" s="813">
        <f t="shared" si="5"/>
        <v>2029.6621621621621</v>
      </c>
      <c r="N30" s="813">
        <f t="shared" ref="N30:N45" si="8">SUM(L30:M30)</f>
        <v>65861.445583484368</v>
      </c>
      <c r="O30" s="724">
        <f t="shared" ref="O30:O45" si="9">(K30*(4/12))*10000</f>
        <v>63333.333333333328</v>
      </c>
      <c r="P30" s="724">
        <f>(VLOOKUP(A30,'1920 Funding Detail'!$A$4:$AN$23,38,FALSE)*4/12)*K30</f>
        <v>45760.069383391121</v>
      </c>
      <c r="Q30" s="80"/>
      <c r="R30" s="42">
        <f t="shared" si="6"/>
        <v>5780.3008697310006</v>
      </c>
      <c r="S30" s="233"/>
      <c r="T30" s="80"/>
      <c r="U30" s="42"/>
      <c r="V30" s="42"/>
    </row>
    <row r="31" spans="1:23" s="34" customFormat="1" x14ac:dyDescent="0.25">
      <c r="A31" s="185">
        <v>9257011</v>
      </c>
      <c r="B31" s="38" t="s">
        <v>70</v>
      </c>
      <c r="C31" s="39">
        <v>4</v>
      </c>
      <c r="D31" s="812">
        <f>VLOOKUP(A31,'1920 Band Moderations'!$A$181:$R$198,6,(FALSE))</f>
        <v>7.2727272727272724E-2</v>
      </c>
      <c r="E31" s="812">
        <f>VLOOKUP(A31,'1920 Band Moderations'!$A$181:$R$198,8,(FALSE))</f>
        <v>0.27272727272727271</v>
      </c>
      <c r="F31" s="812">
        <f>VLOOKUP(A31,'1920 Band Moderations'!$A$181:$R$198,10,(FALSE))</f>
        <v>3.6363636363636362E-2</v>
      </c>
      <c r="G31" s="812">
        <f>VLOOKUP(A31,'1920 Band Moderations'!$A$181:$R$198,12,(FALSE))</f>
        <v>0.23636363636363636</v>
      </c>
      <c r="H31" s="812">
        <f>VLOOKUP(A31,'1920 Band Moderations'!$A$181:$R$198,14,(FALSE))</f>
        <v>0.14545454545454545</v>
      </c>
      <c r="I31" s="812">
        <f>VLOOKUP(A31,'1920 Band Moderations'!$A$181:$R$198,16,(FALSE))</f>
        <v>0.14545454545454545</v>
      </c>
      <c r="J31" s="812">
        <f>VLOOKUP(A31,'1920 Band Moderations'!$A$181:$R$198,18,(FALSE))</f>
        <v>9.0909090909090912E-2</v>
      </c>
      <c r="K31" s="524">
        <v>15</v>
      </c>
      <c r="L31" s="813">
        <f t="shared" si="7"/>
        <v>61235.951346955437</v>
      </c>
      <c r="M31" s="813">
        <f t="shared" si="5"/>
        <v>479.09090909090907</v>
      </c>
      <c r="N31" s="813">
        <f t="shared" si="8"/>
        <v>61715.042256046348</v>
      </c>
      <c r="O31" s="724">
        <f t="shared" si="9"/>
        <v>50000</v>
      </c>
      <c r="P31" s="724">
        <f>(VLOOKUP(A31,'1920 Funding Detail'!$A$4:$AN$23,38,FALSE)*4/12)*K31</f>
        <v>50073.55496791075</v>
      </c>
      <c r="Q31" s="80"/>
      <c r="R31" s="42">
        <f t="shared" si="6"/>
        <v>10233.068525361103</v>
      </c>
      <c r="S31" s="233"/>
      <c r="T31" s="80"/>
      <c r="U31" s="42"/>
      <c r="V31" s="42"/>
    </row>
    <row r="32" spans="1:23" s="34" customFormat="1" x14ac:dyDescent="0.25">
      <c r="A32" s="185">
        <v>9257024</v>
      </c>
      <c r="B32" s="38" t="s">
        <v>71</v>
      </c>
      <c r="C32" s="39">
        <v>3</v>
      </c>
      <c r="D32" s="812">
        <f>VLOOKUP(A32,'1920 Band Moderations'!$A$181:$R$198,6,(FALSE))</f>
        <v>0.10975609756097561</v>
      </c>
      <c r="E32" s="812">
        <f>VLOOKUP(A32,'1920 Band Moderations'!$A$181:$R$198,8,(FALSE))</f>
        <v>0.41463414634146339</v>
      </c>
      <c r="F32" s="812">
        <f>VLOOKUP(A32,'1920 Band Moderations'!$A$181:$R$198,10,(FALSE))</f>
        <v>2.4390243902439025E-2</v>
      </c>
      <c r="G32" s="812">
        <f>VLOOKUP(A32,'1920 Band Moderations'!$A$181:$R$198,12,(FALSE))</f>
        <v>0.13414634146341464</v>
      </c>
      <c r="H32" s="812">
        <f>VLOOKUP(A32,'1920 Band Moderations'!$A$181:$R$198,14,(FALSE))</f>
        <v>0.12195121951219512</v>
      </c>
      <c r="I32" s="812">
        <f>VLOOKUP(A32,'1920 Band Moderations'!$A$181:$R$198,16,(FALSE))</f>
        <v>7.3170731707317069E-2</v>
      </c>
      <c r="J32" s="812">
        <f>VLOOKUP(A32,'1920 Band Moderations'!$A$181:$R$198,18,(FALSE))</f>
        <v>0.12195121951219512</v>
      </c>
      <c r="K32" s="524">
        <v>11</v>
      </c>
      <c r="L32" s="813">
        <f t="shared" si="7"/>
        <v>40908.481135621187</v>
      </c>
      <c r="M32" s="813">
        <f t="shared" si="5"/>
        <v>235.65040650406505</v>
      </c>
      <c r="N32" s="813">
        <f t="shared" si="8"/>
        <v>41144.131542125251</v>
      </c>
      <c r="O32" s="724">
        <f t="shared" si="9"/>
        <v>36666.666666666664</v>
      </c>
      <c r="P32" s="724">
        <f>(VLOOKUP(A32,'1920 Funding Detail'!$A$4:$AN$23,38,FALSE)*4/12)*K32</f>
        <v>26771.887351290399</v>
      </c>
      <c r="Q32" s="80"/>
      <c r="R32" s="42">
        <f t="shared" si="6"/>
        <v>10066.677167225149</v>
      </c>
      <c r="S32" s="233"/>
      <c r="T32" s="80"/>
      <c r="U32" s="42"/>
      <c r="V32" s="42"/>
    </row>
    <row r="33" spans="1:54" x14ac:dyDescent="0.25">
      <c r="A33" s="185">
        <v>9257031</v>
      </c>
      <c r="B33" s="38" t="s">
        <v>98</v>
      </c>
      <c r="C33" s="39">
        <v>4</v>
      </c>
      <c r="D33" s="812">
        <f>VLOOKUP(A33,'1920 Band Moderations'!$A$181:$R$198,6,(FALSE))</f>
        <v>0</v>
      </c>
      <c r="E33" s="812">
        <f>VLOOKUP(A33,'1920 Band Moderations'!$A$181:$R$198,8,(FALSE))</f>
        <v>0</v>
      </c>
      <c r="F33" s="812">
        <f>VLOOKUP(A33,'1920 Band Moderations'!$A$181:$R$198,10,(FALSE))</f>
        <v>1</v>
      </c>
      <c r="G33" s="812">
        <f>VLOOKUP(A33,'1920 Band Moderations'!$A$181:$R$198,12,(FALSE))</f>
        <v>0</v>
      </c>
      <c r="H33" s="812">
        <f>VLOOKUP(A33,'1920 Band Moderations'!$A$181:$R$198,14,(FALSE))</f>
        <v>0</v>
      </c>
      <c r="I33" s="812">
        <f>VLOOKUP(A33,'1920 Band Moderations'!$A$181:$R$198,16,(FALSE))</f>
        <v>0</v>
      </c>
      <c r="J33" s="812">
        <f>VLOOKUP(A33,'1920 Band Moderations'!$A$181:$R$198,18,(FALSE))</f>
        <v>0</v>
      </c>
      <c r="K33" s="524">
        <v>0</v>
      </c>
      <c r="L33" s="813">
        <f t="shared" si="7"/>
        <v>0</v>
      </c>
      <c r="M33" s="813">
        <f t="shared" si="5"/>
        <v>0</v>
      </c>
      <c r="N33" s="813">
        <f t="shared" si="8"/>
        <v>0</v>
      </c>
      <c r="O33" s="724">
        <f t="shared" si="9"/>
        <v>0</v>
      </c>
      <c r="P33" s="724">
        <f>(VLOOKUP(A33,'1920 Funding Detail'!$A$4:$AN$23,38,FALSE)*4/12)*K33</f>
        <v>0</v>
      </c>
      <c r="Q33" s="80"/>
      <c r="R33" s="42">
        <f t="shared" si="6"/>
        <v>0</v>
      </c>
      <c r="S33" s="233"/>
      <c r="T33" s="80"/>
      <c r="U33" s="42"/>
      <c r="V33" s="42"/>
      <c r="AV33" s="34"/>
      <c r="AW33" s="34"/>
      <c r="AZ33" s="34"/>
      <c r="BA33" s="34"/>
      <c r="BB33" s="34"/>
    </row>
    <row r="34" spans="1:54" x14ac:dyDescent="0.25">
      <c r="A34" s="185">
        <v>9257033</v>
      </c>
      <c r="B34" s="38" t="s">
        <v>72</v>
      </c>
      <c r="C34" s="39">
        <v>3</v>
      </c>
      <c r="D34" s="812">
        <f>VLOOKUP(A34,'1920 Band Moderations'!$A$181:$R$198,6,(FALSE))</f>
        <v>0.20454545454545456</v>
      </c>
      <c r="E34" s="812">
        <f>VLOOKUP(A34,'1920 Band Moderations'!$A$181:$R$198,8,(FALSE))</f>
        <v>0.28409090909090912</v>
      </c>
      <c r="F34" s="812">
        <f>VLOOKUP(A34,'1920 Band Moderations'!$A$181:$R$198,10,(FALSE))</f>
        <v>0.19318181818181818</v>
      </c>
      <c r="G34" s="812">
        <f>VLOOKUP(A34,'1920 Band Moderations'!$A$181:$R$198,12,(FALSE))</f>
        <v>0.17045454545454544</v>
      </c>
      <c r="H34" s="812">
        <f>VLOOKUP(A34,'1920 Band Moderations'!$A$181:$R$198,14,(FALSE))</f>
        <v>7.9545454545454544E-2</v>
      </c>
      <c r="I34" s="812">
        <f>VLOOKUP(A34,'1920 Band Moderations'!$A$181:$R$198,16,(FALSE))</f>
        <v>6.8181818181818177E-2</v>
      </c>
      <c r="J34" s="812">
        <f>VLOOKUP(A34,'1920 Band Moderations'!$A$181:$R$198,18,(FALSE))</f>
        <v>0</v>
      </c>
      <c r="K34" s="524">
        <v>0</v>
      </c>
      <c r="L34" s="813">
        <f t="shared" si="7"/>
        <v>0</v>
      </c>
      <c r="M34" s="813">
        <f t="shared" si="5"/>
        <v>0</v>
      </c>
      <c r="N34" s="813">
        <f t="shared" si="8"/>
        <v>0</v>
      </c>
      <c r="O34" s="724">
        <f t="shared" si="9"/>
        <v>0</v>
      </c>
      <c r="P34" s="724">
        <f>(VLOOKUP(A34,'1920 Funding Detail'!$A$4:$AN$23,38,FALSE)*4/12)*K34</f>
        <v>0</v>
      </c>
      <c r="Q34" s="80"/>
      <c r="R34" s="42">
        <f t="shared" si="6"/>
        <v>0</v>
      </c>
      <c r="S34" s="233"/>
      <c r="T34" s="80"/>
      <c r="U34" s="42"/>
      <c r="V34" s="42"/>
      <c r="AV34" s="34"/>
      <c r="AW34" s="34"/>
      <c r="AZ34" s="34"/>
      <c r="BA34" s="34"/>
      <c r="BB34" s="34"/>
    </row>
    <row r="35" spans="1:54" x14ac:dyDescent="0.25">
      <c r="A35" s="185">
        <v>9257008</v>
      </c>
      <c r="B35" s="38" t="s">
        <v>73</v>
      </c>
      <c r="C35" s="39">
        <v>4</v>
      </c>
      <c r="D35" s="812">
        <f>VLOOKUP(A35,'1920 Band Moderations'!$A$181:$R$198,6,(FALSE))</f>
        <v>6.3157894736842107E-2</v>
      </c>
      <c r="E35" s="812">
        <f>VLOOKUP(A35,'1920 Band Moderations'!$A$181:$R$198,8,(FALSE))</f>
        <v>0.57894736842105265</v>
      </c>
      <c r="F35" s="812">
        <f>VLOOKUP(A35,'1920 Band Moderations'!$A$181:$R$198,10,(FALSE))</f>
        <v>0.10526315789473684</v>
      </c>
      <c r="G35" s="812">
        <f>VLOOKUP(A35,'1920 Band Moderations'!$A$181:$R$198,12,(FALSE))</f>
        <v>5.2631578947368418E-2</v>
      </c>
      <c r="H35" s="812">
        <f>VLOOKUP(A35,'1920 Band Moderations'!$A$181:$R$198,14,(FALSE))</f>
        <v>1.0526315789473684E-2</v>
      </c>
      <c r="I35" s="812">
        <f>VLOOKUP(A35,'1920 Band Moderations'!$A$181:$R$198,16,(FALSE))</f>
        <v>0.18947368421052632</v>
      </c>
      <c r="J35" s="812">
        <f>VLOOKUP(A35,'1920 Band Moderations'!$A$181:$R$198,18,(FALSE))</f>
        <v>0</v>
      </c>
      <c r="K35" s="524">
        <v>0</v>
      </c>
      <c r="L35" s="813">
        <f t="shared" si="7"/>
        <v>0</v>
      </c>
      <c r="M35" s="813">
        <f t="shared" si="5"/>
        <v>0</v>
      </c>
      <c r="N35" s="813">
        <f t="shared" si="8"/>
        <v>0</v>
      </c>
      <c r="O35" s="724">
        <f t="shared" si="9"/>
        <v>0</v>
      </c>
      <c r="P35" s="724">
        <f>(VLOOKUP(A35,'1920 Funding Detail'!$A$4:$AN$23,38,FALSE)*4/12)*K35</f>
        <v>0</v>
      </c>
      <c r="Q35" s="80"/>
      <c r="R35" s="42">
        <f t="shared" si="6"/>
        <v>0</v>
      </c>
      <c r="S35" s="233"/>
      <c r="T35" s="80"/>
      <c r="U35" s="42"/>
      <c r="V35" s="42"/>
      <c r="AV35" s="34"/>
      <c r="AW35" s="34"/>
      <c r="AZ35" s="34"/>
      <c r="BA35" s="34"/>
      <c r="BB35" s="34"/>
    </row>
    <row r="36" spans="1:54" x14ac:dyDescent="0.25">
      <c r="A36" s="185">
        <v>9257034</v>
      </c>
      <c r="B36" s="38" t="s">
        <v>74</v>
      </c>
      <c r="C36" s="39">
        <v>5</v>
      </c>
      <c r="D36" s="812">
        <f>VLOOKUP(A36,'1920 Band Moderations'!$A$181:$R$198,6,(FALSE))</f>
        <v>0.41964285714285715</v>
      </c>
      <c r="E36" s="812">
        <f>VLOOKUP(A36,'1920 Band Moderations'!$A$181:$R$198,8,(FALSE))</f>
        <v>0.26785714285714285</v>
      </c>
      <c r="F36" s="812">
        <f>VLOOKUP(A36,'1920 Band Moderations'!$A$181:$R$198,10,(FALSE))</f>
        <v>0.17857142857142858</v>
      </c>
      <c r="G36" s="812">
        <f>VLOOKUP(A36,'1920 Band Moderations'!$A$181:$R$198,12,(FALSE))</f>
        <v>4.4642857142857144E-2</v>
      </c>
      <c r="H36" s="812">
        <f>VLOOKUP(A36,'1920 Band Moderations'!$A$181:$R$198,14,(FALSE))</f>
        <v>3.5714285714285712E-2</v>
      </c>
      <c r="I36" s="812">
        <f>VLOOKUP(A36,'1920 Band Moderations'!$A$181:$R$198,16,(FALSE))</f>
        <v>4.4642857142857144E-2</v>
      </c>
      <c r="J36" s="812">
        <f>VLOOKUP(A36,'1920 Band Moderations'!$A$181:$R$198,18,(FALSE))</f>
        <v>8.9285714285714281E-3</v>
      </c>
      <c r="K36" s="524">
        <v>33</v>
      </c>
      <c r="L36" s="813">
        <f t="shared" si="7"/>
        <v>90641.957181014528</v>
      </c>
      <c r="M36" s="813">
        <f t="shared" si="5"/>
        <v>5175.8928571428569</v>
      </c>
      <c r="N36" s="813">
        <f t="shared" si="8"/>
        <v>95817.850038157383</v>
      </c>
      <c r="O36" s="724">
        <f t="shared" si="9"/>
        <v>110000</v>
      </c>
      <c r="P36" s="724">
        <f>(VLOOKUP(A36,'1920 Funding Detail'!$A$4:$AN$23,38,FALSE)*4/12)*K36</f>
        <v>39231.338793615119</v>
      </c>
      <c r="Q36" s="80"/>
      <c r="R36" s="42">
        <f t="shared" si="6"/>
        <v>2211.0737349440956</v>
      </c>
      <c r="S36" s="233"/>
      <c r="T36" s="80"/>
      <c r="U36" s="42"/>
      <c r="V36" s="42"/>
      <c r="AV36" s="34"/>
      <c r="AW36" s="34"/>
      <c r="AZ36" s="34"/>
      <c r="BA36" s="34"/>
      <c r="BB36" s="34"/>
    </row>
    <row r="37" spans="1:54" x14ac:dyDescent="0.25">
      <c r="A37" s="185">
        <v>9257002</v>
      </c>
      <c r="B37" s="38" t="s">
        <v>75</v>
      </c>
      <c r="C37" s="39">
        <v>5</v>
      </c>
      <c r="D37" s="812">
        <f>VLOOKUP(A37,'1920 Band Moderations'!$A$181:$R$198,6,(FALSE))</f>
        <v>0.46527777777777779</v>
      </c>
      <c r="E37" s="812">
        <f>VLOOKUP(A37,'1920 Band Moderations'!$A$181:$R$198,8,(FALSE))</f>
        <v>0.16666666666666666</v>
      </c>
      <c r="F37" s="812">
        <f>VLOOKUP(A37,'1920 Band Moderations'!$A$181:$R$198,10,(FALSE))</f>
        <v>0.1875</v>
      </c>
      <c r="G37" s="812">
        <f>VLOOKUP(A37,'1920 Band Moderations'!$A$181:$R$198,12,(FALSE))</f>
        <v>1.3888888888888888E-2</v>
      </c>
      <c r="H37" s="812">
        <f>VLOOKUP(A37,'1920 Band Moderations'!$A$181:$R$198,14,(FALSE))</f>
        <v>4.8611111111111112E-2</v>
      </c>
      <c r="I37" s="812">
        <f>VLOOKUP(A37,'1920 Band Moderations'!$A$181:$R$198,16,(FALSE))</f>
        <v>0.1111111111111111</v>
      </c>
      <c r="J37" s="812">
        <f>VLOOKUP(A37,'1920 Band Moderations'!$A$181:$R$198,18,(FALSE))</f>
        <v>6.9444444444444441E-3</v>
      </c>
      <c r="K37" s="524">
        <v>0</v>
      </c>
      <c r="L37" s="813">
        <f t="shared" si="7"/>
        <v>0</v>
      </c>
      <c r="M37" s="813">
        <f t="shared" si="5"/>
        <v>0</v>
      </c>
      <c r="N37" s="813">
        <f t="shared" si="8"/>
        <v>0</v>
      </c>
      <c r="O37" s="724">
        <f t="shared" si="9"/>
        <v>0</v>
      </c>
      <c r="P37" s="724">
        <f>(VLOOKUP(A37,'1920 Funding Detail'!$A$4:$AN$23,38,FALSE)*4/12)*K37</f>
        <v>0</v>
      </c>
      <c r="Q37" s="80"/>
      <c r="R37" s="42">
        <f t="shared" si="6"/>
        <v>0</v>
      </c>
      <c r="S37" s="233"/>
      <c r="T37" s="80"/>
      <c r="U37" s="42"/>
      <c r="V37" s="42"/>
      <c r="AV37" s="34"/>
      <c r="AW37" s="34"/>
      <c r="AZ37" s="34"/>
      <c r="BA37" s="34"/>
      <c r="BB37" s="34"/>
    </row>
    <row r="38" spans="1:54" x14ac:dyDescent="0.25">
      <c r="A38" s="185">
        <v>9257009</v>
      </c>
      <c r="B38" s="38" t="s">
        <v>76</v>
      </c>
      <c r="C38" s="39">
        <v>4</v>
      </c>
      <c r="D38" s="812">
        <f>VLOOKUP(A38,'1920 Band Moderations'!$A$181:$R$198,6,(FALSE))</f>
        <v>0.17910447761194029</v>
      </c>
      <c r="E38" s="812">
        <f>VLOOKUP(A38,'1920 Band Moderations'!$A$181:$R$198,8,(FALSE))</f>
        <v>0.5074626865671642</v>
      </c>
      <c r="F38" s="812">
        <f>VLOOKUP(A38,'1920 Band Moderations'!$A$181:$R$198,10,(FALSE))</f>
        <v>0.11940298507462686</v>
      </c>
      <c r="G38" s="812">
        <f>VLOOKUP(A38,'1920 Band Moderations'!$A$181:$R$198,12,(FALSE))</f>
        <v>1.4925373134328358E-2</v>
      </c>
      <c r="H38" s="812">
        <f>VLOOKUP(A38,'1920 Band Moderations'!$A$181:$R$198,14,(FALSE))</f>
        <v>3.7313432835820892E-2</v>
      </c>
      <c r="I38" s="812">
        <f>VLOOKUP(A38,'1920 Band Moderations'!$A$181:$R$198,16,(FALSE))</f>
        <v>0.1417910447761194</v>
      </c>
      <c r="J38" s="812">
        <f>VLOOKUP(A38,'1920 Band Moderations'!$A$181:$R$198,18,(FALSE))</f>
        <v>0</v>
      </c>
      <c r="K38" s="524">
        <v>0</v>
      </c>
      <c r="L38" s="813">
        <f t="shared" si="7"/>
        <v>0</v>
      </c>
      <c r="M38" s="813">
        <f t="shared" si="5"/>
        <v>0</v>
      </c>
      <c r="N38" s="813">
        <f t="shared" si="8"/>
        <v>0</v>
      </c>
      <c r="O38" s="724">
        <f t="shared" si="9"/>
        <v>0</v>
      </c>
      <c r="P38" s="724">
        <f>(VLOOKUP(A38,'1920 Funding Detail'!$A$4:$AN$23,38,FALSE)*4/12)*K38</f>
        <v>0</v>
      </c>
      <c r="Q38" s="80"/>
      <c r="R38" s="42">
        <f t="shared" si="6"/>
        <v>0</v>
      </c>
      <c r="S38" s="233"/>
      <c r="T38" s="80"/>
      <c r="U38" s="42"/>
      <c r="V38" s="42"/>
      <c r="AV38" s="34"/>
      <c r="AW38" s="34"/>
      <c r="AZ38" s="34"/>
      <c r="BA38" s="34"/>
      <c r="BB38" s="34"/>
    </row>
    <row r="39" spans="1:54" x14ac:dyDescent="0.25">
      <c r="A39" s="185">
        <v>9257029</v>
      </c>
      <c r="B39" s="915" t="s">
        <v>848</v>
      </c>
      <c r="C39" s="39">
        <v>3</v>
      </c>
      <c r="D39" s="812">
        <f>VLOOKUP(A39,'1920 Band Moderations'!$A$181:$R$198,6,(FALSE))</f>
        <v>0</v>
      </c>
      <c r="E39" s="812">
        <f>VLOOKUP(A39,'1920 Band Moderations'!$A$181:$R$198,8,(FALSE))</f>
        <v>0</v>
      </c>
      <c r="F39" s="812">
        <f>VLOOKUP(A39,'1920 Band Moderations'!$A$181:$R$198,10,(FALSE))</f>
        <v>1</v>
      </c>
      <c r="G39" s="812">
        <f>VLOOKUP(A39,'1920 Band Moderations'!$A$181:$R$198,12,(FALSE))</f>
        <v>0</v>
      </c>
      <c r="H39" s="812">
        <f>VLOOKUP(A39,'1920 Band Moderations'!$A$181:$R$198,14,(FALSE))</f>
        <v>0</v>
      </c>
      <c r="I39" s="812">
        <f>VLOOKUP(A39,'1920 Band Moderations'!$A$181:$R$198,16,(FALSE))</f>
        <v>0</v>
      </c>
      <c r="J39" s="812">
        <f>VLOOKUP(A39,'1920 Band Moderations'!$A$181:$R$198,18,(FALSE))</f>
        <v>0</v>
      </c>
      <c r="K39" s="524">
        <v>0</v>
      </c>
      <c r="L39" s="813">
        <f t="shared" si="7"/>
        <v>0</v>
      </c>
      <c r="M39" s="813">
        <f t="shared" si="5"/>
        <v>0</v>
      </c>
      <c r="N39" s="813">
        <f t="shared" si="8"/>
        <v>0</v>
      </c>
      <c r="O39" s="724">
        <f t="shared" si="9"/>
        <v>0</v>
      </c>
      <c r="P39" s="724">
        <f>(VLOOKUP(A39,'1920 Funding Detail'!$A$4:$AN$23,38,FALSE)*4/12)*K39</f>
        <v>0</v>
      </c>
      <c r="Q39" s="80"/>
      <c r="R39" s="42">
        <f t="shared" si="6"/>
        <v>0</v>
      </c>
      <c r="S39" s="233"/>
      <c r="T39" s="80"/>
      <c r="U39" s="42"/>
      <c r="V39" s="42"/>
      <c r="AV39" s="34"/>
      <c r="AW39" s="34"/>
      <c r="AZ39" s="34"/>
      <c r="BA39" s="34"/>
      <c r="BB39" s="34"/>
    </row>
    <row r="40" spans="1:54" x14ac:dyDescent="0.25">
      <c r="A40" s="185">
        <v>9257032</v>
      </c>
      <c r="B40" s="38" t="s">
        <v>100</v>
      </c>
      <c r="C40" s="39">
        <v>4</v>
      </c>
      <c r="D40" s="812">
        <f>VLOOKUP(A40,'1920 Band Moderations'!$A$181:$R$198,6,(FALSE))</f>
        <v>0</v>
      </c>
      <c r="E40" s="812">
        <f>VLOOKUP(A40,'1920 Band Moderations'!$A$181:$R$198,8,(FALSE))</f>
        <v>0</v>
      </c>
      <c r="F40" s="812">
        <f>VLOOKUP(A40,'1920 Band Moderations'!$A$181:$R$198,10,(FALSE))</f>
        <v>1</v>
      </c>
      <c r="G40" s="812">
        <f>VLOOKUP(A40,'1920 Band Moderations'!$A$181:$R$198,12,(FALSE))</f>
        <v>0</v>
      </c>
      <c r="H40" s="812">
        <f>VLOOKUP(A40,'1920 Band Moderations'!$A$181:$R$198,14,(FALSE))</f>
        <v>0</v>
      </c>
      <c r="I40" s="812">
        <f>VLOOKUP(A40,'1920 Band Moderations'!$A$181:$R$198,16,(FALSE))</f>
        <v>0</v>
      </c>
      <c r="J40" s="812">
        <f>VLOOKUP(A40,'1920 Band Moderations'!$A$181:$R$198,18,(FALSE))</f>
        <v>0</v>
      </c>
      <c r="K40" s="524">
        <v>0</v>
      </c>
      <c r="L40" s="813">
        <f t="shared" si="7"/>
        <v>0</v>
      </c>
      <c r="M40" s="813">
        <f t="shared" si="5"/>
        <v>0</v>
      </c>
      <c r="N40" s="813">
        <f t="shared" si="8"/>
        <v>0</v>
      </c>
      <c r="O40" s="724">
        <f t="shared" si="9"/>
        <v>0</v>
      </c>
      <c r="P40" s="724">
        <f>(VLOOKUP(A40,'1920 Funding Detail'!$A$4:$AN$23,38,FALSE)*4/12)*K40</f>
        <v>0</v>
      </c>
      <c r="Q40" s="80"/>
      <c r="R40" s="42">
        <f t="shared" si="6"/>
        <v>0</v>
      </c>
      <c r="S40" s="233"/>
      <c r="T40" s="80"/>
      <c r="U40" s="42"/>
      <c r="V40" s="42"/>
      <c r="AV40" s="34"/>
      <c r="AW40" s="34"/>
      <c r="AZ40" s="34"/>
      <c r="BA40" s="34"/>
      <c r="BB40" s="34"/>
    </row>
    <row r="41" spans="1:54" x14ac:dyDescent="0.25">
      <c r="A41" s="185">
        <v>9257030</v>
      </c>
      <c r="B41" s="38" t="s">
        <v>92</v>
      </c>
      <c r="C41" s="39">
        <v>4</v>
      </c>
      <c r="D41" s="812">
        <f>VLOOKUP(A41,'1920 Band Moderations'!$A$181:$R$198,6,(FALSE))</f>
        <v>0</v>
      </c>
      <c r="E41" s="812">
        <f>VLOOKUP(A41,'1920 Band Moderations'!$A$181:$R$198,8,(FALSE))</f>
        <v>0</v>
      </c>
      <c r="F41" s="812">
        <f>VLOOKUP(A41,'1920 Band Moderations'!$A$181:$R$198,10,(FALSE))</f>
        <v>1</v>
      </c>
      <c r="G41" s="812">
        <f>VLOOKUP(A41,'1920 Band Moderations'!$A$181:$R$198,12,(FALSE))</f>
        <v>0</v>
      </c>
      <c r="H41" s="812">
        <f>VLOOKUP(A41,'1920 Band Moderations'!$A$181:$R$198,14,(FALSE))</f>
        <v>0</v>
      </c>
      <c r="I41" s="812">
        <f>VLOOKUP(A41,'1920 Band Moderations'!$A$181:$R$198,16,(FALSE))</f>
        <v>0</v>
      </c>
      <c r="J41" s="812">
        <f>VLOOKUP(A41,'1920 Band Moderations'!$A$181:$R$198,18,(FALSE))</f>
        <v>0</v>
      </c>
      <c r="K41" s="524">
        <v>0</v>
      </c>
      <c r="L41" s="813">
        <f t="shared" si="7"/>
        <v>0</v>
      </c>
      <c r="M41" s="813">
        <f t="shared" si="5"/>
        <v>0</v>
      </c>
      <c r="N41" s="813">
        <f t="shared" si="8"/>
        <v>0</v>
      </c>
      <c r="O41" s="724">
        <f t="shared" si="9"/>
        <v>0</v>
      </c>
      <c r="P41" s="724">
        <f>(VLOOKUP(A41,'1920 Funding Detail'!$A$4:$AN$23,38,FALSE)*4/12)*K41</f>
        <v>0</v>
      </c>
      <c r="Q41" s="80"/>
      <c r="R41" s="42">
        <f t="shared" si="6"/>
        <v>0</v>
      </c>
      <c r="S41" s="233"/>
      <c r="T41" s="80"/>
      <c r="U41" s="42"/>
      <c r="V41" s="42"/>
      <c r="AV41" s="34"/>
      <c r="AW41" s="34"/>
      <c r="AZ41" s="34"/>
      <c r="BA41" s="34"/>
      <c r="BB41" s="34"/>
    </row>
    <row r="42" spans="1:54" x14ac:dyDescent="0.25">
      <c r="A42" s="185">
        <v>9257028</v>
      </c>
      <c r="B42" s="38" t="s">
        <v>77</v>
      </c>
      <c r="C42" s="39">
        <v>5</v>
      </c>
      <c r="D42" s="812">
        <f>VLOOKUP(A42,'1920 Band Moderations'!$A$181:$R$198,6,(FALSE))</f>
        <v>6.9767441860465115E-2</v>
      </c>
      <c r="E42" s="812">
        <f>VLOOKUP(A42,'1920 Band Moderations'!$A$181:$R$198,8,(FALSE))</f>
        <v>0.27906976744186046</v>
      </c>
      <c r="F42" s="812">
        <f>VLOOKUP(A42,'1920 Band Moderations'!$A$181:$R$198,10,(FALSE))</f>
        <v>3.4883720930232558E-2</v>
      </c>
      <c r="G42" s="812">
        <f>VLOOKUP(A42,'1920 Band Moderations'!$A$181:$R$198,12,(FALSE))</f>
        <v>0.12790697674418605</v>
      </c>
      <c r="H42" s="812">
        <f>VLOOKUP(A42,'1920 Band Moderations'!$A$181:$R$198,14,(FALSE))</f>
        <v>0.18604651162790697</v>
      </c>
      <c r="I42" s="812">
        <f>VLOOKUP(A42,'1920 Band Moderations'!$A$181:$R$198,16,(FALSE))</f>
        <v>0.16279069767441862</v>
      </c>
      <c r="J42" s="812">
        <f>VLOOKUP(A42,'1920 Band Moderations'!$A$181:$R$198,18,(FALSE))</f>
        <v>0.13953488372093023</v>
      </c>
      <c r="K42" s="524">
        <v>14</v>
      </c>
      <c r="L42" s="813">
        <f t="shared" si="7"/>
        <v>59075.612192321089</v>
      </c>
      <c r="M42" s="813">
        <f t="shared" si="5"/>
        <v>428.95348837209303</v>
      </c>
      <c r="N42" s="813">
        <f t="shared" si="8"/>
        <v>59504.56568069318</v>
      </c>
      <c r="O42" s="724">
        <f t="shared" si="9"/>
        <v>46666.666666666664</v>
      </c>
      <c r="P42" s="724">
        <f>(VLOOKUP(A42,'1920 Funding Detail'!$A$4:$AN$23,38,FALSE)*4/12)*K42</f>
        <v>39800.611014026523</v>
      </c>
      <c r="Q42" s="80"/>
      <c r="R42" s="42">
        <f t="shared" si="6"/>
        <v>14659.465608424276</v>
      </c>
      <c r="S42" s="233"/>
      <c r="T42" s="80"/>
      <c r="U42" s="42"/>
      <c r="V42" s="42"/>
      <c r="AV42" s="34"/>
      <c r="AW42" s="34"/>
      <c r="AZ42" s="34"/>
      <c r="BA42" s="34"/>
      <c r="BB42" s="34"/>
    </row>
    <row r="43" spans="1:54" x14ac:dyDescent="0.25">
      <c r="A43" s="185">
        <v>9257021</v>
      </c>
      <c r="B43" s="38" t="s">
        <v>78</v>
      </c>
      <c r="C43" s="39">
        <v>5</v>
      </c>
      <c r="D43" s="812">
        <f>VLOOKUP(A43,'1920 Band Moderations'!$A$181:$R$198,6,(FALSE))</f>
        <v>0.27777777777777779</v>
      </c>
      <c r="E43" s="812">
        <f>VLOOKUP(A43,'1920 Band Moderations'!$A$181:$R$198,8,(FALSE))</f>
        <v>0.35185185185185186</v>
      </c>
      <c r="F43" s="812">
        <f>VLOOKUP(A43,'1920 Band Moderations'!$A$181:$R$198,10,(FALSE))</f>
        <v>9.8765432098765427E-2</v>
      </c>
      <c r="G43" s="812">
        <f>VLOOKUP(A43,'1920 Band Moderations'!$A$181:$R$198,12,(FALSE))</f>
        <v>4.3209876543209874E-2</v>
      </c>
      <c r="H43" s="812">
        <f>VLOOKUP(A43,'1920 Band Moderations'!$A$181:$R$198,14,(FALSE))</f>
        <v>7.407407407407407E-2</v>
      </c>
      <c r="I43" s="812">
        <f>VLOOKUP(A43,'1920 Band Moderations'!$A$181:$R$198,16,(FALSE))</f>
        <v>0.14814814814814814</v>
      </c>
      <c r="J43" s="812">
        <f>VLOOKUP(A43,'1920 Band Moderations'!$A$181:$R$198,18,(FALSE))</f>
        <v>6.1728395061728392E-3</v>
      </c>
      <c r="K43" s="524">
        <v>0</v>
      </c>
      <c r="L43" s="813">
        <f t="shared" si="7"/>
        <v>0</v>
      </c>
      <c r="M43" s="813">
        <f t="shared" si="5"/>
        <v>0</v>
      </c>
      <c r="N43" s="813">
        <f t="shared" si="8"/>
        <v>0</v>
      </c>
      <c r="O43" s="724">
        <f t="shared" si="9"/>
        <v>0</v>
      </c>
      <c r="P43" s="724">
        <f>(VLOOKUP(A43,'1920 Funding Detail'!$A$4:$AN$23,38,FALSE)*4/12)*K43</f>
        <v>0</v>
      </c>
      <c r="Q43" s="80"/>
      <c r="R43" s="42">
        <f t="shared" si="6"/>
        <v>0</v>
      </c>
      <c r="S43" s="233"/>
      <c r="T43" s="80"/>
      <c r="U43" s="42"/>
      <c r="V43" s="42"/>
      <c r="AV43" s="34"/>
      <c r="AW43" s="34"/>
      <c r="AZ43" s="34"/>
      <c r="BA43" s="34"/>
      <c r="BB43" s="34"/>
    </row>
    <row r="44" spans="1:54" x14ac:dyDescent="0.25">
      <c r="A44" s="185">
        <v>9257015</v>
      </c>
      <c r="B44" s="38" t="s">
        <v>55</v>
      </c>
      <c r="C44" s="39">
        <v>6</v>
      </c>
      <c r="D44" s="812">
        <f>VLOOKUP(A44,'1920 Band Moderations'!$A$181:$R$198,6,(FALSE))</f>
        <v>0.43037974683544306</v>
      </c>
      <c r="E44" s="812">
        <f>VLOOKUP(A44,'1920 Band Moderations'!$A$181:$R$198,8,(FALSE))</f>
        <v>0.27004219409282698</v>
      </c>
      <c r="F44" s="812">
        <f>VLOOKUP(A44,'1920 Band Moderations'!$A$181:$R$198,10,(FALSE))</f>
        <v>2.9535864978902954E-2</v>
      </c>
      <c r="G44" s="812">
        <f>VLOOKUP(A44,'1920 Band Moderations'!$A$181:$R$198,12,(FALSE))</f>
        <v>6.3291139240506333E-2</v>
      </c>
      <c r="H44" s="812">
        <f>VLOOKUP(A44,'1920 Band Moderations'!$A$181:$R$198,14,(FALSE))</f>
        <v>5.9071729957805907E-2</v>
      </c>
      <c r="I44" s="812">
        <f>VLOOKUP(A44,'1920 Band Moderations'!$A$181:$R$198,16,(FALSE))</f>
        <v>0.13924050632911392</v>
      </c>
      <c r="J44" s="812">
        <f>VLOOKUP(A44,'1920 Band Moderations'!$A$181:$R$198,18,(FALSE))</f>
        <v>8.4388185654008432E-3</v>
      </c>
      <c r="K44" s="524">
        <v>24</v>
      </c>
      <c r="L44" s="813">
        <f t="shared" si="7"/>
        <v>68981.217321016185</v>
      </c>
      <c r="M44" s="813">
        <f t="shared" si="5"/>
        <v>622.6160337552742</v>
      </c>
      <c r="N44" s="813">
        <f t="shared" si="8"/>
        <v>69603.833354771457</v>
      </c>
      <c r="O44" s="724">
        <f t="shared" si="9"/>
        <v>80000</v>
      </c>
      <c r="P44" s="724">
        <f>(VLOOKUP(A44,'1920 Funding Detail'!$A$4:$AN$23,38,FALSE)*4/12)*K44</f>
        <v>10254.870329561383</v>
      </c>
      <c r="Q44" s="80"/>
      <c r="R44" s="42">
        <f t="shared" si="6"/>
        <v>1519.848152289919</v>
      </c>
      <c r="S44" s="233"/>
      <c r="T44" s="80"/>
      <c r="U44" s="42"/>
      <c r="V44" s="42"/>
      <c r="AV44" s="34"/>
      <c r="AW44" s="34"/>
      <c r="AZ44" s="34"/>
      <c r="BA44" s="34"/>
      <c r="BB44" s="34"/>
    </row>
    <row r="45" spans="1:54" x14ac:dyDescent="0.25">
      <c r="A45" s="185">
        <v>9257016</v>
      </c>
      <c r="B45" s="38" t="s">
        <v>80</v>
      </c>
      <c r="C45" s="39">
        <v>6</v>
      </c>
      <c r="D45" s="812">
        <f>VLOOKUP(A45,'1920 Band Moderations'!$A$181:$R$198,6,(FALSE))</f>
        <v>0.16911764705882354</v>
      </c>
      <c r="E45" s="812">
        <f>VLOOKUP(A45,'1920 Band Moderations'!$A$181:$R$198,8,(FALSE))</f>
        <v>0.11764705882352941</v>
      </c>
      <c r="F45" s="812">
        <f>VLOOKUP(A45,'1920 Band Moderations'!$A$181:$R$198,10,(FALSE))</f>
        <v>7.3529411764705881E-3</v>
      </c>
      <c r="G45" s="812">
        <f>VLOOKUP(A45,'1920 Band Moderations'!$A$181:$R$198,12,(FALSE))</f>
        <v>0.20588235294117646</v>
      </c>
      <c r="H45" s="812">
        <f>VLOOKUP(A45,'1920 Band Moderations'!$A$181:$R$198,14,(FALSE))</f>
        <v>0.23529411764705882</v>
      </c>
      <c r="I45" s="812">
        <f>VLOOKUP(A45,'1920 Band Moderations'!$A$181:$R$198,16,(FALSE))</f>
        <v>7.3529411764705881E-3</v>
      </c>
      <c r="J45" s="812">
        <f>VLOOKUP(A45,'1920 Band Moderations'!$A$181:$R$198,18,(FALSE))</f>
        <v>0.25735294117647056</v>
      </c>
      <c r="K45" s="524">
        <v>57</v>
      </c>
      <c r="L45" s="813">
        <f t="shared" si="7"/>
        <v>264833.08848853316</v>
      </c>
      <c r="M45" s="813">
        <f t="shared" si="5"/>
        <v>368.125</v>
      </c>
      <c r="N45" s="813">
        <f t="shared" si="8"/>
        <v>265201.21348853316</v>
      </c>
      <c r="O45" s="724">
        <f t="shared" si="9"/>
        <v>190000</v>
      </c>
      <c r="P45" s="724">
        <f>(VLOOKUP(A45,'1920 Funding Detail'!$A$4:$AN$23,38,FALSE)*4/12)*K45</f>
        <v>154302.62564658787</v>
      </c>
      <c r="Q45" s="628" t="s">
        <v>402</v>
      </c>
      <c r="R45" s="42">
        <f t="shared" si="6"/>
        <v>110080.72979855363</v>
      </c>
      <c r="S45" s="233"/>
      <c r="T45" s="80"/>
      <c r="U45" s="42"/>
      <c r="V45" s="42"/>
      <c r="AV45" s="34"/>
      <c r="AW45" s="34"/>
      <c r="AZ45" s="34"/>
      <c r="BA45" s="34"/>
      <c r="BB45" s="34"/>
    </row>
    <row r="46" spans="1:54" x14ac:dyDescent="0.25">
      <c r="A46" s="75"/>
      <c r="B46" s="50"/>
      <c r="C46" s="61"/>
      <c r="D46" s="49"/>
      <c r="E46" s="49"/>
      <c r="F46" s="628" t="s">
        <v>402</v>
      </c>
      <c r="G46" s="49"/>
      <c r="H46" s="49"/>
      <c r="I46" s="49"/>
      <c r="J46" s="628" t="s">
        <v>402</v>
      </c>
      <c r="L46" s="168"/>
      <c r="M46" s="168"/>
      <c r="N46" s="628" t="s">
        <v>402</v>
      </c>
      <c r="O46" s="80"/>
      <c r="P46" s="80"/>
      <c r="Q46" s="80"/>
      <c r="R46" s="233"/>
      <c r="S46" s="233"/>
      <c r="T46" s="40"/>
      <c r="AV46" s="34"/>
      <c r="AW46" s="34"/>
      <c r="AZ46" s="34"/>
      <c r="BA46" s="34"/>
      <c r="BB46" s="34"/>
    </row>
    <row r="47" spans="1:54" ht="13" x14ac:dyDescent="0.3">
      <c r="A47" s="230" t="s">
        <v>856</v>
      </c>
      <c r="B47" s="50"/>
      <c r="C47" s="50"/>
      <c r="I47" s="34"/>
      <c r="J47" s="34"/>
      <c r="K47" s="933"/>
      <c r="L47" s="933"/>
      <c r="AV47" s="34"/>
      <c r="AW47" s="34"/>
      <c r="AZ47" s="34"/>
      <c r="BA47" s="34"/>
      <c r="BB47" s="34"/>
    </row>
    <row r="48" spans="1:54" x14ac:dyDescent="0.25">
      <c r="B48" s="50"/>
      <c r="C48" s="50"/>
      <c r="I48" s="34"/>
      <c r="J48" s="34"/>
      <c r="K48" s="231" t="s">
        <v>853</v>
      </c>
      <c r="L48" s="933"/>
      <c r="O48" s="1893" t="s">
        <v>332</v>
      </c>
      <c r="P48" s="1894"/>
      <c r="S48" s="34"/>
      <c r="AV48" s="34"/>
      <c r="AW48" s="34"/>
      <c r="AZ48" s="34"/>
      <c r="BA48" s="34"/>
      <c r="BB48" s="34"/>
    </row>
    <row r="49" spans="1:20" s="34" customFormat="1" ht="39.75" customHeight="1" x14ac:dyDescent="0.25">
      <c r="A49" s="183" t="s">
        <v>201</v>
      </c>
      <c r="B49" s="36" t="s">
        <v>66</v>
      </c>
      <c r="C49" s="39" t="s">
        <v>51</v>
      </c>
      <c r="D49" s="939" t="s">
        <v>858</v>
      </c>
      <c r="E49" s="939" t="s">
        <v>859</v>
      </c>
      <c r="F49" s="939" t="s">
        <v>860</v>
      </c>
      <c r="G49" s="939" t="s">
        <v>861</v>
      </c>
      <c r="H49" s="939" t="s">
        <v>862</v>
      </c>
      <c r="I49" s="939" t="s">
        <v>863</v>
      </c>
      <c r="J49" s="939" t="s">
        <v>864</v>
      </c>
      <c r="K49" s="941" t="s">
        <v>253</v>
      </c>
      <c r="L49" s="941" t="s">
        <v>390</v>
      </c>
      <c r="M49" s="941" t="s">
        <v>391</v>
      </c>
      <c r="N49" s="941" t="s">
        <v>287</v>
      </c>
      <c r="O49" s="93" t="s">
        <v>329</v>
      </c>
      <c r="P49" s="694" t="s">
        <v>340</v>
      </c>
      <c r="S49" s="347"/>
    </row>
    <row r="50" spans="1:20" s="34" customFormat="1" x14ac:dyDescent="0.25">
      <c r="A50" s="131">
        <v>9257010</v>
      </c>
      <c r="B50" s="38" t="s">
        <v>67</v>
      </c>
      <c r="C50" s="39">
        <v>4</v>
      </c>
      <c r="D50" s="812">
        <f>VLOOKUP(A50,'1920 Band Moderations'!$A$181:$R$198,6,(FALSE))</f>
        <v>0.05</v>
      </c>
      <c r="E50" s="812">
        <f>VLOOKUP(A50,'1920 Band Moderations'!$A$181:$R$198,8,(FALSE))</f>
        <v>0.35</v>
      </c>
      <c r="F50" s="812">
        <f>VLOOKUP(A50,'1920 Band Moderations'!$A$181:$R$198,10,(FALSE))</f>
        <v>6.6666666666666666E-2</v>
      </c>
      <c r="G50" s="812">
        <f>VLOOKUP(A50,'1920 Band Moderations'!$A$181:$R$198,12,(FALSE))</f>
        <v>0.15</v>
      </c>
      <c r="H50" s="812">
        <f>VLOOKUP(A50,'1920 Band Moderations'!$A$181:$R$198,14,(FALSE))</f>
        <v>0.05</v>
      </c>
      <c r="I50" s="812">
        <f>VLOOKUP(A50,'1920 Band Moderations'!$A$181:$R$198,16,(FALSE))</f>
        <v>0.21666666666666667</v>
      </c>
      <c r="J50" s="812">
        <f>VLOOKUP(A50,'1920 Band Moderations'!$A$181:$R$198,18,(FALSE))</f>
        <v>0.11666666666666667</v>
      </c>
      <c r="K50" s="524">
        <v>52</v>
      </c>
      <c r="L50" s="813">
        <f t="shared" ref="L50:L67" si="10">((((K50*D50)*$G$92)+((K50*E50)*$G$94)+((K50*F50)*$G$96)+((K50*G50)*$G$98)+((K50*H50)*$G$100)+((K50*I50)*$G$102)+((K50*J50)*$G$104))*(7/12))</f>
        <v>366390.3901786877</v>
      </c>
      <c r="M50" s="813">
        <f>((F50*K50)*$G$106)*(7/12)</f>
        <v>5328.5555555555566</v>
      </c>
      <c r="N50" s="813">
        <f t="shared" ref="N50:N67" si="11">SUM(L50:M50)</f>
        <v>371718.94573424326</v>
      </c>
      <c r="O50" s="724">
        <f>(K50*(7/12))*10000</f>
        <v>303333.33333333337</v>
      </c>
      <c r="P50" s="724">
        <f>(VLOOKUP(A50,'1920 Funding Detail'!$A$4:$AN$23,38,FALSE)*7/12)*K50</f>
        <v>310438.21553318802</v>
      </c>
      <c r="Q50" s="42"/>
      <c r="R50" s="42">
        <f t="shared" ref="R50:R67" si="12">(J50*K50*$G$104)*7/12</f>
        <v>79670.123508005825</v>
      </c>
      <c r="S50" s="978" t="s">
        <v>402</v>
      </c>
      <c r="T50" s="625" t="s">
        <v>595</v>
      </c>
    </row>
    <row r="51" spans="1:20" s="34" customFormat="1" x14ac:dyDescent="0.25">
      <c r="A51" s="131">
        <v>9257005</v>
      </c>
      <c r="B51" s="38" t="s">
        <v>68</v>
      </c>
      <c r="C51" s="39">
        <v>4</v>
      </c>
      <c r="D51" s="812">
        <f>VLOOKUP(A51,'1920 Band Moderations'!$A$181:$R$198,6,(FALSE))</f>
        <v>0.10810810810810811</v>
      </c>
      <c r="E51" s="812">
        <f>VLOOKUP(A51,'1920 Band Moderations'!$A$181:$R$198,8,(FALSE))</f>
        <v>0.22972972972972974</v>
      </c>
      <c r="F51" s="812">
        <f>VLOOKUP(A51,'1920 Band Moderations'!$A$181:$R$198,10,(FALSE))</f>
        <v>0.12162162162162163</v>
      </c>
      <c r="G51" s="812">
        <f>VLOOKUP(A51,'1920 Band Moderations'!$A$181:$R$198,12,(FALSE))</f>
        <v>0.14864864864864866</v>
      </c>
      <c r="H51" s="812">
        <f>VLOOKUP(A51,'1920 Band Moderations'!$A$181:$R$198,14,(FALSE))</f>
        <v>0.13513513513513514</v>
      </c>
      <c r="I51" s="812">
        <f>VLOOKUP(A51,'1920 Band Moderations'!$A$181:$R$198,16,(FALSE))</f>
        <v>0.17567567567567569</v>
      </c>
      <c r="J51" s="812">
        <f>VLOOKUP(A51,'1920 Band Moderations'!$A$181:$R$198,18,(FALSE))</f>
        <v>8.1081081081081086E-2</v>
      </c>
      <c r="K51" s="524">
        <v>52</v>
      </c>
      <c r="L51" s="813">
        <f t="shared" si="10"/>
        <v>363163.35636915563</v>
      </c>
      <c r="M51" s="813">
        <f t="shared" ref="M51:M67" si="13">((F51*K51)*$G$106)*(7/12)</f>
        <v>9721.0135135135151</v>
      </c>
      <c r="N51" s="813">
        <f t="shared" si="11"/>
        <v>372884.36988266913</v>
      </c>
      <c r="O51" s="724">
        <f t="shared" ref="O51:O67" si="14">(K51*(7/12))*10000</f>
        <v>303333.33333333337</v>
      </c>
      <c r="P51" s="724">
        <f>(VLOOKUP(A51,'1920 Funding Detail'!$A$4:$AN$23,38,FALSE)*7/12)*K51</f>
        <v>260441.58974900562</v>
      </c>
      <c r="Q51" s="42"/>
      <c r="R51" s="42">
        <f t="shared" si="12"/>
        <v>55369.1978047917</v>
      </c>
      <c r="S51" s="168"/>
    </row>
    <row r="52" spans="1:20" s="34" customFormat="1" x14ac:dyDescent="0.25">
      <c r="A52" s="131">
        <v>9257025</v>
      </c>
      <c r="B52" s="38" t="s">
        <v>69</v>
      </c>
      <c r="C52" s="39">
        <v>4</v>
      </c>
      <c r="D52" s="812">
        <f>VLOOKUP(A52,'1920 Band Moderations'!$A$181:$R$198,6,(FALSE))</f>
        <v>0.22972972972972974</v>
      </c>
      <c r="E52" s="812">
        <f>VLOOKUP(A52,'1920 Band Moderations'!$A$181:$R$198,8,(FALSE))</f>
        <v>0.29729729729729731</v>
      </c>
      <c r="F52" s="812">
        <f>VLOOKUP(A52,'1920 Band Moderations'!$A$181:$R$198,10,(FALSE))</f>
        <v>0.12162162162162163</v>
      </c>
      <c r="G52" s="812">
        <f>VLOOKUP(A52,'1920 Band Moderations'!$A$181:$R$198,12,(FALSE))</f>
        <v>0.12162162162162163</v>
      </c>
      <c r="H52" s="812">
        <f>VLOOKUP(A52,'1920 Band Moderations'!$A$181:$R$198,14,(FALSE))</f>
        <v>8.1081081081081086E-2</v>
      </c>
      <c r="I52" s="812">
        <f>VLOOKUP(A52,'1920 Band Moderations'!$A$181:$R$198,16,(FALSE))</f>
        <v>0.10810810810810811</v>
      </c>
      <c r="J52" s="812">
        <f>VLOOKUP(A52,'1920 Band Moderations'!$A$181:$R$198,18,(FALSE))</f>
        <v>4.0540540540540543E-2</v>
      </c>
      <c r="K52" s="524">
        <v>56</v>
      </c>
      <c r="L52" s="813">
        <f t="shared" si="10"/>
        <v>329237.61975208297</v>
      </c>
      <c r="M52" s="813">
        <f t="shared" si="13"/>
        <v>10468.783783783785</v>
      </c>
      <c r="N52" s="813">
        <f t="shared" si="11"/>
        <v>339706.40353586676</v>
      </c>
      <c r="O52" s="724">
        <f t="shared" si="14"/>
        <v>326666.66666666669</v>
      </c>
      <c r="P52" s="724">
        <f>(VLOOKUP(A52,'1920 Funding Detail'!$A$4:$AN$23,38,FALSE)*7/12)*K52</f>
        <v>236025.62103012262</v>
      </c>
      <c r="Q52" s="42"/>
      <c r="R52" s="42">
        <f t="shared" si="12"/>
        <v>29814.183433349375</v>
      </c>
      <c r="S52" s="168"/>
    </row>
    <row r="53" spans="1:20" s="34" customFormat="1" x14ac:dyDescent="0.25">
      <c r="A53" s="131">
        <v>9257011</v>
      </c>
      <c r="B53" s="38" t="s">
        <v>70</v>
      </c>
      <c r="C53" s="39">
        <v>4</v>
      </c>
      <c r="D53" s="812">
        <f>VLOOKUP(A53,'1920 Band Moderations'!$A$181:$R$198,6,(FALSE))</f>
        <v>7.2727272727272724E-2</v>
      </c>
      <c r="E53" s="812">
        <f>VLOOKUP(A53,'1920 Band Moderations'!$A$181:$R$198,8,(FALSE))</f>
        <v>0.27272727272727271</v>
      </c>
      <c r="F53" s="812">
        <f>VLOOKUP(A53,'1920 Band Moderations'!$A$181:$R$198,10,(FALSE))</f>
        <v>3.6363636363636362E-2</v>
      </c>
      <c r="G53" s="812">
        <f>VLOOKUP(A53,'1920 Band Moderations'!$A$181:$R$198,12,(FALSE))</f>
        <v>0.23636363636363636</v>
      </c>
      <c r="H53" s="812">
        <f>VLOOKUP(A53,'1920 Band Moderations'!$A$181:$R$198,14,(FALSE))</f>
        <v>0.14545454545454545</v>
      </c>
      <c r="I53" s="812">
        <f>VLOOKUP(A53,'1920 Band Moderations'!$A$181:$R$198,16,(FALSE))</f>
        <v>0.14545454545454545</v>
      </c>
      <c r="J53" s="812">
        <f>VLOOKUP(A53,'1920 Band Moderations'!$A$181:$R$198,18,(FALSE))</f>
        <v>9.0909090909090912E-2</v>
      </c>
      <c r="K53" s="524">
        <v>44</v>
      </c>
      <c r="L53" s="813">
        <f t="shared" si="10"/>
        <v>314344.55024770461</v>
      </c>
      <c r="M53" s="813">
        <f t="shared" si="13"/>
        <v>2459.3333333333335</v>
      </c>
      <c r="N53" s="813">
        <f t="shared" si="11"/>
        <v>316803.88358103792</v>
      </c>
      <c r="O53" s="724">
        <f t="shared" si="14"/>
        <v>256666.66666666669</v>
      </c>
      <c r="P53" s="724">
        <f>(VLOOKUP(A53,'1920 Funding Detail'!$A$4:$AN$23,38,FALSE)*7/12)*K53</f>
        <v>257044.24883527518</v>
      </c>
      <c r="Q53" s="42"/>
      <c r="R53" s="42">
        <f t="shared" si="12"/>
        <v>52529.751763520326</v>
      </c>
      <c r="S53" s="168"/>
    </row>
    <row r="54" spans="1:20" s="34" customFormat="1" x14ac:dyDescent="0.25">
      <c r="A54" s="131">
        <v>9257024</v>
      </c>
      <c r="B54" s="38" t="s">
        <v>71</v>
      </c>
      <c r="C54" s="39">
        <v>3</v>
      </c>
      <c r="D54" s="812">
        <f>VLOOKUP(A54,'1920 Band Moderations'!$A$181:$R$198,6,(FALSE))</f>
        <v>0.10975609756097561</v>
      </c>
      <c r="E54" s="812">
        <f>VLOOKUP(A54,'1920 Band Moderations'!$A$181:$R$198,8,(FALSE))</f>
        <v>0.41463414634146339</v>
      </c>
      <c r="F54" s="812">
        <f>VLOOKUP(A54,'1920 Band Moderations'!$A$181:$R$198,10,(FALSE))</f>
        <v>2.4390243902439025E-2</v>
      </c>
      <c r="G54" s="812">
        <f>VLOOKUP(A54,'1920 Band Moderations'!$A$181:$R$198,12,(FALSE))</f>
        <v>0.13414634146341464</v>
      </c>
      <c r="H54" s="812">
        <f>VLOOKUP(A54,'1920 Band Moderations'!$A$181:$R$198,14,(FALSE))</f>
        <v>0.12195121951219512</v>
      </c>
      <c r="I54" s="812">
        <f>VLOOKUP(A54,'1920 Band Moderations'!$A$181:$R$198,16,(FALSE))</f>
        <v>7.3170731707317069E-2</v>
      </c>
      <c r="J54" s="812">
        <f>VLOOKUP(A54,'1920 Band Moderations'!$A$181:$R$198,18,(FALSE))</f>
        <v>0.12195121951219512</v>
      </c>
      <c r="K54" s="524">
        <v>67</v>
      </c>
      <c r="L54" s="813">
        <f t="shared" si="10"/>
        <v>436047.21937741683</v>
      </c>
      <c r="M54" s="813">
        <f t="shared" si="13"/>
        <v>2511.8191056910573</v>
      </c>
      <c r="N54" s="813">
        <f t="shared" si="11"/>
        <v>438559.03848310787</v>
      </c>
      <c r="O54" s="724">
        <f t="shared" si="14"/>
        <v>390833.33333333337</v>
      </c>
      <c r="P54" s="724">
        <f>(VLOOKUP(A54,'1920 Funding Detail'!$A$4:$AN$23,38,FALSE)*7/12)*K54</f>
        <v>285363.98108534538</v>
      </c>
      <c r="Q54" s="42"/>
      <c r="R54" s="42">
        <f t="shared" si="12"/>
        <v>107301.62707792262</v>
      </c>
      <c r="S54" s="168"/>
    </row>
    <row r="55" spans="1:20" s="34" customFormat="1" x14ac:dyDescent="0.25">
      <c r="A55" s="131">
        <v>9257031</v>
      </c>
      <c r="B55" s="38" t="s">
        <v>98</v>
      </c>
      <c r="C55" s="39">
        <v>4</v>
      </c>
      <c r="D55" s="812">
        <f>VLOOKUP(A55,'1920 Band Moderations'!$A$181:$R$198,6,(FALSE))</f>
        <v>0</v>
      </c>
      <c r="E55" s="812">
        <f>VLOOKUP(A55,'1920 Band Moderations'!$A$181:$R$198,8,(FALSE))</f>
        <v>0</v>
      </c>
      <c r="F55" s="812">
        <f>VLOOKUP(A55,'1920 Band Moderations'!$A$181:$R$198,10,(FALSE))</f>
        <v>1</v>
      </c>
      <c r="G55" s="812">
        <f>VLOOKUP(A55,'1920 Band Moderations'!$A$181:$R$198,12,(FALSE))</f>
        <v>0</v>
      </c>
      <c r="H55" s="812">
        <f>VLOOKUP(A55,'1920 Band Moderations'!$A$181:$R$198,14,(FALSE))</f>
        <v>0</v>
      </c>
      <c r="I55" s="812">
        <f>VLOOKUP(A55,'1920 Band Moderations'!$A$181:$R$198,16,(FALSE))</f>
        <v>0</v>
      </c>
      <c r="J55" s="812">
        <f>VLOOKUP(A55,'1920 Band Moderations'!$A$181:$R$198,18,(FALSE))</f>
        <v>0</v>
      </c>
      <c r="K55" s="524">
        <v>75</v>
      </c>
      <c r="L55" s="813">
        <f t="shared" si="10"/>
        <v>492774.28887682292</v>
      </c>
      <c r="M55" s="813">
        <f t="shared" si="13"/>
        <v>115281.25000000001</v>
      </c>
      <c r="N55" s="813">
        <f t="shared" si="11"/>
        <v>608055.53887682292</v>
      </c>
      <c r="O55" s="724">
        <f t="shared" si="14"/>
        <v>437500</v>
      </c>
      <c r="P55" s="724">
        <f>(VLOOKUP(A55,'1920 Funding Detail'!$A$4:$AN$23,38,FALSE)*7/12)*K55</f>
        <v>442786.92461365717</v>
      </c>
      <c r="Q55" s="42"/>
      <c r="R55" s="42">
        <f t="shared" si="12"/>
        <v>0</v>
      </c>
      <c r="S55" s="168"/>
    </row>
    <row r="56" spans="1:20" s="34" customFormat="1" x14ac:dyDescent="0.25">
      <c r="A56" s="131">
        <v>9257033</v>
      </c>
      <c r="B56" s="38" t="s">
        <v>72</v>
      </c>
      <c r="C56" s="39">
        <v>3</v>
      </c>
      <c r="D56" s="812">
        <f>VLOOKUP(A56,'1920 Band Moderations'!$A$181:$R$198,6,(FALSE))</f>
        <v>0.20454545454545456</v>
      </c>
      <c r="E56" s="812">
        <f>VLOOKUP(A56,'1920 Band Moderations'!$A$181:$R$198,8,(FALSE))</f>
        <v>0.28409090909090912</v>
      </c>
      <c r="F56" s="812">
        <f>VLOOKUP(A56,'1920 Band Moderations'!$A$181:$R$198,10,(FALSE))</f>
        <v>0.19318181818181818</v>
      </c>
      <c r="G56" s="812">
        <f>VLOOKUP(A56,'1920 Band Moderations'!$A$181:$R$198,12,(FALSE))</f>
        <v>0.17045454545454544</v>
      </c>
      <c r="H56" s="812">
        <f>VLOOKUP(A56,'1920 Band Moderations'!$A$181:$R$198,14,(FALSE))</f>
        <v>7.9545454545454544E-2</v>
      </c>
      <c r="I56" s="812">
        <f>VLOOKUP(A56,'1920 Band Moderations'!$A$181:$R$198,16,(FALSE))</f>
        <v>6.8181818181818177E-2</v>
      </c>
      <c r="J56" s="812">
        <f>VLOOKUP(A56,'1920 Band Moderations'!$A$181:$R$198,18,(FALSE))</f>
        <v>0</v>
      </c>
      <c r="K56" s="524">
        <v>91</v>
      </c>
      <c r="L56" s="813">
        <f t="shared" si="10"/>
        <v>520516.38372475398</v>
      </c>
      <c r="M56" s="813">
        <f t="shared" si="13"/>
        <v>27021.226325757576</v>
      </c>
      <c r="N56" s="813">
        <f t="shared" si="11"/>
        <v>547537.61005051155</v>
      </c>
      <c r="O56" s="724">
        <f t="shared" si="14"/>
        <v>530833.33333333337</v>
      </c>
      <c r="P56" s="724">
        <f>(VLOOKUP(A56,'1920 Funding Detail'!$A$4:$AN$23,38,FALSE)*7/12)*K56</f>
        <v>285347.98615456471</v>
      </c>
      <c r="Q56" s="42"/>
      <c r="R56" s="42">
        <f t="shared" si="12"/>
        <v>0</v>
      </c>
      <c r="S56" s="168"/>
    </row>
    <row r="57" spans="1:20" s="34" customFormat="1" x14ac:dyDescent="0.25">
      <c r="A57" s="131">
        <v>9257008</v>
      </c>
      <c r="B57" s="38" t="s">
        <v>73</v>
      </c>
      <c r="C57" s="39">
        <v>4</v>
      </c>
      <c r="D57" s="812">
        <f>VLOOKUP(A57,'1920 Band Moderations'!$A$181:$R$198,6,(FALSE))</f>
        <v>6.3157894736842107E-2</v>
      </c>
      <c r="E57" s="812">
        <f>VLOOKUP(A57,'1920 Band Moderations'!$A$181:$R$198,8,(FALSE))</f>
        <v>0.57894736842105265</v>
      </c>
      <c r="F57" s="812">
        <f>VLOOKUP(A57,'1920 Band Moderations'!$A$181:$R$198,10,(FALSE))</f>
        <v>0.10526315789473684</v>
      </c>
      <c r="G57" s="812">
        <f>VLOOKUP(A57,'1920 Band Moderations'!$A$181:$R$198,12,(FALSE))</f>
        <v>5.2631578947368418E-2</v>
      </c>
      <c r="H57" s="812">
        <f>VLOOKUP(A57,'1920 Band Moderations'!$A$181:$R$198,14,(FALSE))</f>
        <v>1.0526315789473684E-2</v>
      </c>
      <c r="I57" s="812">
        <f>VLOOKUP(A57,'1920 Band Moderations'!$A$181:$R$198,16,(FALSE))</f>
        <v>0.18947368421052632</v>
      </c>
      <c r="J57" s="812">
        <f>VLOOKUP(A57,'1920 Band Moderations'!$A$181:$R$198,18,(FALSE))</f>
        <v>0</v>
      </c>
      <c r="K57" s="524">
        <v>95</v>
      </c>
      <c r="L57" s="813">
        <f t="shared" si="10"/>
        <v>510119.53114899743</v>
      </c>
      <c r="M57" s="813">
        <f t="shared" si="13"/>
        <v>15370.833333333334</v>
      </c>
      <c r="N57" s="813">
        <f t="shared" si="11"/>
        <v>525490.36448233074</v>
      </c>
      <c r="O57" s="724">
        <f t="shared" si="14"/>
        <v>554166.66666666674</v>
      </c>
      <c r="P57" s="724">
        <f>(VLOOKUP(A57,'1920 Funding Detail'!$A$4:$AN$23,38,FALSE)*7/12)*K57</f>
        <v>235881.78531566402</v>
      </c>
      <c r="Q57" s="42"/>
      <c r="R57" s="42">
        <f t="shared" si="12"/>
        <v>0</v>
      </c>
      <c r="S57" s="168"/>
    </row>
    <row r="58" spans="1:20" s="34" customFormat="1" x14ac:dyDescent="0.25">
      <c r="A58" s="131">
        <v>9257034</v>
      </c>
      <c r="B58" s="38" t="s">
        <v>74</v>
      </c>
      <c r="C58" s="39">
        <v>5</v>
      </c>
      <c r="D58" s="812">
        <f>VLOOKUP(A58,'1920 Band Moderations'!$A$181:$R$198,6,(FALSE))</f>
        <v>0.41964285714285715</v>
      </c>
      <c r="E58" s="812">
        <f>VLOOKUP(A58,'1920 Band Moderations'!$A$181:$R$198,8,(FALSE))</f>
        <v>0.26785714285714285</v>
      </c>
      <c r="F58" s="812">
        <f>VLOOKUP(A58,'1920 Band Moderations'!$A$181:$R$198,10,(FALSE))</f>
        <v>0.17857142857142858</v>
      </c>
      <c r="G58" s="812">
        <f>VLOOKUP(A58,'1920 Band Moderations'!$A$181:$R$198,12,(FALSE))</f>
        <v>4.4642857142857144E-2</v>
      </c>
      <c r="H58" s="812">
        <f>VLOOKUP(A58,'1920 Band Moderations'!$A$181:$R$198,14,(FALSE))</f>
        <v>3.5714285714285712E-2</v>
      </c>
      <c r="I58" s="812">
        <f>VLOOKUP(A58,'1920 Band Moderations'!$A$181:$R$198,16,(FALSE))</f>
        <v>4.4642857142857144E-2</v>
      </c>
      <c r="J58" s="812">
        <f>VLOOKUP(A58,'1920 Band Moderations'!$A$181:$R$198,18,(FALSE))</f>
        <v>8.9285714285714281E-3</v>
      </c>
      <c r="K58" s="524">
        <v>83</v>
      </c>
      <c r="L58" s="813">
        <f t="shared" si="10"/>
        <v>398961.9478952231</v>
      </c>
      <c r="M58" s="813">
        <f t="shared" si="13"/>
        <v>22781.770833333332</v>
      </c>
      <c r="N58" s="813">
        <f t="shared" si="11"/>
        <v>421743.71872855641</v>
      </c>
      <c r="O58" s="724">
        <f t="shared" si="14"/>
        <v>484166.66666666669</v>
      </c>
      <c r="P58" s="724">
        <f>(VLOOKUP(A58,'1920 Funding Detail'!$A$4:$AN$23,38,FALSE)*7/12)*K58</f>
        <v>172677.33211432109</v>
      </c>
      <c r="Q58" s="42"/>
      <c r="R58" s="42">
        <f t="shared" si="12"/>
        <v>9732.0745454736316</v>
      </c>
      <c r="S58" s="168"/>
    </row>
    <row r="59" spans="1:20" s="34" customFormat="1" x14ac:dyDescent="0.25">
      <c r="A59" s="131">
        <v>9257002</v>
      </c>
      <c r="B59" s="38" t="s">
        <v>75</v>
      </c>
      <c r="C59" s="39">
        <v>5</v>
      </c>
      <c r="D59" s="812">
        <f>VLOOKUP(A59,'1920 Band Moderations'!$A$181:$R$198,6,(FALSE))</f>
        <v>0.46527777777777779</v>
      </c>
      <c r="E59" s="812">
        <f>VLOOKUP(A59,'1920 Band Moderations'!$A$181:$R$198,8,(FALSE))</f>
        <v>0.16666666666666666</v>
      </c>
      <c r="F59" s="812">
        <f>VLOOKUP(A59,'1920 Band Moderations'!$A$181:$R$198,10,(FALSE))</f>
        <v>0.1875</v>
      </c>
      <c r="G59" s="812">
        <f>VLOOKUP(A59,'1920 Band Moderations'!$A$181:$R$198,12,(FALSE))</f>
        <v>1.3888888888888888E-2</v>
      </c>
      <c r="H59" s="812">
        <f>VLOOKUP(A59,'1920 Band Moderations'!$A$181:$R$198,14,(FALSE))</f>
        <v>4.8611111111111112E-2</v>
      </c>
      <c r="I59" s="812">
        <f>VLOOKUP(A59,'1920 Band Moderations'!$A$181:$R$198,16,(FALSE))</f>
        <v>0.1111111111111111</v>
      </c>
      <c r="J59" s="812">
        <f>VLOOKUP(A59,'1920 Band Moderations'!$A$181:$R$198,18,(FALSE))</f>
        <v>6.9444444444444441E-3</v>
      </c>
      <c r="K59" s="524">
        <v>145</v>
      </c>
      <c r="L59" s="813">
        <f t="shared" si="10"/>
        <v>727906.99216161377</v>
      </c>
      <c r="M59" s="813">
        <f t="shared" si="13"/>
        <v>41789.453125</v>
      </c>
      <c r="N59" s="813">
        <f t="shared" si="11"/>
        <v>769696.44528661377</v>
      </c>
      <c r="O59" s="724">
        <f t="shared" si="14"/>
        <v>845833.33333333337</v>
      </c>
      <c r="P59" s="724">
        <f>(VLOOKUP(A59,'1920 Funding Detail'!$A$4:$AN$23,38,FALSE)*7/12)*K59</f>
        <v>230287.25359593154</v>
      </c>
      <c r="Q59" s="42"/>
      <c r="R59" s="42">
        <f t="shared" si="12"/>
        <v>13223.635426580637</v>
      </c>
      <c r="S59" s="168"/>
    </row>
    <row r="60" spans="1:20" s="34" customFormat="1" x14ac:dyDescent="0.25">
      <c r="A60" s="131">
        <v>9257009</v>
      </c>
      <c r="B60" s="38" t="s">
        <v>76</v>
      </c>
      <c r="C60" s="39">
        <v>4</v>
      </c>
      <c r="D60" s="812">
        <f>VLOOKUP(A60,'1920 Band Moderations'!$A$181:$R$198,6,(FALSE))</f>
        <v>0.17910447761194029</v>
      </c>
      <c r="E60" s="812">
        <f>VLOOKUP(A60,'1920 Band Moderations'!$A$181:$R$198,8,(FALSE))</f>
        <v>0.5074626865671642</v>
      </c>
      <c r="F60" s="812">
        <f>VLOOKUP(A60,'1920 Band Moderations'!$A$181:$R$198,10,(FALSE))</f>
        <v>0.11940298507462686</v>
      </c>
      <c r="G60" s="812">
        <f>VLOOKUP(A60,'1920 Band Moderations'!$A$181:$R$198,12,(FALSE))</f>
        <v>1.4925373134328358E-2</v>
      </c>
      <c r="H60" s="812">
        <f>VLOOKUP(A60,'1920 Band Moderations'!$A$181:$R$198,14,(FALSE))</f>
        <v>3.7313432835820892E-2</v>
      </c>
      <c r="I60" s="812">
        <f>VLOOKUP(A60,'1920 Band Moderations'!$A$181:$R$198,16,(FALSE))</f>
        <v>0.1417910447761194</v>
      </c>
      <c r="J60" s="812">
        <f>VLOOKUP(A60,'1920 Band Moderations'!$A$181:$R$198,18,(FALSE))</f>
        <v>0</v>
      </c>
      <c r="K60" s="524">
        <v>135</v>
      </c>
      <c r="L60" s="813">
        <f t="shared" si="10"/>
        <v>683518.85381628969</v>
      </c>
      <c r="M60" s="813">
        <f t="shared" si="13"/>
        <v>24776.86567164179</v>
      </c>
      <c r="N60" s="813">
        <f t="shared" si="11"/>
        <v>708295.71948793146</v>
      </c>
      <c r="O60" s="724">
        <f t="shared" si="14"/>
        <v>787500</v>
      </c>
      <c r="P60" s="724">
        <f>(VLOOKUP(A60,'1920 Funding Detail'!$A$4:$AN$23,38,FALSE)*7/12)*K60</f>
        <v>270227.46120549872</v>
      </c>
      <c r="Q60" s="42"/>
      <c r="R60" s="42">
        <f t="shared" si="12"/>
        <v>0</v>
      </c>
      <c r="S60" s="168"/>
    </row>
    <row r="61" spans="1:20" s="34" customFormat="1" x14ac:dyDescent="0.25">
      <c r="A61" s="131">
        <v>9257029</v>
      </c>
      <c r="B61" s="915" t="s">
        <v>848</v>
      </c>
      <c r="C61" s="39">
        <v>3</v>
      </c>
      <c r="D61" s="812">
        <f>VLOOKUP(A61,'1920 Band Moderations'!$A$181:$R$198,6,(FALSE))</f>
        <v>0</v>
      </c>
      <c r="E61" s="812">
        <f>VLOOKUP(A61,'1920 Band Moderations'!$A$181:$R$198,8,(FALSE))</f>
        <v>0</v>
      </c>
      <c r="F61" s="812">
        <f>VLOOKUP(A61,'1920 Band Moderations'!$A$181:$R$198,10,(FALSE))</f>
        <v>1</v>
      </c>
      <c r="G61" s="812">
        <f>VLOOKUP(A61,'1920 Band Moderations'!$A$181:$R$198,12,(FALSE))</f>
        <v>0</v>
      </c>
      <c r="H61" s="812">
        <f>VLOOKUP(A61,'1920 Band Moderations'!$A$181:$R$198,14,(FALSE))</f>
        <v>0</v>
      </c>
      <c r="I61" s="812">
        <f>VLOOKUP(A61,'1920 Band Moderations'!$A$181:$R$198,16,(FALSE))</f>
        <v>0</v>
      </c>
      <c r="J61" s="812">
        <f>VLOOKUP(A61,'1920 Band Moderations'!$A$181:$R$198,18,(FALSE))</f>
        <v>0</v>
      </c>
      <c r="K61" s="524">
        <v>68</v>
      </c>
      <c r="L61" s="813">
        <f t="shared" si="10"/>
        <v>446782.02191498614</v>
      </c>
      <c r="M61" s="813">
        <f t="shared" si="13"/>
        <v>104521.66666666667</v>
      </c>
      <c r="N61" s="813">
        <f t="shared" si="11"/>
        <v>551303.68858165282</v>
      </c>
      <c r="O61" s="724">
        <f t="shared" si="14"/>
        <v>396666.66666666669</v>
      </c>
      <c r="P61" s="724">
        <f>(VLOOKUP(A61,'1920 Funding Detail'!$A$4:$AN$23,38,FALSE)*7/12)*K61</f>
        <v>456479.91797571717</v>
      </c>
      <c r="Q61" s="42"/>
      <c r="R61" s="42">
        <f t="shared" si="12"/>
        <v>0</v>
      </c>
      <c r="S61" s="168"/>
    </row>
    <row r="62" spans="1:20" s="34" customFormat="1" x14ac:dyDescent="0.25">
      <c r="A62" s="131">
        <v>9257032</v>
      </c>
      <c r="B62" s="38" t="s">
        <v>100</v>
      </c>
      <c r="C62" s="39">
        <v>4</v>
      </c>
      <c r="D62" s="812">
        <f>VLOOKUP(A62,'1920 Band Moderations'!$A$181:$R$198,6,(FALSE))</f>
        <v>0</v>
      </c>
      <c r="E62" s="812">
        <f>VLOOKUP(A62,'1920 Band Moderations'!$A$181:$R$198,8,(FALSE))</f>
        <v>0</v>
      </c>
      <c r="F62" s="812">
        <f>VLOOKUP(A62,'1920 Band Moderations'!$A$181:$R$198,10,(FALSE))</f>
        <v>1</v>
      </c>
      <c r="G62" s="812">
        <f>VLOOKUP(A62,'1920 Band Moderations'!$A$181:$R$198,12,(FALSE))</f>
        <v>0</v>
      </c>
      <c r="H62" s="812">
        <f>VLOOKUP(A62,'1920 Band Moderations'!$A$181:$R$198,14,(FALSE))</f>
        <v>0</v>
      </c>
      <c r="I62" s="812">
        <f>VLOOKUP(A62,'1920 Band Moderations'!$A$181:$R$198,16,(FALSE))</f>
        <v>0</v>
      </c>
      <c r="J62" s="812">
        <f>VLOOKUP(A62,'1920 Band Moderations'!$A$181:$R$198,18,(FALSE))</f>
        <v>0</v>
      </c>
      <c r="K62" s="524">
        <v>71</v>
      </c>
      <c r="L62" s="813">
        <f t="shared" si="10"/>
        <v>466492.99347005913</v>
      </c>
      <c r="M62" s="813">
        <f t="shared" si="13"/>
        <v>109132.91666666667</v>
      </c>
      <c r="N62" s="813">
        <f t="shared" si="11"/>
        <v>575625.91013672575</v>
      </c>
      <c r="O62" s="724">
        <f t="shared" si="14"/>
        <v>414166.66666666669</v>
      </c>
      <c r="P62" s="724">
        <f>(VLOOKUP(A62,'1920 Funding Detail'!$A$4:$AN$23,38,FALSE)*7/12)*K62</f>
        <v>430478.51733529323</v>
      </c>
      <c r="Q62" s="42"/>
      <c r="R62" s="42">
        <f t="shared" si="12"/>
        <v>0</v>
      </c>
      <c r="S62" s="168"/>
    </row>
    <row r="63" spans="1:20" s="34" customFormat="1" x14ac:dyDescent="0.25">
      <c r="A63" s="131">
        <v>9257030</v>
      </c>
      <c r="B63" s="38" t="s">
        <v>92</v>
      </c>
      <c r="C63" s="39">
        <v>4</v>
      </c>
      <c r="D63" s="812">
        <f>VLOOKUP(A63,'1920 Band Moderations'!$A$181:$R$198,6,(FALSE))</f>
        <v>0</v>
      </c>
      <c r="E63" s="812">
        <f>VLOOKUP(A63,'1920 Band Moderations'!$A$181:$R$198,8,(FALSE))</f>
        <v>0</v>
      </c>
      <c r="F63" s="812">
        <f>VLOOKUP(A63,'1920 Band Moderations'!$A$181:$R$198,10,(FALSE))</f>
        <v>1</v>
      </c>
      <c r="G63" s="812">
        <f>VLOOKUP(A63,'1920 Band Moderations'!$A$181:$R$198,12,(FALSE))</f>
        <v>0</v>
      </c>
      <c r="H63" s="812">
        <f>VLOOKUP(A63,'1920 Band Moderations'!$A$181:$R$198,14,(FALSE))</f>
        <v>0</v>
      </c>
      <c r="I63" s="812">
        <f>VLOOKUP(A63,'1920 Band Moderations'!$A$181:$R$198,16,(FALSE))</f>
        <v>0</v>
      </c>
      <c r="J63" s="812">
        <f>VLOOKUP(A63,'1920 Band Moderations'!$A$181:$R$198,18,(FALSE))</f>
        <v>0</v>
      </c>
      <c r="K63" s="524">
        <v>74</v>
      </c>
      <c r="L63" s="813">
        <f t="shared" si="10"/>
        <v>486203.965025132</v>
      </c>
      <c r="M63" s="813">
        <f t="shared" si="13"/>
        <v>113744.16666666667</v>
      </c>
      <c r="N63" s="813">
        <f t="shared" si="11"/>
        <v>599948.13169179868</v>
      </c>
      <c r="O63" s="724">
        <f t="shared" si="14"/>
        <v>431666.66666666669</v>
      </c>
      <c r="P63" s="724">
        <f>(VLOOKUP(A63,'1920 Funding Detail'!$A$4:$AN$23,38,FALSE)*7/12)*K63</f>
        <v>447704.79348947917</v>
      </c>
      <c r="Q63" s="42"/>
      <c r="R63" s="42">
        <f t="shared" si="12"/>
        <v>0</v>
      </c>
      <c r="S63" s="168"/>
    </row>
    <row r="64" spans="1:20" s="34" customFormat="1" x14ac:dyDescent="0.25">
      <c r="A64" s="131">
        <v>9257028</v>
      </c>
      <c r="B64" s="38" t="s">
        <v>77</v>
      </c>
      <c r="C64" s="39">
        <v>5</v>
      </c>
      <c r="D64" s="812">
        <f>VLOOKUP(A64,'1920 Band Moderations'!$A$181:$R$198,6,(FALSE))</f>
        <v>6.9767441860465115E-2</v>
      </c>
      <c r="E64" s="812">
        <f>VLOOKUP(A64,'1920 Band Moderations'!$A$181:$R$198,8,(FALSE))</f>
        <v>0.27906976744186046</v>
      </c>
      <c r="F64" s="812">
        <f>VLOOKUP(A64,'1920 Band Moderations'!$A$181:$R$198,10,(FALSE))</f>
        <v>3.4883720930232558E-2</v>
      </c>
      <c r="G64" s="812">
        <f>VLOOKUP(A64,'1920 Band Moderations'!$A$181:$R$198,12,(FALSE))</f>
        <v>0.12790697674418605</v>
      </c>
      <c r="H64" s="812">
        <f>VLOOKUP(A64,'1920 Band Moderations'!$A$181:$R$198,14,(FALSE))</f>
        <v>0.18604651162790697</v>
      </c>
      <c r="I64" s="812">
        <f>VLOOKUP(A64,'1920 Band Moderations'!$A$181:$R$198,16,(FALSE))</f>
        <v>0.16279069767441862</v>
      </c>
      <c r="J64" s="812">
        <f>VLOOKUP(A64,'1920 Band Moderations'!$A$181:$R$198,18,(FALSE))</f>
        <v>0.13953488372093023</v>
      </c>
      <c r="K64" s="524">
        <v>74</v>
      </c>
      <c r="L64" s="813">
        <f t="shared" si="10"/>
        <v>546449.4127789702</v>
      </c>
      <c r="M64" s="813">
        <f t="shared" si="13"/>
        <v>3967.8197674418607</v>
      </c>
      <c r="N64" s="813">
        <f t="shared" si="11"/>
        <v>550417.23254641204</v>
      </c>
      <c r="O64" s="724">
        <f t="shared" si="14"/>
        <v>431666.66666666669</v>
      </c>
      <c r="P64" s="724">
        <f>(VLOOKUP(A64,'1920 Funding Detail'!$A$4:$AN$23,38,FALSE)*7/12)*K64</f>
        <v>368155.65187974524</v>
      </c>
      <c r="Q64" s="42"/>
      <c r="R64" s="42">
        <f t="shared" si="12"/>
        <v>135600.05687792457</v>
      </c>
      <c r="S64" s="168"/>
    </row>
    <row r="65" spans="1:23" s="34" customFormat="1" x14ac:dyDescent="0.25">
      <c r="A65" s="131">
        <v>9257021</v>
      </c>
      <c r="B65" s="38" t="s">
        <v>78</v>
      </c>
      <c r="C65" s="39">
        <v>5</v>
      </c>
      <c r="D65" s="812">
        <f>VLOOKUP(A65,'1920 Band Moderations'!$A$181:$R$198,6,(FALSE))</f>
        <v>0.27777777777777779</v>
      </c>
      <c r="E65" s="812">
        <f>VLOOKUP(A65,'1920 Band Moderations'!$A$181:$R$198,8,(FALSE))</f>
        <v>0.35185185185185186</v>
      </c>
      <c r="F65" s="812">
        <f>VLOOKUP(A65,'1920 Band Moderations'!$A$181:$R$198,10,(FALSE))</f>
        <v>9.8765432098765427E-2</v>
      </c>
      <c r="G65" s="812">
        <f>VLOOKUP(A65,'1920 Band Moderations'!$A$181:$R$198,12,(FALSE))</f>
        <v>4.3209876543209874E-2</v>
      </c>
      <c r="H65" s="812">
        <f>VLOOKUP(A65,'1920 Band Moderations'!$A$181:$R$198,14,(FALSE))</f>
        <v>7.407407407407407E-2</v>
      </c>
      <c r="I65" s="812">
        <f>VLOOKUP(A65,'1920 Band Moderations'!$A$181:$R$198,16,(FALSE))</f>
        <v>0.14814814814814814</v>
      </c>
      <c r="J65" s="812">
        <f>VLOOKUP(A65,'1920 Band Moderations'!$A$181:$R$198,18,(FALSE))</f>
        <v>6.1728395061728392E-3</v>
      </c>
      <c r="K65" s="524">
        <v>162</v>
      </c>
      <c r="L65" s="813">
        <f t="shared" si="10"/>
        <v>859515.43795668555</v>
      </c>
      <c r="M65" s="813">
        <f t="shared" si="13"/>
        <v>24593.333333333336</v>
      </c>
      <c r="N65" s="813">
        <f t="shared" si="11"/>
        <v>884108.77129001892</v>
      </c>
      <c r="O65" s="724">
        <f t="shared" si="14"/>
        <v>945000</v>
      </c>
      <c r="P65" s="724">
        <f>(VLOOKUP(A65,'1920 Funding Detail'!$A$4:$AN$23,38,FALSE)*7/12)*K65</f>
        <v>287250.65035901236</v>
      </c>
      <c r="Q65" s="42"/>
      <c r="R65" s="42">
        <f t="shared" si="12"/>
        <v>13132.437940880081</v>
      </c>
      <c r="S65" s="168"/>
    </row>
    <row r="66" spans="1:23" s="34" customFormat="1" x14ac:dyDescent="0.25">
      <c r="A66" s="131">
        <v>9257015</v>
      </c>
      <c r="B66" s="38" t="s">
        <v>55</v>
      </c>
      <c r="C66" s="39">
        <v>6</v>
      </c>
      <c r="D66" s="812">
        <f>VLOOKUP(A66,'1920 Band Moderations'!$A$181:$R$198,6,(FALSE))</f>
        <v>0.43037974683544306</v>
      </c>
      <c r="E66" s="812">
        <f>VLOOKUP(A66,'1920 Band Moderations'!$A$181:$R$198,8,(FALSE))</f>
        <v>0.27004219409282698</v>
      </c>
      <c r="F66" s="812">
        <f>VLOOKUP(A66,'1920 Band Moderations'!$A$181:$R$198,10,(FALSE))</f>
        <v>2.9535864978902954E-2</v>
      </c>
      <c r="G66" s="812">
        <f>VLOOKUP(A66,'1920 Band Moderations'!$A$181:$R$198,12,(FALSE))</f>
        <v>6.3291139240506333E-2</v>
      </c>
      <c r="H66" s="812">
        <f>VLOOKUP(A66,'1920 Band Moderations'!$A$181:$R$198,14,(FALSE))</f>
        <v>5.9071729957805907E-2</v>
      </c>
      <c r="I66" s="812">
        <f>VLOOKUP(A66,'1920 Band Moderations'!$A$181:$R$198,16,(FALSE))</f>
        <v>0.13924050632911392</v>
      </c>
      <c r="J66" s="812">
        <f>VLOOKUP(A66,'1920 Band Moderations'!$A$181:$R$198,18,(FALSE))</f>
        <v>8.4388185654008432E-3</v>
      </c>
      <c r="K66" s="524">
        <v>221</v>
      </c>
      <c r="L66" s="813">
        <f t="shared" si="10"/>
        <v>1111603.5749542923</v>
      </c>
      <c r="M66" s="813">
        <f t="shared" si="13"/>
        <v>10033.197960618849</v>
      </c>
      <c r="N66" s="813">
        <f t="shared" si="11"/>
        <v>1121636.7729149112</v>
      </c>
      <c r="O66" s="724">
        <f t="shared" si="14"/>
        <v>1289166.6666666667</v>
      </c>
      <c r="P66" s="724">
        <f>(VLOOKUP(A66,'1920 Funding Detail'!$A$4:$AN$23,38,FALSE)*7/12)*K66</f>
        <v>165252.96249824436</v>
      </c>
      <c r="Q66" s="42"/>
      <c r="R66" s="42">
        <f t="shared" si="12"/>
        <v>24491.719704088591</v>
      </c>
      <c r="S66" s="168"/>
    </row>
    <row r="67" spans="1:23" s="34" customFormat="1" x14ac:dyDescent="0.25">
      <c r="A67" s="131">
        <v>9257016</v>
      </c>
      <c r="B67" s="38" t="s">
        <v>80</v>
      </c>
      <c r="C67" s="39">
        <v>6</v>
      </c>
      <c r="D67" s="812">
        <f>VLOOKUP(A67,'1920 Band Moderations'!$A$181:$R$198,6,(FALSE))</f>
        <v>0.16911764705882354</v>
      </c>
      <c r="E67" s="812">
        <f>VLOOKUP(A67,'1920 Band Moderations'!$A$181:$R$198,8,(FALSE))</f>
        <v>0.11764705882352941</v>
      </c>
      <c r="F67" s="812">
        <f>VLOOKUP(A67,'1920 Band Moderations'!$A$181:$R$198,10,(FALSE))</f>
        <v>7.3529411764705881E-3</v>
      </c>
      <c r="G67" s="812">
        <f>VLOOKUP(A67,'1920 Band Moderations'!$A$181:$R$198,12,(FALSE))</f>
        <v>0.20588235294117646</v>
      </c>
      <c r="H67" s="812">
        <f>VLOOKUP(A67,'1920 Band Moderations'!$A$181:$R$198,14,(FALSE))</f>
        <v>0.23529411764705882</v>
      </c>
      <c r="I67" s="812">
        <f>VLOOKUP(A67,'1920 Band Moderations'!$A$181:$R$198,16,(FALSE))</f>
        <v>7.3529411764705881E-3</v>
      </c>
      <c r="J67" s="812">
        <f>VLOOKUP(A67,'1920 Band Moderations'!$A$181:$R$198,18,(FALSE))</f>
        <v>0.25735294117647056</v>
      </c>
      <c r="K67" s="524">
        <v>94</v>
      </c>
      <c r="L67" s="813">
        <f t="shared" si="10"/>
        <v>764299.00098883687</v>
      </c>
      <c r="M67" s="813">
        <f t="shared" si="13"/>
        <v>1062.3958333333335</v>
      </c>
      <c r="N67" s="813">
        <f t="shared" si="11"/>
        <v>765361.39682217024</v>
      </c>
      <c r="O67" s="724">
        <f t="shared" si="14"/>
        <v>548333.33333333337</v>
      </c>
      <c r="P67" s="724">
        <f>(VLOOKUP(A67,'1920 Funding Detail'!$A$4:$AN$23,38,FALSE)*7/12)*K67</f>
        <v>445311.96348883689</v>
      </c>
      <c r="Q67" s="628" t="s">
        <v>402</v>
      </c>
      <c r="R67" s="42">
        <f t="shared" si="12"/>
        <v>317689.12371687841</v>
      </c>
      <c r="S67" s="168"/>
    </row>
    <row r="68" spans="1:23" s="34" customFormat="1" x14ac:dyDescent="0.25">
      <c r="B68" s="50"/>
      <c r="C68" s="50"/>
      <c r="F68" s="628" t="s">
        <v>402</v>
      </c>
      <c r="J68" s="628" t="s">
        <v>402</v>
      </c>
      <c r="K68" s="933"/>
      <c r="N68" s="628" t="s">
        <v>402</v>
      </c>
      <c r="S68" s="347"/>
    </row>
    <row r="69" spans="1:23" s="34" customFormat="1" ht="13" x14ac:dyDescent="0.3">
      <c r="A69" s="230" t="s">
        <v>857</v>
      </c>
      <c r="B69" s="50"/>
      <c r="C69" s="50"/>
      <c r="K69" s="933"/>
      <c r="L69" s="933"/>
      <c r="S69" s="347"/>
    </row>
    <row r="70" spans="1:23" s="34" customFormat="1" x14ac:dyDescent="0.25">
      <c r="B70" s="50"/>
      <c r="C70" s="50"/>
      <c r="K70" s="933"/>
      <c r="L70" s="933"/>
      <c r="O70" s="1893" t="s">
        <v>332</v>
      </c>
      <c r="P70" s="1894"/>
      <c r="S70" s="347"/>
    </row>
    <row r="71" spans="1:23" s="34" customFormat="1" ht="37.5" x14ac:dyDescent="0.25">
      <c r="A71" s="183" t="s">
        <v>201</v>
      </c>
      <c r="B71" s="36" t="s">
        <v>66</v>
      </c>
      <c r="C71" s="39" t="s">
        <v>51</v>
      </c>
      <c r="D71" s="939" t="s">
        <v>858</v>
      </c>
      <c r="E71" s="939" t="s">
        <v>859</v>
      </c>
      <c r="F71" s="939" t="s">
        <v>860</v>
      </c>
      <c r="G71" s="939" t="s">
        <v>861</v>
      </c>
      <c r="H71" s="939" t="s">
        <v>862</v>
      </c>
      <c r="I71" s="939" t="s">
        <v>863</v>
      </c>
      <c r="J71" s="939" t="s">
        <v>864</v>
      </c>
      <c r="K71" s="941" t="s">
        <v>185</v>
      </c>
      <c r="L71" s="941" t="s">
        <v>289</v>
      </c>
      <c r="M71" s="941" t="s">
        <v>392</v>
      </c>
      <c r="N71" s="941" t="s">
        <v>289</v>
      </c>
      <c r="O71" s="941" t="s">
        <v>330</v>
      </c>
      <c r="P71" s="694" t="s">
        <v>341</v>
      </c>
      <c r="Q71" s="941"/>
      <c r="R71" s="941"/>
      <c r="S71" s="252"/>
    </row>
    <row r="72" spans="1:23" s="34" customFormat="1" x14ac:dyDescent="0.25">
      <c r="A72" s="185">
        <v>9257010</v>
      </c>
      <c r="B72" s="38" t="s">
        <v>67</v>
      </c>
      <c r="C72" s="39">
        <v>4</v>
      </c>
      <c r="D72" s="812">
        <f>VLOOKUP(A72,'1920 Band Moderations'!$A$181:$R$198,6,(FALSE))</f>
        <v>0.05</v>
      </c>
      <c r="E72" s="812">
        <f>VLOOKUP(A72,'1920 Band Moderations'!$A$181:$R$198,8,(FALSE))</f>
        <v>0.35</v>
      </c>
      <c r="F72" s="812">
        <f>VLOOKUP(A72,'1920 Band Moderations'!$A$181:$R$198,10,(FALSE))</f>
        <v>6.6666666666666666E-2</v>
      </c>
      <c r="G72" s="812">
        <f>VLOOKUP(A72,'1920 Band Moderations'!$A$181:$R$198,12,(FALSE))</f>
        <v>0.15</v>
      </c>
      <c r="H72" s="812">
        <f>VLOOKUP(A72,'1920 Band Moderations'!$A$181:$R$198,14,(FALSE))</f>
        <v>0.05</v>
      </c>
      <c r="I72" s="812">
        <f>VLOOKUP(A72,'1920 Band Moderations'!$A$181:$R$198,16,(FALSE))</f>
        <v>0.21666666666666667</v>
      </c>
      <c r="J72" s="812">
        <f>VLOOKUP(A72,'1920 Band Moderations'!$A$181:$R$198,18,(FALSE))</f>
        <v>0.11666666666666667</v>
      </c>
      <c r="K72" s="524">
        <v>8</v>
      </c>
      <c r="L72" s="813">
        <f>((((K72*D72)*$G$92)+((K72*E72)*$G$94)+((K72*F72)*$G$96)+((K72*G72)*$G$98)+((K72*H72)*$G$100)+((K72*I72)*$G$102)+((K72*J72)*$G$104)))*(8/12)</f>
        <v>64420.288383065963</v>
      </c>
      <c r="M72" s="813">
        <f t="shared" ref="M72:M89" si="15">((F72*K72)*$G$106)*(8/12)</f>
        <v>936.8888888888888</v>
      </c>
      <c r="N72" s="813">
        <f>SUM(L72:M72)</f>
        <v>65357.177271954853</v>
      </c>
      <c r="O72" s="724">
        <f>(K72*(8/12))*10000</f>
        <v>53333.333333333328</v>
      </c>
      <c r="P72" s="724">
        <f>(VLOOKUP(A72,'1920 Funding Detail'!$A$4:$AN$23,38,FALSE)*8/12)*K72</f>
        <v>54582.543390450643</v>
      </c>
      <c r="Q72" s="80"/>
      <c r="R72" s="42">
        <f t="shared" ref="R72:R89" si="16">(J72*K72*$G$104)*8/12</f>
        <v>14007.93380360542</v>
      </c>
      <c r="S72" s="168"/>
      <c r="T72" s="348"/>
      <c r="V72" s="626" t="s">
        <v>402</v>
      </c>
      <c r="W72" s="625" t="s">
        <v>594</v>
      </c>
    </row>
    <row r="73" spans="1:23" s="34" customFormat="1" x14ac:dyDescent="0.25">
      <c r="A73" s="185">
        <v>9257005</v>
      </c>
      <c r="B73" s="38" t="s">
        <v>68</v>
      </c>
      <c r="C73" s="39">
        <v>4</v>
      </c>
      <c r="D73" s="812">
        <f>VLOOKUP(A73,'1920 Band Moderations'!$A$181:$R$198,6,(FALSE))</f>
        <v>0.10810810810810811</v>
      </c>
      <c r="E73" s="812">
        <f>VLOOKUP(A73,'1920 Band Moderations'!$A$181:$R$198,8,(FALSE))</f>
        <v>0.22972972972972974</v>
      </c>
      <c r="F73" s="812">
        <f>VLOOKUP(A73,'1920 Band Moderations'!$A$181:$R$198,10,(FALSE))</f>
        <v>0.12162162162162163</v>
      </c>
      <c r="G73" s="812">
        <f>VLOOKUP(A73,'1920 Band Moderations'!$A$181:$R$198,12,(FALSE))</f>
        <v>0.14864864864864866</v>
      </c>
      <c r="H73" s="812">
        <f>VLOOKUP(A73,'1920 Band Moderations'!$A$181:$R$198,14,(FALSE))</f>
        <v>0.13513513513513514</v>
      </c>
      <c r="I73" s="812">
        <f>VLOOKUP(A73,'1920 Band Moderations'!$A$181:$R$198,16,(FALSE))</f>
        <v>0.17567567567567569</v>
      </c>
      <c r="J73" s="812">
        <f>VLOOKUP(A73,'1920 Band Moderations'!$A$181:$R$198,18,(FALSE))</f>
        <v>8.1081081081081086E-2</v>
      </c>
      <c r="K73" s="524">
        <v>23</v>
      </c>
      <c r="L73" s="813">
        <f t="shared" ref="L73:L89" si="17">((((K73*D73)*$G$92)+((K73*E73)*$G$94)+((K73*F73)*$G$96)+((K73*G73)*$G$98)+((K73*H73)*$G$100)+((K73*I73)*$G$102)+((K73*J73)*$G$104)))*(8/12)</f>
        <v>183577.08124155115</v>
      </c>
      <c r="M73" s="813">
        <f t="shared" si="15"/>
        <v>4913.9189189189183</v>
      </c>
      <c r="N73" s="813">
        <f>SUM(L73:M73)</f>
        <v>188491.00016047005</v>
      </c>
      <c r="O73" s="724">
        <f t="shared" ref="O73:O89" si="18">(K73*(8/12))*10000</f>
        <v>153333.33333333331</v>
      </c>
      <c r="P73" s="724">
        <f>(VLOOKUP(A73,'1920 Funding Detail'!$A$4:$AN$23,38,FALSE)*8/12)*K73</f>
        <v>131651.79262037648</v>
      </c>
      <c r="Q73" s="80"/>
      <c r="R73" s="42">
        <f t="shared" si="16"/>
        <v>27988.82526396064</v>
      </c>
      <c r="S73" s="168"/>
      <c r="T73" s="348"/>
    </row>
    <row r="74" spans="1:23" s="34" customFormat="1" x14ac:dyDescent="0.25">
      <c r="A74" s="185">
        <v>9257025</v>
      </c>
      <c r="B74" s="38" t="s">
        <v>69</v>
      </c>
      <c r="C74" s="39">
        <v>4</v>
      </c>
      <c r="D74" s="812">
        <f>VLOOKUP(A74,'1920 Band Moderations'!$A$181:$R$198,6,(FALSE))</f>
        <v>0.22972972972972974</v>
      </c>
      <c r="E74" s="812">
        <f>VLOOKUP(A74,'1920 Band Moderations'!$A$181:$R$198,8,(FALSE))</f>
        <v>0.29729729729729731</v>
      </c>
      <c r="F74" s="812">
        <f>VLOOKUP(A74,'1920 Band Moderations'!$A$181:$R$198,10,(FALSE))</f>
        <v>0.12162162162162163</v>
      </c>
      <c r="G74" s="812">
        <f>VLOOKUP(A74,'1920 Band Moderations'!$A$181:$R$198,12,(FALSE))</f>
        <v>0.12162162162162163</v>
      </c>
      <c r="H74" s="812">
        <f>VLOOKUP(A74,'1920 Band Moderations'!$A$181:$R$198,14,(FALSE))</f>
        <v>8.1081081081081086E-2</v>
      </c>
      <c r="I74" s="812">
        <f>VLOOKUP(A74,'1920 Band Moderations'!$A$181:$R$198,16,(FALSE))</f>
        <v>0.10810810810810811</v>
      </c>
      <c r="J74" s="812">
        <f>VLOOKUP(A74,'1920 Band Moderations'!$A$181:$R$198,18,(FALSE))</f>
        <v>4.0540540540540543E-2</v>
      </c>
      <c r="K74" s="524">
        <v>18</v>
      </c>
      <c r="L74" s="813">
        <f t="shared" si="17"/>
        <v>120944.43174566313</v>
      </c>
      <c r="M74" s="813">
        <f t="shared" si="15"/>
        <v>3845.6756756756758</v>
      </c>
      <c r="N74" s="813">
        <f t="shared" ref="N74:N89" si="19">SUM(L74:M74)</f>
        <v>124790.10742133881</v>
      </c>
      <c r="O74" s="724">
        <f t="shared" si="18"/>
        <v>120000</v>
      </c>
      <c r="P74" s="724">
        <f>(VLOOKUP(A74,'1920 Funding Detail'!$A$4:$AN$23,38,FALSE)*8/12)*K74</f>
        <v>86703.289358004229</v>
      </c>
      <c r="Q74" s="80"/>
      <c r="R74" s="42">
        <f t="shared" si="16"/>
        <v>10952.149016332425</v>
      </c>
      <c r="S74" s="168"/>
      <c r="T74" s="348"/>
    </row>
    <row r="75" spans="1:23" s="34" customFormat="1" x14ac:dyDescent="0.25">
      <c r="A75" s="185">
        <v>9257011</v>
      </c>
      <c r="B75" s="38" t="s">
        <v>70</v>
      </c>
      <c r="C75" s="39">
        <v>4</v>
      </c>
      <c r="D75" s="812">
        <f>VLOOKUP(A75,'1920 Band Moderations'!$A$181:$R$198,6,(FALSE))</f>
        <v>7.2727272727272724E-2</v>
      </c>
      <c r="E75" s="812">
        <f>VLOOKUP(A75,'1920 Band Moderations'!$A$181:$R$198,8,(FALSE))</f>
        <v>0.27272727272727271</v>
      </c>
      <c r="F75" s="812">
        <f>VLOOKUP(A75,'1920 Band Moderations'!$A$181:$R$198,10,(FALSE))</f>
        <v>3.6363636363636362E-2</v>
      </c>
      <c r="G75" s="812">
        <f>VLOOKUP(A75,'1920 Band Moderations'!$A$181:$R$198,12,(FALSE))</f>
        <v>0.23636363636363636</v>
      </c>
      <c r="H75" s="812">
        <f>VLOOKUP(A75,'1920 Band Moderations'!$A$181:$R$198,14,(FALSE))</f>
        <v>0.14545454545454545</v>
      </c>
      <c r="I75" s="812">
        <f>VLOOKUP(A75,'1920 Band Moderations'!$A$181:$R$198,16,(FALSE))</f>
        <v>0.14545454545454545</v>
      </c>
      <c r="J75" s="812">
        <f>VLOOKUP(A75,'1920 Band Moderations'!$A$181:$R$198,18,(FALSE))</f>
        <v>9.0909090909090912E-2</v>
      </c>
      <c r="K75" s="524">
        <v>15</v>
      </c>
      <c r="L75" s="813">
        <f t="shared" si="17"/>
        <v>122471.90269391087</v>
      </c>
      <c r="M75" s="813">
        <f t="shared" si="15"/>
        <v>958.18181818181813</v>
      </c>
      <c r="N75" s="813">
        <f t="shared" si="19"/>
        <v>123430.0845120927</v>
      </c>
      <c r="O75" s="724">
        <f t="shared" si="18"/>
        <v>100000</v>
      </c>
      <c r="P75" s="724">
        <f>(VLOOKUP(A75,'1920 Funding Detail'!$A$4:$AN$23,38,FALSE)*8/12)*K75</f>
        <v>100147.1099358215</v>
      </c>
      <c r="Q75" s="80"/>
      <c r="R75" s="42">
        <f t="shared" si="16"/>
        <v>20466.137050722205</v>
      </c>
      <c r="S75" s="168"/>
      <c r="T75" s="348"/>
    </row>
    <row r="76" spans="1:23" s="34" customFormat="1" x14ac:dyDescent="0.25">
      <c r="A76" s="185">
        <v>9257024</v>
      </c>
      <c r="B76" s="38" t="s">
        <v>71</v>
      </c>
      <c r="C76" s="39">
        <v>3</v>
      </c>
      <c r="D76" s="812">
        <f>VLOOKUP(A76,'1920 Band Moderations'!$A$181:$R$198,6,(FALSE))</f>
        <v>0.10975609756097561</v>
      </c>
      <c r="E76" s="812">
        <f>VLOOKUP(A76,'1920 Band Moderations'!$A$181:$R$198,8,(FALSE))</f>
        <v>0.41463414634146339</v>
      </c>
      <c r="F76" s="812">
        <f>VLOOKUP(A76,'1920 Band Moderations'!$A$181:$R$198,10,(FALSE))</f>
        <v>2.4390243902439025E-2</v>
      </c>
      <c r="G76" s="812">
        <f>VLOOKUP(A76,'1920 Band Moderations'!$A$181:$R$198,12,(FALSE))</f>
        <v>0.13414634146341464</v>
      </c>
      <c r="H76" s="812">
        <f>VLOOKUP(A76,'1920 Band Moderations'!$A$181:$R$198,14,(FALSE))</f>
        <v>0.12195121951219512</v>
      </c>
      <c r="I76" s="812">
        <f>VLOOKUP(A76,'1920 Band Moderations'!$A$181:$R$198,16,(FALSE))</f>
        <v>7.3170731707317069E-2</v>
      </c>
      <c r="J76" s="812">
        <f>VLOOKUP(A76,'1920 Band Moderations'!$A$181:$R$198,18,(FALSE))</f>
        <v>0.12195121951219512</v>
      </c>
      <c r="K76" s="524">
        <v>15</v>
      </c>
      <c r="L76" s="813">
        <f t="shared" si="17"/>
        <v>111568.58491533052</v>
      </c>
      <c r="M76" s="813">
        <f t="shared" si="15"/>
        <v>642.68292682926824</v>
      </c>
      <c r="N76" s="813">
        <f t="shared" si="19"/>
        <v>112211.26784215978</v>
      </c>
      <c r="O76" s="724">
        <f t="shared" si="18"/>
        <v>100000</v>
      </c>
      <c r="P76" s="724">
        <f>(VLOOKUP(A76,'1920 Funding Detail'!$A$4:$AN$23,38,FALSE)*8/12)*K76</f>
        <v>73014.238230791991</v>
      </c>
      <c r="Q76" s="80"/>
      <c r="R76" s="42">
        <f t="shared" si="16"/>
        <v>27454.574092432227</v>
      </c>
      <c r="S76" s="168"/>
      <c r="T76" s="348"/>
    </row>
    <row r="77" spans="1:23" s="34" customFormat="1" x14ac:dyDescent="0.25">
      <c r="A77" s="185">
        <v>9257031</v>
      </c>
      <c r="B77" s="38" t="s">
        <v>98</v>
      </c>
      <c r="C77" s="39">
        <v>4</v>
      </c>
      <c r="D77" s="812">
        <f>VLOOKUP(A77,'1920 Band Moderations'!$A$181:$R$198,6,(FALSE))</f>
        <v>0</v>
      </c>
      <c r="E77" s="812">
        <f>VLOOKUP(A77,'1920 Band Moderations'!$A$181:$R$198,8,(FALSE))</f>
        <v>0</v>
      </c>
      <c r="F77" s="812">
        <f>VLOOKUP(A77,'1920 Band Moderations'!$A$181:$R$198,10,(FALSE))</f>
        <v>1</v>
      </c>
      <c r="G77" s="812">
        <f>VLOOKUP(A77,'1920 Band Moderations'!$A$181:$R$198,12,(FALSE))</f>
        <v>0</v>
      </c>
      <c r="H77" s="812">
        <f>VLOOKUP(A77,'1920 Band Moderations'!$A$181:$R$198,14,(FALSE))</f>
        <v>0</v>
      </c>
      <c r="I77" s="812">
        <f>VLOOKUP(A77,'1920 Band Moderations'!$A$181:$R$198,16,(FALSE))</f>
        <v>0</v>
      </c>
      <c r="J77" s="812">
        <f>VLOOKUP(A77,'1920 Band Moderations'!$A$181:$R$198,18,(FALSE))</f>
        <v>0</v>
      </c>
      <c r="K77" s="524">
        <v>0</v>
      </c>
      <c r="L77" s="813">
        <f t="shared" si="17"/>
        <v>0</v>
      </c>
      <c r="M77" s="813">
        <f t="shared" si="15"/>
        <v>0</v>
      </c>
      <c r="N77" s="813">
        <f t="shared" si="19"/>
        <v>0</v>
      </c>
      <c r="O77" s="724">
        <f t="shared" si="18"/>
        <v>0</v>
      </c>
      <c r="P77" s="724">
        <f>(VLOOKUP(A77,'1920 Funding Detail'!$A$4:$AN$23,38,FALSE)*8/12)*K77</f>
        <v>0</v>
      </c>
      <c r="Q77" s="80"/>
      <c r="R77" s="42">
        <f t="shared" si="16"/>
        <v>0</v>
      </c>
      <c r="S77" s="168"/>
      <c r="T77" s="348"/>
    </row>
    <row r="78" spans="1:23" s="34" customFormat="1" x14ac:dyDescent="0.25">
      <c r="A78" s="185">
        <v>9257033</v>
      </c>
      <c r="B78" s="38" t="s">
        <v>72</v>
      </c>
      <c r="C78" s="39">
        <v>3</v>
      </c>
      <c r="D78" s="812">
        <f>VLOOKUP(A78,'1920 Band Moderations'!$A$181:$R$198,6,(FALSE))</f>
        <v>0.20454545454545456</v>
      </c>
      <c r="E78" s="812">
        <f>VLOOKUP(A78,'1920 Band Moderations'!$A$181:$R$198,8,(FALSE))</f>
        <v>0.28409090909090912</v>
      </c>
      <c r="F78" s="812">
        <f>VLOOKUP(A78,'1920 Band Moderations'!$A$181:$R$198,10,(FALSE))</f>
        <v>0.19318181818181818</v>
      </c>
      <c r="G78" s="812">
        <f>VLOOKUP(A78,'1920 Band Moderations'!$A$181:$R$198,12,(FALSE))</f>
        <v>0.17045454545454544</v>
      </c>
      <c r="H78" s="812">
        <f>VLOOKUP(A78,'1920 Band Moderations'!$A$181:$R$198,14,(FALSE))</f>
        <v>7.9545454545454544E-2</v>
      </c>
      <c r="I78" s="812">
        <f>VLOOKUP(A78,'1920 Band Moderations'!$A$181:$R$198,16,(FALSE))</f>
        <v>6.8181818181818177E-2</v>
      </c>
      <c r="J78" s="812">
        <f>VLOOKUP(A78,'1920 Band Moderations'!$A$181:$R$198,18,(FALSE))</f>
        <v>0</v>
      </c>
      <c r="K78" s="524">
        <v>0</v>
      </c>
      <c r="L78" s="813">
        <f t="shared" si="17"/>
        <v>0</v>
      </c>
      <c r="M78" s="813">
        <f t="shared" si="15"/>
        <v>0</v>
      </c>
      <c r="N78" s="813">
        <f t="shared" si="19"/>
        <v>0</v>
      </c>
      <c r="O78" s="724">
        <f t="shared" si="18"/>
        <v>0</v>
      </c>
      <c r="P78" s="724">
        <f>(VLOOKUP(A78,'1920 Funding Detail'!$A$4:$AN$23,38,FALSE)*8/12)*K78</f>
        <v>0</v>
      </c>
      <c r="Q78" s="80"/>
      <c r="R78" s="42">
        <f t="shared" si="16"/>
        <v>0</v>
      </c>
      <c r="S78" s="168"/>
      <c r="T78" s="348"/>
    </row>
    <row r="79" spans="1:23" s="34" customFormat="1" x14ac:dyDescent="0.25">
      <c r="A79" s="185">
        <v>9257008</v>
      </c>
      <c r="B79" s="38" t="s">
        <v>73</v>
      </c>
      <c r="C79" s="39">
        <v>4</v>
      </c>
      <c r="D79" s="812">
        <f>VLOOKUP(A79,'1920 Band Moderations'!$A$181:$R$198,6,(FALSE))</f>
        <v>6.3157894736842107E-2</v>
      </c>
      <c r="E79" s="812">
        <f>VLOOKUP(A79,'1920 Band Moderations'!$A$181:$R$198,8,(FALSE))</f>
        <v>0.57894736842105265</v>
      </c>
      <c r="F79" s="812">
        <f>VLOOKUP(A79,'1920 Band Moderations'!$A$181:$R$198,10,(FALSE))</f>
        <v>0.10526315789473684</v>
      </c>
      <c r="G79" s="812">
        <f>VLOOKUP(A79,'1920 Band Moderations'!$A$181:$R$198,12,(FALSE))</f>
        <v>5.2631578947368418E-2</v>
      </c>
      <c r="H79" s="812">
        <f>VLOOKUP(A79,'1920 Band Moderations'!$A$181:$R$198,14,(FALSE))</f>
        <v>1.0526315789473684E-2</v>
      </c>
      <c r="I79" s="812">
        <f>VLOOKUP(A79,'1920 Band Moderations'!$A$181:$R$198,16,(FALSE))</f>
        <v>0.18947368421052632</v>
      </c>
      <c r="J79" s="812">
        <f>VLOOKUP(A79,'1920 Band Moderations'!$A$181:$R$198,18,(FALSE))</f>
        <v>0</v>
      </c>
      <c r="K79" s="524">
        <v>0</v>
      </c>
      <c r="L79" s="813">
        <f t="shared" si="17"/>
        <v>0</v>
      </c>
      <c r="M79" s="813">
        <f t="shared" si="15"/>
        <v>0</v>
      </c>
      <c r="N79" s="813">
        <f t="shared" si="19"/>
        <v>0</v>
      </c>
      <c r="O79" s="724">
        <f t="shared" si="18"/>
        <v>0</v>
      </c>
      <c r="P79" s="724">
        <f>(VLOOKUP(A79,'1920 Funding Detail'!$A$4:$AN$23,38,FALSE)*8/12)*K79</f>
        <v>0</v>
      </c>
      <c r="Q79" s="80"/>
      <c r="R79" s="42">
        <f t="shared" si="16"/>
        <v>0</v>
      </c>
      <c r="S79" s="168"/>
      <c r="T79" s="348"/>
    </row>
    <row r="80" spans="1:23" s="34" customFormat="1" x14ac:dyDescent="0.25">
      <c r="A80" s="185">
        <v>9257034</v>
      </c>
      <c r="B80" s="38" t="s">
        <v>74</v>
      </c>
      <c r="C80" s="39">
        <v>5</v>
      </c>
      <c r="D80" s="812">
        <f>VLOOKUP(A80,'1920 Band Moderations'!$A$181:$R$198,6,(FALSE))</f>
        <v>0.41964285714285715</v>
      </c>
      <c r="E80" s="812">
        <f>VLOOKUP(A80,'1920 Band Moderations'!$A$181:$R$198,8,(FALSE))</f>
        <v>0.26785714285714285</v>
      </c>
      <c r="F80" s="812">
        <f>VLOOKUP(A80,'1920 Band Moderations'!$A$181:$R$198,10,(FALSE))</f>
        <v>0.17857142857142858</v>
      </c>
      <c r="G80" s="812">
        <f>VLOOKUP(A80,'1920 Band Moderations'!$A$181:$R$198,12,(FALSE))</f>
        <v>4.4642857142857144E-2</v>
      </c>
      <c r="H80" s="812">
        <f>VLOOKUP(A80,'1920 Band Moderations'!$A$181:$R$198,14,(FALSE))</f>
        <v>3.5714285714285712E-2</v>
      </c>
      <c r="I80" s="812">
        <f>VLOOKUP(A80,'1920 Band Moderations'!$A$181:$R$198,16,(FALSE))</f>
        <v>4.4642857142857144E-2</v>
      </c>
      <c r="J80" s="812">
        <f>VLOOKUP(A80,'1920 Band Moderations'!$A$181:$R$198,18,(FALSE))</f>
        <v>8.9285714285714281E-3</v>
      </c>
      <c r="K80" s="524">
        <v>37</v>
      </c>
      <c r="L80" s="813">
        <f t="shared" si="17"/>
        <v>203257.72216348711</v>
      </c>
      <c r="M80" s="813">
        <f t="shared" si="15"/>
        <v>11606.54761904762</v>
      </c>
      <c r="N80" s="813">
        <f t="shared" si="19"/>
        <v>214864.26978253474</v>
      </c>
      <c r="O80" s="724">
        <f t="shared" si="18"/>
        <v>246666.66666666666</v>
      </c>
      <c r="P80" s="724">
        <f>(VLOOKUP(A80,'1920 Funding Detail'!$A$4:$AN$23,38,FALSE)*8/12)*K80</f>
        <v>87973.305173561181</v>
      </c>
      <c r="Q80" s="80"/>
      <c r="R80" s="42">
        <f t="shared" si="16"/>
        <v>4958.1653450261538</v>
      </c>
      <c r="S80" s="168"/>
      <c r="T80" s="348"/>
    </row>
    <row r="81" spans="1:20" s="34" customFormat="1" x14ac:dyDescent="0.25">
      <c r="A81" s="185">
        <v>9257002</v>
      </c>
      <c r="B81" s="38" t="s">
        <v>75</v>
      </c>
      <c r="C81" s="39">
        <v>5</v>
      </c>
      <c r="D81" s="812">
        <f>VLOOKUP(A81,'1920 Band Moderations'!$A$181:$R$198,6,(FALSE))</f>
        <v>0.46527777777777779</v>
      </c>
      <c r="E81" s="812">
        <f>VLOOKUP(A81,'1920 Band Moderations'!$A$181:$R$198,8,(FALSE))</f>
        <v>0.16666666666666666</v>
      </c>
      <c r="F81" s="812">
        <f>VLOOKUP(A81,'1920 Band Moderations'!$A$181:$R$198,10,(FALSE))</f>
        <v>0.1875</v>
      </c>
      <c r="G81" s="812">
        <f>VLOOKUP(A81,'1920 Band Moderations'!$A$181:$R$198,12,(FALSE))</f>
        <v>1.3888888888888888E-2</v>
      </c>
      <c r="H81" s="812">
        <f>VLOOKUP(A81,'1920 Band Moderations'!$A$181:$R$198,14,(FALSE))</f>
        <v>4.8611111111111112E-2</v>
      </c>
      <c r="I81" s="812">
        <f>VLOOKUP(A81,'1920 Band Moderations'!$A$181:$R$198,16,(FALSE))</f>
        <v>0.1111111111111111</v>
      </c>
      <c r="J81" s="812">
        <f>VLOOKUP(A81,'1920 Band Moderations'!$A$181:$R$198,18,(FALSE))</f>
        <v>6.9444444444444441E-3</v>
      </c>
      <c r="K81" s="524">
        <v>0</v>
      </c>
      <c r="L81" s="813">
        <f t="shared" si="17"/>
        <v>0</v>
      </c>
      <c r="M81" s="813">
        <f t="shared" si="15"/>
        <v>0</v>
      </c>
      <c r="N81" s="813">
        <f t="shared" si="19"/>
        <v>0</v>
      </c>
      <c r="O81" s="724">
        <f t="shared" si="18"/>
        <v>0</v>
      </c>
      <c r="P81" s="724">
        <f>(VLOOKUP(A81,'1920 Funding Detail'!$A$4:$AN$23,38,FALSE)*8/12)*K81</f>
        <v>0</v>
      </c>
      <c r="Q81" s="80"/>
      <c r="R81" s="42">
        <f t="shared" si="16"/>
        <v>0</v>
      </c>
      <c r="S81" s="168"/>
      <c r="T81" s="348"/>
    </row>
    <row r="82" spans="1:20" s="34" customFormat="1" x14ac:dyDescent="0.25">
      <c r="A82" s="185">
        <v>9257009</v>
      </c>
      <c r="B82" s="38" t="s">
        <v>76</v>
      </c>
      <c r="C82" s="39">
        <v>4</v>
      </c>
      <c r="D82" s="812">
        <f>VLOOKUP(A82,'1920 Band Moderations'!$A$181:$R$198,6,(FALSE))</f>
        <v>0.17910447761194029</v>
      </c>
      <c r="E82" s="812">
        <f>VLOOKUP(A82,'1920 Band Moderations'!$A$181:$R$198,8,(FALSE))</f>
        <v>0.5074626865671642</v>
      </c>
      <c r="F82" s="812">
        <f>VLOOKUP(A82,'1920 Band Moderations'!$A$181:$R$198,10,(FALSE))</f>
        <v>0.11940298507462686</v>
      </c>
      <c r="G82" s="812">
        <f>VLOOKUP(A82,'1920 Band Moderations'!$A$181:$R$198,12,(FALSE))</f>
        <v>1.4925373134328358E-2</v>
      </c>
      <c r="H82" s="812">
        <f>VLOOKUP(A82,'1920 Band Moderations'!$A$181:$R$198,14,(FALSE))</f>
        <v>3.7313432835820892E-2</v>
      </c>
      <c r="I82" s="812">
        <f>VLOOKUP(A82,'1920 Band Moderations'!$A$181:$R$198,16,(FALSE))</f>
        <v>0.1417910447761194</v>
      </c>
      <c r="J82" s="812">
        <f>VLOOKUP(A82,'1920 Band Moderations'!$A$181:$R$198,18,(FALSE))</f>
        <v>0</v>
      </c>
      <c r="K82" s="524">
        <v>0</v>
      </c>
      <c r="L82" s="813">
        <f t="shared" si="17"/>
        <v>0</v>
      </c>
      <c r="M82" s="813">
        <f t="shared" si="15"/>
        <v>0</v>
      </c>
      <c r="N82" s="813">
        <f t="shared" si="19"/>
        <v>0</v>
      </c>
      <c r="O82" s="724">
        <f t="shared" si="18"/>
        <v>0</v>
      </c>
      <c r="P82" s="724">
        <f>(VLOOKUP(A82,'1920 Funding Detail'!$A$4:$AN$23,38,FALSE)*8/12)*K82</f>
        <v>0</v>
      </c>
      <c r="Q82" s="80"/>
      <c r="R82" s="42">
        <f t="shared" si="16"/>
        <v>0</v>
      </c>
      <c r="S82" s="168"/>
      <c r="T82" s="348"/>
    </row>
    <row r="83" spans="1:20" s="34" customFormat="1" x14ac:dyDescent="0.25">
      <c r="A83" s="185">
        <v>9257029</v>
      </c>
      <c r="B83" s="915" t="s">
        <v>848</v>
      </c>
      <c r="C83" s="39">
        <v>3</v>
      </c>
      <c r="D83" s="812">
        <f>VLOOKUP(A83,'1920 Band Moderations'!$A$181:$R$198,6,(FALSE))</f>
        <v>0</v>
      </c>
      <c r="E83" s="812">
        <f>VLOOKUP(A83,'1920 Band Moderations'!$A$181:$R$198,8,(FALSE))</f>
        <v>0</v>
      </c>
      <c r="F83" s="812">
        <f>VLOOKUP(A83,'1920 Band Moderations'!$A$181:$R$198,10,(FALSE))</f>
        <v>1</v>
      </c>
      <c r="G83" s="812">
        <f>VLOOKUP(A83,'1920 Band Moderations'!$A$181:$R$198,12,(FALSE))</f>
        <v>0</v>
      </c>
      <c r="H83" s="812">
        <f>VLOOKUP(A83,'1920 Band Moderations'!$A$181:$R$198,14,(FALSE))</f>
        <v>0</v>
      </c>
      <c r="I83" s="812">
        <f>VLOOKUP(A83,'1920 Band Moderations'!$A$181:$R$198,16,(FALSE))</f>
        <v>0</v>
      </c>
      <c r="J83" s="812">
        <f>VLOOKUP(A83,'1920 Band Moderations'!$A$181:$R$198,18,(FALSE))</f>
        <v>0</v>
      </c>
      <c r="K83" s="524">
        <v>0</v>
      </c>
      <c r="L83" s="813">
        <f t="shared" si="17"/>
        <v>0</v>
      </c>
      <c r="M83" s="813">
        <f t="shared" si="15"/>
        <v>0</v>
      </c>
      <c r="N83" s="813">
        <f t="shared" si="19"/>
        <v>0</v>
      </c>
      <c r="O83" s="724">
        <f t="shared" si="18"/>
        <v>0</v>
      </c>
      <c r="P83" s="724">
        <f>(VLOOKUP(A83,'1920 Funding Detail'!$A$4:$AN$23,38,FALSE)*8/12)*K83</f>
        <v>0</v>
      </c>
      <c r="Q83" s="80"/>
      <c r="R83" s="42">
        <f t="shared" si="16"/>
        <v>0</v>
      </c>
      <c r="S83" s="168"/>
      <c r="T83" s="348"/>
    </row>
    <row r="84" spans="1:20" s="34" customFormat="1" x14ac:dyDescent="0.25">
      <c r="A84" s="185">
        <v>9257032</v>
      </c>
      <c r="B84" s="38" t="s">
        <v>100</v>
      </c>
      <c r="C84" s="39">
        <v>4</v>
      </c>
      <c r="D84" s="812">
        <f>VLOOKUP(A84,'1920 Band Moderations'!$A$181:$R$198,6,(FALSE))</f>
        <v>0</v>
      </c>
      <c r="E84" s="812">
        <f>VLOOKUP(A84,'1920 Band Moderations'!$A$181:$R$198,8,(FALSE))</f>
        <v>0</v>
      </c>
      <c r="F84" s="812">
        <f>VLOOKUP(A84,'1920 Band Moderations'!$A$181:$R$198,10,(FALSE))</f>
        <v>1</v>
      </c>
      <c r="G84" s="812">
        <f>VLOOKUP(A84,'1920 Band Moderations'!$A$181:$R$198,12,(FALSE))</f>
        <v>0</v>
      </c>
      <c r="H84" s="812">
        <f>VLOOKUP(A84,'1920 Band Moderations'!$A$181:$R$198,14,(FALSE))</f>
        <v>0</v>
      </c>
      <c r="I84" s="812">
        <f>VLOOKUP(A84,'1920 Band Moderations'!$A$181:$R$198,16,(FALSE))</f>
        <v>0</v>
      </c>
      <c r="J84" s="812">
        <f>VLOOKUP(A84,'1920 Band Moderations'!$A$181:$R$198,18,(FALSE))</f>
        <v>0</v>
      </c>
      <c r="K84" s="524">
        <v>0</v>
      </c>
      <c r="L84" s="813">
        <f t="shared" si="17"/>
        <v>0</v>
      </c>
      <c r="M84" s="813">
        <f t="shared" si="15"/>
        <v>0</v>
      </c>
      <c r="N84" s="813">
        <f t="shared" si="19"/>
        <v>0</v>
      </c>
      <c r="O84" s="724">
        <f t="shared" si="18"/>
        <v>0</v>
      </c>
      <c r="P84" s="724">
        <f>(VLOOKUP(A84,'1920 Funding Detail'!$A$4:$AN$23,38,FALSE)*8/12)*K84</f>
        <v>0</v>
      </c>
      <c r="Q84" s="80"/>
      <c r="R84" s="42">
        <f t="shared" si="16"/>
        <v>0</v>
      </c>
      <c r="S84" s="168"/>
      <c r="T84" s="348"/>
    </row>
    <row r="85" spans="1:20" s="34" customFormat="1" x14ac:dyDescent="0.25">
      <c r="A85" s="185">
        <v>9257030</v>
      </c>
      <c r="B85" s="38" t="s">
        <v>92</v>
      </c>
      <c r="C85" s="39">
        <v>4</v>
      </c>
      <c r="D85" s="812">
        <f>VLOOKUP(A85,'1920 Band Moderations'!$A$181:$R$198,6,(FALSE))</f>
        <v>0</v>
      </c>
      <c r="E85" s="812">
        <f>VLOOKUP(A85,'1920 Band Moderations'!$A$181:$R$198,8,(FALSE))</f>
        <v>0</v>
      </c>
      <c r="F85" s="812">
        <f>VLOOKUP(A85,'1920 Band Moderations'!$A$181:$R$198,10,(FALSE))</f>
        <v>1</v>
      </c>
      <c r="G85" s="812">
        <f>VLOOKUP(A85,'1920 Band Moderations'!$A$181:$R$198,12,(FALSE))</f>
        <v>0</v>
      </c>
      <c r="H85" s="812">
        <f>VLOOKUP(A85,'1920 Band Moderations'!$A$181:$R$198,14,(FALSE))</f>
        <v>0</v>
      </c>
      <c r="I85" s="812">
        <f>VLOOKUP(A85,'1920 Band Moderations'!$A$181:$R$198,16,(FALSE))</f>
        <v>0</v>
      </c>
      <c r="J85" s="812">
        <f>VLOOKUP(A85,'1920 Band Moderations'!$A$181:$R$198,18,(FALSE))</f>
        <v>0</v>
      </c>
      <c r="K85" s="524">
        <v>0</v>
      </c>
      <c r="L85" s="813">
        <f t="shared" si="17"/>
        <v>0</v>
      </c>
      <c r="M85" s="813">
        <f t="shared" si="15"/>
        <v>0</v>
      </c>
      <c r="N85" s="813">
        <f t="shared" si="19"/>
        <v>0</v>
      </c>
      <c r="O85" s="724">
        <f t="shared" si="18"/>
        <v>0</v>
      </c>
      <c r="P85" s="724">
        <f>(VLOOKUP(A85,'1920 Funding Detail'!$A$4:$AN$23,38,FALSE)*8/12)*K85</f>
        <v>0</v>
      </c>
      <c r="Q85" s="80"/>
      <c r="R85" s="42">
        <f t="shared" si="16"/>
        <v>0</v>
      </c>
      <c r="S85" s="168"/>
      <c r="T85" s="348"/>
    </row>
    <row r="86" spans="1:20" s="34" customFormat="1" x14ac:dyDescent="0.25">
      <c r="A86" s="185">
        <v>9257028</v>
      </c>
      <c r="B86" s="38" t="s">
        <v>77</v>
      </c>
      <c r="C86" s="39">
        <v>5</v>
      </c>
      <c r="D86" s="812">
        <f>VLOOKUP(A86,'1920 Band Moderations'!$A$181:$R$198,6,(FALSE))</f>
        <v>6.9767441860465115E-2</v>
      </c>
      <c r="E86" s="812">
        <f>VLOOKUP(A86,'1920 Band Moderations'!$A$181:$R$198,8,(FALSE))</f>
        <v>0.27906976744186046</v>
      </c>
      <c r="F86" s="812">
        <f>VLOOKUP(A86,'1920 Band Moderations'!$A$181:$R$198,10,(FALSE))</f>
        <v>3.4883720930232558E-2</v>
      </c>
      <c r="G86" s="812">
        <f>VLOOKUP(A86,'1920 Band Moderations'!$A$181:$R$198,12,(FALSE))</f>
        <v>0.12790697674418605</v>
      </c>
      <c r="H86" s="812">
        <f>VLOOKUP(A86,'1920 Band Moderations'!$A$181:$R$198,14,(FALSE))</f>
        <v>0.18604651162790697</v>
      </c>
      <c r="I86" s="812">
        <f>VLOOKUP(A86,'1920 Band Moderations'!$A$181:$R$198,16,(FALSE))</f>
        <v>0.16279069767441862</v>
      </c>
      <c r="J86" s="812">
        <f>VLOOKUP(A86,'1920 Band Moderations'!$A$181:$R$198,18,(FALSE))</f>
        <v>0.13953488372093023</v>
      </c>
      <c r="K86" s="524">
        <v>12</v>
      </c>
      <c r="L86" s="813">
        <f t="shared" si="17"/>
        <v>101272.478043979</v>
      </c>
      <c r="M86" s="813">
        <f t="shared" si="15"/>
        <v>735.34883720930225</v>
      </c>
      <c r="N86" s="813">
        <f t="shared" si="19"/>
        <v>102007.8268811883</v>
      </c>
      <c r="O86" s="724">
        <f t="shared" si="18"/>
        <v>80000</v>
      </c>
      <c r="P86" s="724">
        <f>(VLOOKUP(A86,'1920 Funding Detail'!$A$4:$AN$23,38,FALSE)*8/12)*K86</f>
        <v>68229.618881188318</v>
      </c>
      <c r="Q86" s="80"/>
      <c r="R86" s="42">
        <f t="shared" si="16"/>
        <v>25130.512471584472</v>
      </c>
      <c r="S86" s="168"/>
      <c r="T86" s="348"/>
    </row>
    <row r="87" spans="1:20" s="34" customFormat="1" x14ac:dyDescent="0.25">
      <c r="A87" s="185">
        <v>9257021</v>
      </c>
      <c r="B87" s="38" t="s">
        <v>78</v>
      </c>
      <c r="C87" s="39">
        <v>5</v>
      </c>
      <c r="D87" s="812">
        <f>VLOOKUP(A87,'1920 Band Moderations'!$A$181:$R$198,6,(FALSE))</f>
        <v>0.27777777777777779</v>
      </c>
      <c r="E87" s="812">
        <f>VLOOKUP(A87,'1920 Band Moderations'!$A$181:$R$198,8,(FALSE))</f>
        <v>0.35185185185185186</v>
      </c>
      <c r="F87" s="812">
        <f>VLOOKUP(A87,'1920 Band Moderations'!$A$181:$R$198,10,(FALSE))</f>
        <v>9.8765432098765427E-2</v>
      </c>
      <c r="G87" s="812">
        <f>VLOOKUP(A87,'1920 Band Moderations'!$A$181:$R$198,12,(FALSE))</f>
        <v>4.3209876543209874E-2</v>
      </c>
      <c r="H87" s="812">
        <f>VLOOKUP(A87,'1920 Band Moderations'!$A$181:$R$198,14,(FALSE))</f>
        <v>7.407407407407407E-2</v>
      </c>
      <c r="I87" s="812">
        <f>VLOOKUP(A87,'1920 Band Moderations'!$A$181:$R$198,16,(FALSE))</f>
        <v>0.14814814814814814</v>
      </c>
      <c r="J87" s="812">
        <f>VLOOKUP(A87,'1920 Band Moderations'!$A$181:$R$198,18,(FALSE))</f>
        <v>6.1728395061728392E-3</v>
      </c>
      <c r="K87" s="524">
        <v>0</v>
      </c>
      <c r="L87" s="813">
        <f t="shared" si="17"/>
        <v>0</v>
      </c>
      <c r="M87" s="813">
        <f t="shared" si="15"/>
        <v>0</v>
      </c>
      <c r="N87" s="813">
        <f t="shared" si="19"/>
        <v>0</v>
      </c>
      <c r="O87" s="724">
        <f t="shared" si="18"/>
        <v>0</v>
      </c>
      <c r="P87" s="724">
        <f>(VLOOKUP(A87,'1920 Funding Detail'!$A$4:$AN$23,38,FALSE)*8/12)*K87</f>
        <v>0</v>
      </c>
      <c r="Q87" s="80"/>
      <c r="R87" s="42">
        <f t="shared" si="16"/>
        <v>0</v>
      </c>
      <c r="S87" s="168"/>
      <c r="T87" s="348"/>
    </row>
    <row r="88" spans="1:20" s="34" customFormat="1" x14ac:dyDescent="0.25">
      <c r="A88" s="185">
        <v>9257015</v>
      </c>
      <c r="B88" s="38" t="s">
        <v>55</v>
      </c>
      <c r="C88" s="39">
        <v>6</v>
      </c>
      <c r="D88" s="812">
        <f>VLOOKUP(A88,'1920 Band Moderations'!$A$181:$R$198,6,(FALSE))</f>
        <v>0.43037974683544306</v>
      </c>
      <c r="E88" s="812">
        <f>VLOOKUP(A88,'1920 Band Moderations'!$A$181:$R$198,8,(FALSE))</f>
        <v>0.27004219409282698</v>
      </c>
      <c r="F88" s="812">
        <f>VLOOKUP(A88,'1920 Band Moderations'!$A$181:$R$198,10,(FALSE))</f>
        <v>2.9535864978902954E-2</v>
      </c>
      <c r="G88" s="812">
        <f>VLOOKUP(A88,'1920 Band Moderations'!$A$181:$R$198,12,(FALSE))</f>
        <v>6.3291139240506333E-2</v>
      </c>
      <c r="H88" s="812">
        <f>VLOOKUP(A88,'1920 Band Moderations'!$A$181:$R$198,14,(FALSE))</f>
        <v>5.9071729957805907E-2</v>
      </c>
      <c r="I88" s="812">
        <f>VLOOKUP(A88,'1920 Band Moderations'!$A$181:$R$198,16,(FALSE))</f>
        <v>0.13924050632911392</v>
      </c>
      <c r="J88" s="812">
        <f>VLOOKUP(A88,'1920 Band Moderations'!$A$181:$R$198,18,(FALSE))</f>
        <v>8.4388185654008432E-3</v>
      </c>
      <c r="K88" s="524">
        <v>16</v>
      </c>
      <c r="L88" s="813">
        <f t="shared" si="17"/>
        <v>91974.9564280216</v>
      </c>
      <c r="M88" s="813">
        <f t="shared" si="15"/>
        <v>830.15471167369901</v>
      </c>
      <c r="N88" s="813">
        <f t="shared" si="19"/>
        <v>92805.111139695306</v>
      </c>
      <c r="O88" s="724">
        <f t="shared" si="18"/>
        <v>106666.66666666666</v>
      </c>
      <c r="P88" s="724">
        <f>(VLOOKUP(A88,'1920 Funding Detail'!$A$4:$AN$23,38,FALSE)*8/12)*K88</f>
        <v>13673.160439415178</v>
      </c>
      <c r="Q88" s="80"/>
      <c r="R88" s="42">
        <f t="shared" si="16"/>
        <v>2026.4642030532252</v>
      </c>
      <c r="S88" s="168"/>
      <c r="T88" s="348"/>
    </row>
    <row r="89" spans="1:20" s="34" customFormat="1" x14ac:dyDescent="0.25">
      <c r="A89" s="185">
        <v>9257016</v>
      </c>
      <c r="B89" s="38" t="s">
        <v>80</v>
      </c>
      <c r="C89" s="39">
        <v>6</v>
      </c>
      <c r="D89" s="812">
        <f>VLOOKUP(A89,'1920 Band Moderations'!$A$181:$R$198,6,(FALSE))</f>
        <v>0.16911764705882354</v>
      </c>
      <c r="E89" s="812">
        <f>VLOOKUP(A89,'1920 Band Moderations'!$A$181:$R$198,8,(FALSE))</f>
        <v>0.11764705882352941</v>
      </c>
      <c r="F89" s="812">
        <f>VLOOKUP(A89,'1920 Band Moderations'!$A$181:$R$198,10,(FALSE))</f>
        <v>7.3529411764705881E-3</v>
      </c>
      <c r="G89" s="812">
        <f>VLOOKUP(A89,'1920 Band Moderations'!$A$181:$R$198,12,(FALSE))</f>
        <v>0.20588235294117646</v>
      </c>
      <c r="H89" s="812">
        <f>VLOOKUP(A89,'1920 Band Moderations'!$A$181:$R$198,14,(FALSE))</f>
        <v>0.23529411764705882</v>
      </c>
      <c r="I89" s="812">
        <f>VLOOKUP(A89,'1920 Band Moderations'!$A$181:$R$198,16,(FALSE))</f>
        <v>7.3529411764705881E-3</v>
      </c>
      <c r="J89" s="812">
        <f>VLOOKUP(A89,'1920 Band Moderations'!$A$181:$R$198,18,(FALSE))</f>
        <v>0.25735294117647056</v>
      </c>
      <c r="K89" s="524">
        <v>43</v>
      </c>
      <c r="L89" s="813">
        <f t="shared" si="17"/>
        <v>399572.73000024294</v>
      </c>
      <c r="M89" s="813">
        <f t="shared" si="15"/>
        <v>555.41666666666663</v>
      </c>
      <c r="N89" s="813">
        <f t="shared" si="19"/>
        <v>400128.14666690963</v>
      </c>
      <c r="O89" s="724">
        <f t="shared" si="18"/>
        <v>286666.66666666663</v>
      </c>
      <c r="P89" s="724">
        <f>(VLOOKUP(A89,'1920 Funding Detail'!$A$4:$AN$23,38,FALSE)*8/12)*K89</f>
        <v>232807.47027379923</v>
      </c>
      <c r="Q89" s="628" t="s">
        <v>402</v>
      </c>
      <c r="R89" s="42">
        <f t="shared" si="16"/>
        <v>166086.71513465984</v>
      </c>
      <c r="S89" s="168"/>
      <c r="T89" s="348"/>
    </row>
    <row r="90" spans="1:20" s="34" customFormat="1" x14ac:dyDescent="0.25">
      <c r="B90" s="50"/>
      <c r="C90" s="50"/>
      <c r="F90" s="628" t="s">
        <v>402</v>
      </c>
      <c r="H90" s="933"/>
      <c r="I90" s="628" t="s">
        <v>402</v>
      </c>
      <c r="S90" s="347"/>
    </row>
    <row r="91" spans="1:20" s="34" customFormat="1" x14ac:dyDescent="0.25">
      <c r="C91" s="40"/>
      <c r="I91" s="933"/>
      <c r="J91" s="933"/>
      <c r="S91" s="347"/>
    </row>
    <row r="92" spans="1:20" s="34" customFormat="1" x14ac:dyDescent="0.25">
      <c r="C92" s="921"/>
      <c r="D92" s="52"/>
      <c r="E92" s="526" t="s">
        <v>839</v>
      </c>
      <c r="G92" s="917">
        <f>'Band Values'!F11</f>
        <v>5740.9218150011166</v>
      </c>
      <c r="H92" s="53"/>
      <c r="I92" s="53"/>
      <c r="J92" s="53"/>
      <c r="K92" s="53"/>
      <c r="L92" s="53"/>
      <c r="M92" s="53"/>
      <c r="N92" s="53"/>
      <c r="O92" s="53"/>
      <c r="P92" s="53"/>
      <c r="Q92" s="53"/>
      <c r="S92" s="347"/>
    </row>
    <row r="93" spans="1:20" s="34" customFormat="1" x14ac:dyDescent="0.25">
      <c r="C93" s="921"/>
      <c r="D93" s="52"/>
      <c r="G93" s="42"/>
      <c r="H93" s="53"/>
      <c r="I93" s="53"/>
      <c r="J93" s="53"/>
      <c r="K93" s="53"/>
      <c r="L93" s="53"/>
      <c r="M93" s="53"/>
      <c r="N93" s="53"/>
      <c r="O93" s="53"/>
      <c r="P93" s="53"/>
      <c r="Q93" s="53"/>
      <c r="S93" s="347"/>
    </row>
    <row r="94" spans="1:20" s="34" customFormat="1" x14ac:dyDescent="0.25">
      <c r="C94" s="921"/>
      <c r="D94" s="52"/>
      <c r="E94" s="526" t="s">
        <v>840</v>
      </c>
      <c r="G94" s="917">
        <f>'Band Values'!F8</f>
        <v>6829.0826228613796</v>
      </c>
      <c r="H94" s="53"/>
      <c r="I94" s="53"/>
      <c r="J94" s="53"/>
      <c r="K94" s="53"/>
      <c r="L94" s="53"/>
      <c r="M94" s="53"/>
      <c r="N94" s="53"/>
      <c r="O94" s="53"/>
      <c r="P94" s="53"/>
      <c r="Q94" s="53"/>
      <c r="S94" s="347"/>
    </row>
    <row r="95" spans="1:20" s="34" customFormat="1" x14ac:dyDescent="0.25">
      <c r="C95" s="921"/>
      <c r="D95" s="52"/>
      <c r="G95" s="42"/>
      <c r="H95" s="53"/>
      <c r="I95" s="847"/>
      <c r="J95" s="53"/>
      <c r="K95" s="53"/>
      <c r="L95" s="53"/>
      <c r="M95" s="53"/>
      <c r="N95" s="53"/>
      <c r="O95" s="53"/>
      <c r="P95" s="53"/>
      <c r="Q95" s="53"/>
      <c r="S95" s="347"/>
    </row>
    <row r="96" spans="1:20" s="34" customFormat="1" x14ac:dyDescent="0.25">
      <c r="C96" s="921"/>
      <c r="D96" s="52"/>
      <c r="E96" s="526" t="s">
        <v>841</v>
      </c>
      <c r="G96" s="917">
        <f>'Band Values'!F17</f>
        <v>11263.412317184524</v>
      </c>
      <c r="H96" s="53"/>
      <c r="I96" s="847"/>
      <c r="J96" s="53"/>
      <c r="K96" s="53"/>
      <c r="L96" s="53"/>
      <c r="M96" s="53"/>
      <c r="N96" s="53"/>
      <c r="O96" s="53"/>
      <c r="P96" s="53"/>
      <c r="Q96" s="53"/>
      <c r="S96" s="347"/>
    </row>
    <row r="97" spans="1:54" x14ac:dyDescent="0.25">
      <c r="C97" s="921"/>
      <c r="D97" s="52"/>
      <c r="G97" s="42"/>
      <c r="H97" s="53"/>
      <c r="I97" s="847"/>
      <c r="J97" s="53"/>
      <c r="K97" s="53"/>
      <c r="L97" s="53"/>
      <c r="M97" s="53"/>
      <c r="N97" s="53"/>
      <c r="O97" s="53"/>
      <c r="P97" s="53"/>
      <c r="Q97" s="53"/>
    </row>
    <row r="98" spans="1:54" x14ac:dyDescent="0.25">
      <c r="C98" s="921"/>
      <c r="D98" s="52"/>
      <c r="E98" s="526" t="s">
        <v>842</v>
      </c>
      <c r="G98" s="917">
        <f>'Band Values'!F5</f>
        <v>14004.235952555704</v>
      </c>
      <c r="H98" s="53"/>
      <c r="I98" s="847"/>
      <c r="J98" s="53"/>
      <c r="K98" s="53"/>
      <c r="L98" s="53"/>
      <c r="M98" s="53"/>
      <c r="N98" s="53"/>
      <c r="O98" s="53"/>
      <c r="P98" s="53"/>
      <c r="Q98" s="53"/>
    </row>
    <row r="99" spans="1:54" x14ac:dyDescent="0.25">
      <c r="C99" s="921"/>
      <c r="D99" s="52"/>
      <c r="G99" s="42"/>
      <c r="H99" s="53"/>
      <c r="I99" s="847"/>
      <c r="J99" s="53"/>
      <c r="K99" s="53"/>
      <c r="L99" s="53"/>
      <c r="M99" s="53"/>
      <c r="N99" s="53"/>
      <c r="O99" s="53"/>
      <c r="P99" s="53"/>
      <c r="Q99" s="53"/>
    </row>
    <row r="100" spans="1:54" x14ac:dyDescent="0.25">
      <c r="C100" s="921"/>
      <c r="D100" s="52"/>
      <c r="E100" s="526" t="s">
        <v>843</v>
      </c>
      <c r="G100" s="917">
        <f>'Band Values'!F14</f>
        <v>14004.235952555704</v>
      </c>
      <c r="H100" s="53"/>
      <c r="I100" s="847"/>
      <c r="J100" s="53"/>
      <c r="K100" s="53"/>
      <c r="L100" s="53"/>
      <c r="M100" s="53"/>
      <c r="N100" s="53"/>
      <c r="O100" s="53"/>
      <c r="P100" s="53"/>
      <c r="Q100" s="53"/>
    </row>
    <row r="101" spans="1:54" x14ac:dyDescent="0.25">
      <c r="C101" s="921"/>
      <c r="D101" s="52"/>
      <c r="G101" s="42"/>
      <c r="H101" s="53"/>
      <c r="I101" s="847"/>
      <c r="J101" s="53"/>
      <c r="K101" s="53"/>
      <c r="L101" s="53"/>
      <c r="M101" s="53"/>
      <c r="N101" s="53"/>
      <c r="O101" s="53"/>
      <c r="P101" s="53"/>
      <c r="Q101" s="53"/>
    </row>
    <row r="102" spans="1:54" x14ac:dyDescent="0.25">
      <c r="C102" s="921"/>
      <c r="D102" s="52"/>
      <c r="E102" s="526" t="s">
        <v>844</v>
      </c>
      <c r="G102" s="530">
        <f>'Band Values'!F22</f>
        <v>14877.000599571715</v>
      </c>
      <c r="H102" s="53"/>
      <c r="I102" s="847"/>
      <c r="J102" s="53"/>
      <c r="K102" s="53"/>
      <c r="L102" s="53"/>
      <c r="M102" s="53"/>
      <c r="N102" s="53"/>
      <c r="O102" s="53"/>
      <c r="P102" s="53"/>
      <c r="Q102" s="53"/>
    </row>
    <row r="103" spans="1:54" x14ac:dyDescent="0.25">
      <c r="C103" s="921"/>
      <c r="D103" s="52"/>
      <c r="G103" s="42"/>
      <c r="H103" s="53"/>
      <c r="I103" s="847"/>
      <c r="J103" s="53"/>
      <c r="K103" s="53"/>
      <c r="L103" s="53"/>
      <c r="M103" s="53"/>
      <c r="N103" s="53"/>
      <c r="O103" s="53"/>
      <c r="P103" s="53"/>
      <c r="Q103" s="53"/>
    </row>
    <row r="104" spans="1:54" x14ac:dyDescent="0.25">
      <c r="C104" s="921"/>
      <c r="D104" s="52"/>
      <c r="E104" s="526" t="s">
        <v>845</v>
      </c>
      <c r="G104" s="917">
        <f>'Band Values'!F24</f>
        <v>22512.750755794426</v>
      </c>
      <c r="H104" s="53"/>
      <c r="I104" s="847"/>
      <c r="J104" s="53"/>
      <c r="K104" s="53"/>
      <c r="L104" s="53"/>
      <c r="M104" s="53"/>
      <c r="N104" s="53"/>
      <c r="O104" s="53"/>
      <c r="P104" s="53"/>
      <c r="Q104" s="53"/>
    </row>
    <row r="105" spans="1:54" ht="14" x14ac:dyDescent="0.3">
      <c r="B105" s="55"/>
      <c r="C105" s="811"/>
      <c r="D105" s="57"/>
      <c r="E105" s="58"/>
      <c r="H105" s="66"/>
      <c r="I105" s="847"/>
      <c r="J105" s="53"/>
      <c r="K105" s="66"/>
      <c r="L105" s="66"/>
      <c r="M105" s="66"/>
      <c r="N105" s="66"/>
      <c r="O105" s="66"/>
      <c r="P105" s="66"/>
      <c r="Q105" s="66"/>
    </row>
    <row r="106" spans="1:54" ht="14" x14ac:dyDescent="0.3">
      <c r="B106" s="59"/>
      <c r="C106" s="811"/>
      <c r="E106" s="526" t="s">
        <v>865</v>
      </c>
      <c r="G106" s="42">
        <f>'Band Values'!F20</f>
        <v>2635</v>
      </c>
      <c r="H106" s="53"/>
      <c r="I106" s="847"/>
      <c r="J106" s="53"/>
      <c r="K106" s="53"/>
      <c r="L106" s="53"/>
      <c r="M106" s="53"/>
      <c r="N106" s="53"/>
      <c r="O106" s="53"/>
      <c r="P106" s="53"/>
      <c r="Q106" s="53"/>
    </row>
    <row r="107" spans="1:54" x14ac:dyDescent="0.25">
      <c r="C107" s="40"/>
      <c r="F107" s="847"/>
      <c r="G107" s="933"/>
      <c r="I107" s="34"/>
      <c r="J107" s="34"/>
      <c r="AQ107" s="1945" t="s">
        <v>698</v>
      </c>
      <c r="AR107" s="1945"/>
    </row>
    <row r="108" spans="1:54" x14ac:dyDescent="0.25">
      <c r="C108" s="40"/>
      <c r="F108" s="933"/>
      <c r="G108" s="933"/>
      <c r="I108" s="34"/>
      <c r="J108" s="34"/>
    </row>
    <row r="109" spans="1:54" ht="12.75" customHeight="1" x14ac:dyDescent="0.25">
      <c r="C109" s="40"/>
      <c r="F109" s="933"/>
      <c r="G109" s="933"/>
      <c r="I109" s="34"/>
      <c r="J109" s="34"/>
      <c r="AN109" s="2011" t="s">
        <v>685</v>
      </c>
      <c r="AO109" s="2011"/>
      <c r="AQ109" s="2011" t="s">
        <v>685</v>
      </c>
      <c r="AR109" s="2011"/>
    </row>
    <row r="110" spans="1:54" ht="12.75" customHeight="1" x14ac:dyDescent="0.3">
      <c r="C110" s="40"/>
      <c r="D110" s="1896" t="s">
        <v>397</v>
      </c>
      <c r="E110" s="1897"/>
      <c r="F110" s="1898"/>
      <c r="G110" s="1896" t="s">
        <v>185</v>
      </c>
      <c r="H110" s="1897"/>
      <c r="I110" s="1898"/>
      <c r="J110" s="390" t="s">
        <v>399</v>
      </c>
      <c r="K110" s="1896" t="s">
        <v>397</v>
      </c>
      <c r="L110" s="1897"/>
      <c r="M110" s="1898"/>
      <c r="N110" s="1896" t="s">
        <v>185</v>
      </c>
      <c r="O110" s="1897"/>
      <c r="P110" s="1898"/>
      <c r="Q110" s="390" t="s">
        <v>399</v>
      </c>
      <c r="R110" s="391" t="s">
        <v>399</v>
      </c>
      <c r="S110" s="979"/>
      <c r="T110" s="393"/>
      <c r="AI110" s="1891" t="s">
        <v>467</v>
      </c>
      <c r="AL110" s="1946" t="s">
        <v>699</v>
      </c>
      <c r="AM110" s="940"/>
      <c r="AN110" s="1946" t="s">
        <v>684</v>
      </c>
      <c r="AQ110" s="1946" t="s">
        <v>696</v>
      </c>
    </row>
    <row r="111" spans="1:54" ht="41.25" customHeight="1" x14ac:dyDescent="0.3">
      <c r="A111" s="388" t="s">
        <v>201</v>
      </c>
      <c r="B111" s="389" t="s">
        <v>66</v>
      </c>
      <c r="C111" s="39" t="s">
        <v>51</v>
      </c>
      <c r="D111" s="943" t="str">
        <f t="shared" ref="D111:D129" si="20">L5</f>
        <v>Pre-16 Funding (Apr-Aug)</v>
      </c>
      <c r="E111" s="942" t="str">
        <f t="shared" ref="E111:E129" si="21">L49</f>
        <v>Pre-16 Funding (Sept-Mar)</v>
      </c>
      <c r="F111" s="936" t="s">
        <v>394</v>
      </c>
      <c r="G111" s="942" t="str">
        <f t="shared" ref="G111:G129" si="22">L27</f>
        <v>Post-16 Funding (Apr-Jul)</v>
      </c>
      <c r="H111" s="943" t="str">
        <f t="shared" ref="H111:H129" si="23">L71</f>
        <v>Post-16 Funding (Aug-Mar)</v>
      </c>
      <c r="I111" s="936" t="s">
        <v>395</v>
      </c>
      <c r="J111" s="936" t="s">
        <v>295</v>
      </c>
      <c r="K111" s="943" t="str">
        <f t="shared" ref="K111:K129" si="24">M5</f>
        <v>Additionality Funding (Apr-Aug)</v>
      </c>
      <c r="L111" s="943" t="str">
        <f t="shared" ref="L111:L129" si="25">M49</f>
        <v>Additionality Funding (Sept-Mar)</v>
      </c>
      <c r="M111" s="936" t="s">
        <v>396</v>
      </c>
      <c r="N111" s="943" t="str">
        <f t="shared" ref="N111:N129" si="26">M27</f>
        <v>Additionality Funding (Apr-Jul)</v>
      </c>
      <c r="O111" s="942" t="str">
        <f t="shared" ref="O111:O129" si="27">M71</f>
        <v>Additionality Funding (Aug-Mar)</v>
      </c>
      <c r="P111" s="936" t="s">
        <v>396</v>
      </c>
      <c r="Q111" s="936" t="s">
        <v>401</v>
      </c>
      <c r="R111" s="936" t="s">
        <v>103</v>
      </c>
      <c r="S111" s="980" t="s">
        <v>398</v>
      </c>
      <c r="T111" s="157" t="s">
        <v>261</v>
      </c>
      <c r="U111" s="541" t="s">
        <v>909</v>
      </c>
      <c r="V111" s="943" t="s">
        <v>328</v>
      </c>
      <c r="W111" s="943" t="s">
        <v>330</v>
      </c>
      <c r="X111" s="936" t="s">
        <v>331</v>
      </c>
      <c r="Y111" s="690" t="s">
        <v>103</v>
      </c>
      <c r="Z111" s="943" t="s">
        <v>310</v>
      </c>
      <c r="AA111" s="943" t="s">
        <v>335</v>
      </c>
      <c r="AB111" s="943" t="s">
        <v>343</v>
      </c>
      <c r="AC111" s="936" t="s">
        <v>465</v>
      </c>
      <c r="AD111" s="943" t="s">
        <v>342</v>
      </c>
      <c r="AE111" s="943" t="s">
        <v>344</v>
      </c>
      <c r="AF111" s="936" t="s">
        <v>466</v>
      </c>
      <c r="AG111" s="936" t="s">
        <v>345</v>
      </c>
      <c r="AH111" s="389"/>
      <c r="AI111" s="1892"/>
      <c r="AL111" s="1955"/>
      <c r="AM111" s="941"/>
      <c r="AN111" s="1946"/>
      <c r="AO111" s="526" t="s">
        <v>104</v>
      </c>
      <c r="AQ111" s="1946"/>
      <c r="AR111" s="526" t="s">
        <v>104</v>
      </c>
      <c r="AV111" s="966" t="s">
        <v>893</v>
      </c>
      <c r="AW111" s="966" t="s">
        <v>894</v>
      </c>
      <c r="AX111" s="966" t="s">
        <v>895</v>
      </c>
      <c r="AZ111" s="966" t="s">
        <v>896</v>
      </c>
      <c r="BA111" s="966" t="s">
        <v>903</v>
      </c>
      <c r="BB111" s="969" t="s">
        <v>904</v>
      </c>
    </row>
    <row r="112" spans="1:54" ht="13" x14ac:dyDescent="0.3">
      <c r="A112" s="185">
        <v>9257010</v>
      </c>
      <c r="B112" s="38" t="s">
        <v>67</v>
      </c>
      <c r="C112" s="39">
        <v>4</v>
      </c>
      <c r="D112" s="944">
        <f t="shared" si="20"/>
        <v>236543.24640657037</v>
      </c>
      <c r="E112" s="944">
        <f t="shared" si="21"/>
        <v>366390.3901786877</v>
      </c>
      <c r="F112" s="156">
        <f>SUM(D112:E112)</f>
        <v>602933.63658525806</v>
      </c>
      <c r="G112" s="944">
        <f t="shared" si="22"/>
        <v>44288.948263357845</v>
      </c>
      <c r="H112" s="944">
        <f t="shared" si="23"/>
        <v>64420.288383065963</v>
      </c>
      <c r="I112" s="156">
        <f>SUM(G112:H112)</f>
        <v>108709.23664642381</v>
      </c>
      <c r="J112" s="156">
        <f>F112+I112</f>
        <v>711642.87323168188</v>
      </c>
      <c r="K112" s="944">
        <f t="shared" si="24"/>
        <v>3440.1388888888891</v>
      </c>
      <c r="L112" s="944">
        <f t="shared" si="25"/>
        <v>5328.5555555555566</v>
      </c>
      <c r="M112" s="156">
        <f>SUM(K112:L112)</f>
        <v>8768.6944444444453</v>
      </c>
      <c r="N112" s="944">
        <f t="shared" si="26"/>
        <v>644.11111111111109</v>
      </c>
      <c r="O112" s="944">
        <f t="shared" si="27"/>
        <v>936.8888888888888</v>
      </c>
      <c r="P112" s="156">
        <f>SUM(N112:O112)</f>
        <v>1581</v>
      </c>
      <c r="Q112" s="156">
        <f>M112+P112</f>
        <v>10349.694444444445</v>
      </c>
      <c r="R112" s="156">
        <f t="shared" ref="R112:R129" si="28">F112+I112+M112+P112</f>
        <v>721992.56767612637</v>
      </c>
      <c r="S112" s="334">
        <f t="shared" ref="S112:S129" si="29">(K6*(5/12))+(K50*(7/12))+(K28*(4/12))+(K72*(8/12))</f>
        <v>58.916666666666671</v>
      </c>
      <c r="T112" s="944">
        <f>R112/S112</f>
        <v>12254.470738491536</v>
      </c>
      <c r="U112" s="36"/>
      <c r="V112" s="94">
        <f t="shared" ref="V112:V129" si="30">O6+O50</f>
        <v>499166.66666666674</v>
      </c>
      <c r="W112" s="944">
        <f t="shared" ref="W112:W129" si="31">O28+O72</f>
        <v>90000</v>
      </c>
      <c r="X112" s="944">
        <f>V112+W112</f>
        <v>589166.66666666674</v>
      </c>
      <c r="Y112" s="944">
        <f>VLOOKUP(A112,'1920 Funding Detail'!$A$4:$AN$23,33,FALSE)</f>
        <v>1192133.2006830513</v>
      </c>
      <c r="Z112" s="944">
        <f>Y112-X112</f>
        <v>602966.53401638451</v>
      </c>
      <c r="AA112" s="944">
        <f t="shared" ref="AA112:AA129" si="32">P6</f>
        <v>200420.27651181092</v>
      </c>
      <c r="AB112" s="944">
        <f t="shared" ref="AB112:AB129" si="33">P50</f>
        <v>310438.21553318802</v>
      </c>
      <c r="AC112" s="944">
        <f>AA112+AB112</f>
        <v>510858.49204499891</v>
      </c>
      <c r="AD112" s="944">
        <f t="shared" ref="AD112:AD129" si="34">P28</f>
        <v>37525.498580934815</v>
      </c>
      <c r="AE112" s="944">
        <f t="shared" ref="AE112:AE129" si="35">P72</f>
        <v>54582.543390450643</v>
      </c>
      <c r="AF112" s="944">
        <f>AD112+AE112</f>
        <v>92108.04197138545</v>
      </c>
      <c r="AG112" s="944">
        <f>AC112+AF112</f>
        <v>602966.53401638439</v>
      </c>
      <c r="AH112" s="134"/>
      <c r="AI112" s="726">
        <f>X112+AC112+AF112</f>
        <v>1192133.2006830513</v>
      </c>
      <c r="AJ112" s="125" t="s">
        <v>402</v>
      </c>
      <c r="AK112" s="627" t="s">
        <v>402</v>
      </c>
      <c r="AL112" s="42">
        <f>T112</f>
        <v>12254.470738491536</v>
      </c>
      <c r="AM112" s="42"/>
      <c r="AN112" s="42">
        <f>VLOOKUP(A112,'Band Calculations 1718'!$A$107:$W$125,23,(FALSE))</f>
        <v>9991.0948916011566</v>
      </c>
      <c r="AO112" s="42">
        <f>T112-AN112</f>
        <v>2263.3758468903798</v>
      </c>
      <c r="AQ112" s="42">
        <f>VLOOKUP(A112,'Band Calculations - Rebase'!$A$109:$W$127,23,(FALSE))</f>
        <v>11652.177704089083</v>
      </c>
      <c r="AR112" s="42">
        <f>T112-AQ112</f>
        <v>602.29303440245349</v>
      </c>
      <c r="AS112" s="814"/>
      <c r="AT112" s="2012" t="s">
        <v>697</v>
      </c>
      <c r="AV112" s="42">
        <f>SUM(R6,R28,R50,R72)</f>
        <v>154743.89373670361</v>
      </c>
      <c r="AW112" s="42">
        <f>SUM('1819 Band Calculations'!U6,'1819 Band Calculations'!U28,'1819 Band Calculations'!U50,'1819 Band Calculations'!U72)</f>
        <v>193956.00651145968</v>
      </c>
      <c r="AX112" s="42">
        <f>AW112-AV112</f>
        <v>39212.112774756068</v>
      </c>
      <c r="AZ112" s="972">
        <v>42788</v>
      </c>
      <c r="BA112" s="42">
        <f>'1920 Funding Detail'!AF4</f>
        <v>18407.883006924778</v>
      </c>
      <c r="BB112" s="42">
        <f>AZ112-BA112</f>
        <v>24380.116993075222</v>
      </c>
    </row>
    <row r="113" spans="1:54" ht="13" x14ac:dyDescent="0.3">
      <c r="A113" s="185">
        <v>9257005</v>
      </c>
      <c r="B113" s="38" t="s">
        <v>68</v>
      </c>
      <c r="C113" s="39">
        <v>4</v>
      </c>
      <c r="D113" s="944">
        <f t="shared" si="20"/>
        <v>214505.82862463864</v>
      </c>
      <c r="E113" s="944">
        <f t="shared" si="21"/>
        <v>363163.35636915563</v>
      </c>
      <c r="F113" s="156">
        <f t="shared" ref="F113:F129" si="36">SUM(D113:E113)</f>
        <v>577669.1849937943</v>
      </c>
      <c r="G113" s="944">
        <f t="shared" si="22"/>
        <v>115733.37730445617</v>
      </c>
      <c r="H113" s="944">
        <f t="shared" si="23"/>
        <v>183577.08124155115</v>
      </c>
      <c r="I113" s="156">
        <f t="shared" ref="I113:I129" si="37">SUM(G113:H113)</f>
        <v>299310.45854600728</v>
      </c>
      <c r="J113" s="156">
        <f t="shared" ref="J113:J128" si="38">F113+I113</f>
        <v>876979.64353980159</v>
      </c>
      <c r="K113" s="944">
        <f t="shared" si="24"/>
        <v>5741.8074324324325</v>
      </c>
      <c r="L113" s="944">
        <f t="shared" si="25"/>
        <v>9721.0135135135151</v>
      </c>
      <c r="M113" s="156">
        <f t="shared" ref="M113:M129" si="39">SUM(K113:L113)</f>
        <v>15462.820945945947</v>
      </c>
      <c r="N113" s="944">
        <f t="shared" si="26"/>
        <v>3097.9054054054054</v>
      </c>
      <c r="O113" s="944">
        <f t="shared" si="27"/>
        <v>4913.9189189189183</v>
      </c>
      <c r="P113" s="156">
        <f t="shared" ref="P113:P129" si="40">SUM(N113:O113)</f>
        <v>8011.8243243243232</v>
      </c>
      <c r="Q113" s="156">
        <f t="shared" ref="Q113:Q129" si="41">M113+P113</f>
        <v>23474.64527027027</v>
      </c>
      <c r="R113" s="156">
        <f t="shared" si="28"/>
        <v>900454.28881007188</v>
      </c>
      <c r="S113" s="334">
        <f t="shared" si="29"/>
        <v>73.25</v>
      </c>
      <c r="T113" s="944">
        <f t="shared" ref="T113:T129" si="42">R113/S113</f>
        <v>12292.891314813269</v>
      </c>
      <c r="U113" s="36"/>
      <c r="V113" s="94">
        <f t="shared" si="30"/>
        <v>482500.00000000006</v>
      </c>
      <c r="W113" s="944">
        <f t="shared" si="31"/>
        <v>249999.99999999997</v>
      </c>
      <c r="X113" s="944">
        <f t="shared" ref="X113:X129" si="43">V113+W113</f>
        <v>732500</v>
      </c>
      <c r="Y113" s="971">
        <f>VLOOKUP(A113,'1920 Funding Detail'!$A$4:$AN$23,33,FALSE)</f>
        <v>1361423.5093114723</v>
      </c>
      <c r="Z113" s="944">
        <f t="shared" ref="Z113:Z129" si="44">Y113-X113</f>
        <v>628923.5093114723</v>
      </c>
      <c r="AA113" s="944">
        <f t="shared" si="32"/>
        <v>153832.25768141818</v>
      </c>
      <c r="AB113" s="944">
        <f t="shared" si="33"/>
        <v>260441.58974900562</v>
      </c>
      <c r="AC113" s="944">
        <f t="shared" ref="AC113:AC129" si="45">AA113+AB113</f>
        <v>414273.84743042383</v>
      </c>
      <c r="AD113" s="944">
        <f t="shared" si="34"/>
        <v>82997.869260672131</v>
      </c>
      <c r="AE113" s="944">
        <f t="shared" si="35"/>
        <v>131651.79262037648</v>
      </c>
      <c r="AF113" s="944">
        <f t="shared" ref="AF113:AF129" si="46">AD113+AE113</f>
        <v>214649.66188104861</v>
      </c>
      <c r="AG113" s="944">
        <f t="shared" ref="AG113:AG129" si="47">AC113+AF113</f>
        <v>628923.50931147241</v>
      </c>
      <c r="AH113" s="134"/>
      <c r="AI113" s="726">
        <f t="shared" ref="AI113:AI129" si="48">X113+AC113+AF113</f>
        <v>1361423.5093114725</v>
      </c>
      <c r="AJ113" s="125" t="s">
        <v>402</v>
      </c>
      <c r="AK113" s="627" t="s">
        <v>402</v>
      </c>
      <c r="AL113" s="42">
        <f t="shared" ref="AL113:AL129" si="49">T113</f>
        <v>12292.891314813269</v>
      </c>
      <c r="AM113" s="42"/>
      <c r="AN113" s="42">
        <f>VLOOKUP(A113,'Band Calculations 1718'!$A$107:$W$125,23,(FALSE))</f>
        <v>9737.6409510925641</v>
      </c>
      <c r="AO113" s="42">
        <f t="shared" ref="AO113:AO129" si="50">T113-AN113</f>
        <v>2555.2503637207046</v>
      </c>
      <c r="AQ113" s="42">
        <f>VLOOKUP(A113,'Band Calculations - Rebase'!$A$109:$W$127,23,(FALSE))</f>
        <v>10717.42026627099</v>
      </c>
      <c r="AR113" s="42">
        <f t="shared" ref="AR113:AR129" si="51">T113-AQ113</f>
        <v>1575.4710485422784</v>
      </c>
      <c r="AS113" s="814"/>
      <c r="AT113" s="2012"/>
      <c r="AV113" s="42">
        <f t="shared" ref="AV113:AV129" si="52">SUM(R7,R29,R51,R73)</f>
        <v>133707.485907725</v>
      </c>
      <c r="AW113" s="42">
        <f>SUM('1819 Band Calculations'!U7,'1819 Band Calculations'!U29,'1819 Band Calculations'!U51,'1819 Band Calculations'!U73)</f>
        <v>153737.07349456951</v>
      </c>
      <c r="AX113" s="42">
        <f t="shared" ref="AX113:AX129" si="53">AW113-AV113</f>
        <v>20029.587586844515</v>
      </c>
      <c r="AZ113" s="972">
        <v>26736</v>
      </c>
      <c r="BA113" s="42">
        <f>'1920 Funding Detail'!AF5</f>
        <v>8787.6205014002953</v>
      </c>
      <c r="BB113" s="42">
        <f t="shared" ref="BB113:BB129" si="54">AZ113-BA113</f>
        <v>17948.379498599705</v>
      </c>
    </row>
    <row r="114" spans="1:54" ht="13" x14ac:dyDescent="0.3">
      <c r="A114" s="185">
        <v>9257025</v>
      </c>
      <c r="B114" s="38" t="s">
        <v>69</v>
      </c>
      <c r="C114" s="39">
        <v>4</v>
      </c>
      <c r="D114" s="944">
        <f t="shared" si="20"/>
        <v>205773.51234505183</v>
      </c>
      <c r="E114" s="944">
        <f t="shared" si="21"/>
        <v>329237.61975208297</v>
      </c>
      <c r="F114" s="156">
        <f t="shared" si="36"/>
        <v>535011.13209713483</v>
      </c>
      <c r="G114" s="944">
        <f t="shared" si="22"/>
        <v>63831.783421322209</v>
      </c>
      <c r="H114" s="944">
        <f t="shared" si="23"/>
        <v>120944.43174566313</v>
      </c>
      <c r="I114" s="156">
        <f t="shared" si="37"/>
        <v>184776.21516698535</v>
      </c>
      <c r="J114" s="156">
        <f t="shared" si="38"/>
        <v>719787.34726412012</v>
      </c>
      <c r="K114" s="944">
        <f t="shared" si="24"/>
        <v>6542.9898648648659</v>
      </c>
      <c r="L114" s="944">
        <f t="shared" si="25"/>
        <v>10468.783783783785</v>
      </c>
      <c r="M114" s="156">
        <f t="shared" si="39"/>
        <v>17011.77364864865</v>
      </c>
      <c r="N114" s="944">
        <f t="shared" si="26"/>
        <v>2029.6621621621621</v>
      </c>
      <c r="O114" s="944">
        <f t="shared" si="27"/>
        <v>3845.6756756756758</v>
      </c>
      <c r="P114" s="156">
        <f t="shared" si="40"/>
        <v>5875.3378378378384</v>
      </c>
      <c r="Q114" s="156">
        <f t="shared" si="41"/>
        <v>22887.111486486487</v>
      </c>
      <c r="R114" s="156">
        <f t="shared" si="28"/>
        <v>742674.45875060663</v>
      </c>
      <c r="S114" s="334">
        <f t="shared" si="29"/>
        <v>71.416666666666686</v>
      </c>
      <c r="T114" s="944">
        <f t="shared" si="42"/>
        <v>10399.175618444897</v>
      </c>
      <c r="U114" s="36"/>
      <c r="V114" s="94">
        <f t="shared" si="30"/>
        <v>530833.33333333337</v>
      </c>
      <c r="W114" s="944">
        <f t="shared" si="31"/>
        <v>183333.33333333331</v>
      </c>
      <c r="X114" s="944">
        <f t="shared" si="43"/>
        <v>714166.66666666674</v>
      </c>
      <c r="Y114" s="971">
        <f>VLOOKUP(A114,'1920 Funding Detail'!$A$4:$AN$23,33,FALSE)</f>
        <v>1230171.6595820116</v>
      </c>
      <c r="Z114" s="944">
        <f t="shared" si="44"/>
        <v>516004.99291534489</v>
      </c>
      <c r="AA114" s="944">
        <f t="shared" si="32"/>
        <v>147516.01314382663</v>
      </c>
      <c r="AB114" s="944">
        <f t="shared" si="33"/>
        <v>236025.62103012262</v>
      </c>
      <c r="AC114" s="944">
        <f t="shared" si="45"/>
        <v>383541.63417394925</v>
      </c>
      <c r="AD114" s="944">
        <f t="shared" si="34"/>
        <v>45760.069383391121</v>
      </c>
      <c r="AE114" s="944">
        <f t="shared" si="35"/>
        <v>86703.289358004229</v>
      </c>
      <c r="AF114" s="944">
        <f t="shared" si="46"/>
        <v>132463.35874139535</v>
      </c>
      <c r="AG114" s="944">
        <f t="shared" si="47"/>
        <v>516004.9929153446</v>
      </c>
      <c r="AH114" s="134"/>
      <c r="AI114" s="726">
        <f t="shared" si="48"/>
        <v>1230171.6595820114</v>
      </c>
      <c r="AJ114" s="125" t="s">
        <v>402</v>
      </c>
      <c r="AK114" s="627" t="s">
        <v>402</v>
      </c>
      <c r="AL114" s="42">
        <f t="shared" si="49"/>
        <v>10399.175618444897</v>
      </c>
      <c r="AM114" s="42"/>
      <c r="AN114" s="42">
        <f>VLOOKUP(A114,'Band Calculations 1718'!$A$107:$W$125,23,(FALSE))</f>
        <v>10128.233980342673</v>
      </c>
      <c r="AO114" s="42">
        <f t="shared" si="50"/>
        <v>270.94163810222381</v>
      </c>
      <c r="AQ114" s="42">
        <f>VLOOKUP(A114,'Band Calculations - Rebase'!$A$109:$W$127,23,(FALSE))</f>
        <v>11126.205484397093</v>
      </c>
      <c r="AR114" s="816">
        <f t="shared" si="51"/>
        <v>-727.02986595219591</v>
      </c>
      <c r="AS114" s="814"/>
      <c r="AT114" s="2012"/>
      <c r="AV114" s="42">
        <f t="shared" si="52"/>
        <v>65180.497965256167</v>
      </c>
      <c r="AW114" s="42">
        <f>SUM('1819 Band Calculations'!U8,'1819 Band Calculations'!U30,'1819 Band Calculations'!U52,'1819 Band Calculations'!U74)</f>
        <v>133396.44850821473</v>
      </c>
      <c r="AX114" s="42">
        <f t="shared" si="53"/>
        <v>68215.95054295857</v>
      </c>
      <c r="AZ114" s="972">
        <v>75990</v>
      </c>
      <c r="BA114" s="42">
        <f>'1920 Funding Detail'!AF6</f>
        <v>33969.050831405191</v>
      </c>
      <c r="BB114" s="42">
        <f t="shared" si="54"/>
        <v>42020.949168594809</v>
      </c>
    </row>
    <row r="115" spans="1:54" ht="13" x14ac:dyDescent="0.3">
      <c r="A115" s="185">
        <v>9257011</v>
      </c>
      <c r="B115" s="38" t="s">
        <v>70</v>
      </c>
      <c r="C115" s="39">
        <v>4</v>
      </c>
      <c r="D115" s="944">
        <f t="shared" si="20"/>
        <v>224531.82160550327</v>
      </c>
      <c r="E115" s="944">
        <f t="shared" si="21"/>
        <v>314344.55024770461</v>
      </c>
      <c r="F115" s="156">
        <f t="shared" si="36"/>
        <v>538876.37185320794</v>
      </c>
      <c r="G115" s="944">
        <f t="shared" si="22"/>
        <v>61235.951346955437</v>
      </c>
      <c r="H115" s="944">
        <f t="shared" si="23"/>
        <v>122471.90269391087</v>
      </c>
      <c r="I115" s="156">
        <f t="shared" si="37"/>
        <v>183707.85404086631</v>
      </c>
      <c r="J115" s="156">
        <f t="shared" si="38"/>
        <v>722584.22589407419</v>
      </c>
      <c r="K115" s="944">
        <f t="shared" si="24"/>
        <v>1756.6666666666667</v>
      </c>
      <c r="L115" s="944">
        <f t="shared" si="25"/>
        <v>2459.3333333333335</v>
      </c>
      <c r="M115" s="156">
        <f t="shared" si="39"/>
        <v>4216</v>
      </c>
      <c r="N115" s="944">
        <f t="shared" si="26"/>
        <v>479.09090909090907</v>
      </c>
      <c r="O115" s="944">
        <f t="shared" si="27"/>
        <v>958.18181818181813</v>
      </c>
      <c r="P115" s="156">
        <f t="shared" si="40"/>
        <v>1437.2727272727273</v>
      </c>
      <c r="Q115" s="156">
        <f t="shared" si="41"/>
        <v>5653.272727272727</v>
      </c>
      <c r="R115" s="156">
        <f t="shared" si="28"/>
        <v>728237.49862134689</v>
      </c>
      <c r="S115" s="334">
        <f t="shared" si="29"/>
        <v>59</v>
      </c>
      <c r="T115" s="944">
        <f t="shared" si="42"/>
        <v>12343.008451209269</v>
      </c>
      <c r="U115" s="36"/>
      <c r="V115" s="94">
        <f t="shared" si="30"/>
        <v>440000</v>
      </c>
      <c r="W115" s="944">
        <f t="shared" si="31"/>
        <v>150000</v>
      </c>
      <c r="X115" s="944">
        <f t="shared" si="43"/>
        <v>590000</v>
      </c>
      <c r="Y115" s="971">
        <f>VLOOKUP(A115,'1920 Funding Detail'!$A$4:$AN$23,33,FALSE)</f>
        <v>1180867.9486213468</v>
      </c>
      <c r="Z115" s="944">
        <f t="shared" si="44"/>
        <v>590867.94862134685</v>
      </c>
      <c r="AA115" s="944">
        <f t="shared" si="32"/>
        <v>183603.03488233942</v>
      </c>
      <c r="AB115" s="944">
        <f t="shared" si="33"/>
        <v>257044.24883527518</v>
      </c>
      <c r="AC115" s="944">
        <f t="shared" si="45"/>
        <v>440647.2837176146</v>
      </c>
      <c r="AD115" s="944">
        <f t="shared" si="34"/>
        <v>50073.55496791075</v>
      </c>
      <c r="AE115" s="944">
        <f t="shared" si="35"/>
        <v>100147.1099358215</v>
      </c>
      <c r="AF115" s="944">
        <f t="shared" si="46"/>
        <v>150220.66490373225</v>
      </c>
      <c r="AG115" s="944">
        <f t="shared" si="47"/>
        <v>590867.94862134685</v>
      </c>
      <c r="AH115" s="134"/>
      <c r="AI115" s="726">
        <f t="shared" si="48"/>
        <v>1180867.9486213468</v>
      </c>
      <c r="AJ115" s="125" t="s">
        <v>402</v>
      </c>
      <c r="AK115" s="627" t="s">
        <v>402</v>
      </c>
      <c r="AL115" s="42">
        <f t="shared" si="49"/>
        <v>12343.008451209269</v>
      </c>
      <c r="AM115" s="42"/>
      <c r="AN115" s="42">
        <f>VLOOKUP(A115,'Band Calculations 1718'!$A$107:$W$125,23,(FALSE))</f>
        <v>10268.67930679802</v>
      </c>
      <c r="AO115" s="42">
        <f t="shared" si="50"/>
        <v>2074.3291444112492</v>
      </c>
      <c r="AQ115" s="42">
        <f>VLOOKUP(A115,'Band Calculations - Rebase'!$A$109:$W$127,23,(FALSE))</f>
        <v>11433.494344038008</v>
      </c>
      <c r="AR115" s="816">
        <f t="shared" si="51"/>
        <v>909.51410717126055</v>
      </c>
      <c r="AS115" s="814"/>
      <c r="AT115" s="2012"/>
      <c r="AV115" s="42">
        <f t="shared" si="52"/>
        <v>120750.20859926101</v>
      </c>
      <c r="AW115" s="42">
        <f>SUM('1819 Band Calculations'!U9,'1819 Band Calculations'!U31,'1819 Band Calculations'!U53,'1819 Band Calculations'!U75)</f>
        <v>143623.01176613296</v>
      </c>
      <c r="AX115" s="42">
        <f t="shared" si="53"/>
        <v>22872.803166871949</v>
      </c>
      <c r="AZ115" s="42">
        <f>'1920 Funding Detail'!AF7</f>
        <v>0</v>
      </c>
      <c r="BA115" s="42">
        <f>'1920 Funding Detail'!AF7</f>
        <v>0</v>
      </c>
      <c r="BB115" s="42">
        <f t="shared" si="54"/>
        <v>0</v>
      </c>
    </row>
    <row r="116" spans="1:54" ht="13" x14ac:dyDescent="0.3">
      <c r="A116" s="185">
        <v>9257024</v>
      </c>
      <c r="B116" s="38" t="s">
        <v>71</v>
      </c>
      <c r="C116" s="39">
        <v>3</v>
      </c>
      <c r="D116" s="944">
        <f t="shared" si="20"/>
        <v>316110.99059343652</v>
      </c>
      <c r="E116" s="944">
        <f t="shared" si="21"/>
        <v>436047.21937741683</v>
      </c>
      <c r="F116" s="156">
        <f t="shared" si="36"/>
        <v>752158.20997085329</v>
      </c>
      <c r="G116" s="944">
        <f t="shared" si="22"/>
        <v>40908.481135621187</v>
      </c>
      <c r="H116" s="944">
        <f t="shared" si="23"/>
        <v>111568.58491533052</v>
      </c>
      <c r="I116" s="156">
        <f t="shared" si="37"/>
        <v>152477.06605095172</v>
      </c>
      <c r="J116" s="156">
        <f t="shared" si="38"/>
        <v>904635.27602180501</v>
      </c>
      <c r="K116" s="944">
        <f t="shared" si="24"/>
        <v>1820.9349593495938</v>
      </c>
      <c r="L116" s="944">
        <f t="shared" si="25"/>
        <v>2511.8191056910573</v>
      </c>
      <c r="M116" s="156">
        <f t="shared" si="39"/>
        <v>4332.7540650406509</v>
      </c>
      <c r="N116" s="944">
        <f t="shared" si="26"/>
        <v>235.65040650406505</v>
      </c>
      <c r="O116" s="944">
        <f t="shared" si="27"/>
        <v>642.68292682926824</v>
      </c>
      <c r="P116" s="156">
        <f t="shared" si="40"/>
        <v>878.33333333333326</v>
      </c>
      <c r="Q116" s="156">
        <f t="shared" si="41"/>
        <v>5211.0873983739839</v>
      </c>
      <c r="R116" s="156">
        <f t="shared" si="28"/>
        <v>909846.363420179</v>
      </c>
      <c r="S116" s="334">
        <f t="shared" si="29"/>
        <v>81.083333333333343</v>
      </c>
      <c r="T116" s="944">
        <f t="shared" si="42"/>
        <v>11221.126784215978</v>
      </c>
      <c r="U116" s="36"/>
      <c r="V116" s="94">
        <f t="shared" si="30"/>
        <v>674166.66666666674</v>
      </c>
      <c r="W116" s="944">
        <f t="shared" si="31"/>
        <v>136666.66666666666</v>
      </c>
      <c r="X116" s="944">
        <f t="shared" si="43"/>
        <v>810833.33333333337</v>
      </c>
      <c r="Y116" s="971">
        <f>VLOOKUP(A116,'1920 Funding Detail'!$A$4:$AN$23,33,FALSE)</f>
        <v>1402857.1149880053</v>
      </c>
      <c r="Z116" s="944">
        <f t="shared" si="44"/>
        <v>592023.78165467188</v>
      </c>
      <c r="AA116" s="944">
        <f t="shared" si="32"/>
        <v>206873.67498724395</v>
      </c>
      <c r="AB116" s="944">
        <f t="shared" si="33"/>
        <v>285363.98108534538</v>
      </c>
      <c r="AC116" s="944">
        <f t="shared" si="45"/>
        <v>492237.65607258934</v>
      </c>
      <c r="AD116" s="944">
        <f t="shared" si="34"/>
        <v>26771.887351290399</v>
      </c>
      <c r="AE116" s="944">
        <f t="shared" si="35"/>
        <v>73014.238230791991</v>
      </c>
      <c r="AF116" s="944">
        <f t="shared" si="46"/>
        <v>99786.125582082386</v>
      </c>
      <c r="AG116" s="944">
        <f t="shared" si="47"/>
        <v>592023.78165467177</v>
      </c>
      <c r="AH116" s="134"/>
      <c r="AI116" s="726">
        <f t="shared" si="48"/>
        <v>1402857.114988005</v>
      </c>
      <c r="AJ116" s="125" t="s">
        <v>402</v>
      </c>
      <c r="AK116" s="627" t="s">
        <v>402</v>
      </c>
      <c r="AL116" s="42">
        <f t="shared" si="49"/>
        <v>11221.126784215978</v>
      </c>
      <c r="AM116" s="42"/>
      <c r="AN116" s="42">
        <f>VLOOKUP(A116,'Band Calculations 1718'!$A$107:$W$125,23,(FALSE))</f>
        <v>9289.4498761949271</v>
      </c>
      <c r="AO116" s="42">
        <f t="shared" si="50"/>
        <v>1931.6769080210506</v>
      </c>
      <c r="AQ116" s="42">
        <f>VLOOKUP(A116,'Band Calculations - Rebase'!$A$109:$W$127,23,(FALSE))</f>
        <v>10753.400292648294</v>
      </c>
      <c r="AR116" s="42">
        <f t="shared" si="51"/>
        <v>467.72649156768421</v>
      </c>
      <c r="AS116" s="814"/>
      <c r="AT116" s="2012"/>
      <c r="AV116" s="42">
        <f t="shared" si="52"/>
        <v>222610.83826613796</v>
      </c>
      <c r="AW116" s="42">
        <f>SUM('1819 Band Calculations'!U10,'1819 Band Calculations'!U32,'1819 Band Calculations'!U54,'1819 Band Calculations'!U76)</f>
        <v>219744.02368155867</v>
      </c>
      <c r="AX116" s="42">
        <f t="shared" si="53"/>
        <v>-2866.8145845792897</v>
      </c>
      <c r="AZ116" s="42">
        <v>41581</v>
      </c>
      <c r="BA116" s="42">
        <f>'1920 Funding Detail'!AF8</f>
        <v>33198.701567825992</v>
      </c>
      <c r="BB116" s="42">
        <f t="shared" si="54"/>
        <v>8382.2984321740078</v>
      </c>
    </row>
    <row r="117" spans="1:54" ht="13" x14ac:dyDescent="0.3">
      <c r="A117" s="185">
        <v>9257031</v>
      </c>
      <c r="B117" s="38" t="s">
        <v>98</v>
      </c>
      <c r="C117" s="39">
        <v>4</v>
      </c>
      <c r="D117" s="944">
        <f t="shared" si="20"/>
        <v>337902.36951553577</v>
      </c>
      <c r="E117" s="944">
        <f t="shared" si="21"/>
        <v>492774.28887682292</v>
      </c>
      <c r="F117" s="156">
        <f t="shared" si="36"/>
        <v>830676.65839235869</v>
      </c>
      <c r="G117" s="944">
        <f t="shared" si="22"/>
        <v>0</v>
      </c>
      <c r="H117" s="944">
        <f t="shared" si="23"/>
        <v>0</v>
      </c>
      <c r="I117" s="156">
        <f t="shared" si="37"/>
        <v>0</v>
      </c>
      <c r="J117" s="156">
        <f t="shared" si="38"/>
        <v>830676.65839235869</v>
      </c>
      <c r="K117" s="944">
        <f t="shared" si="24"/>
        <v>79050</v>
      </c>
      <c r="L117" s="944">
        <f t="shared" si="25"/>
        <v>115281.25000000001</v>
      </c>
      <c r="M117" s="156">
        <f t="shared" si="39"/>
        <v>194331.25</v>
      </c>
      <c r="N117" s="944">
        <f t="shared" si="26"/>
        <v>0</v>
      </c>
      <c r="O117" s="944">
        <f t="shared" si="27"/>
        <v>0</v>
      </c>
      <c r="P117" s="156">
        <f t="shared" si="40"/>
        <v>0</v>
      </c>
      <c r="Q117" s="156">
        <f t="shared" si="41"/>
        <v>194331.25</v>
      </c>
      <c r="R117" s="156">
        <f t="shared" si="28"/>
        <v>1025007.9083923587</v>
      </c>
      <c r="S117" s="334">
        <f t="shared" si="29"/>
        <v>73.75</v>
      </c>
      <c r="T117" s="944">
        <f t="shared" si="42"/>
        <v>13898.412317184524</v>
      </c>
      <c r="U117" s="36"/>
      <c r="V117" s="94">
        <f t="shared" si="30"/>
        <v>737500</v>
      </c>
      <c r="W117" s="944">
        <f t="shared" si="31"/>
        <v>0</v>
      </c>
      <c r="X117" s="944">
        <f t="shared" si="43"/>
        <v>737500</v>
      </c>
      <c r="Y117" s="971">
        <f>VLOOKUP(A117,'1920 Funding Detail'!$A$4:$AN$23,33,FALSE)</f>
        <v>1483912.2443487365</v>
      </c>
      <c r="Z117" s="944">
        <f t="shared" si="44"/>
        <v>746412.24434873648</v>
      </c>
      <c r="AA117" s="944">
        <f t="shared" si="32"/>
        <v>303625.31973507919</v>
      </c>
      <c r="AB117" s="944">
        <f t="shared" si="33"/>
        <v>442786.92461365717</v>
      </c>
      <c r="AC117" s="944">
        <f t="shared" si="45"/>
        <v>746412.24434873636</v>
      </c>
      <c r="AD117" s="944">
        <f t="shared" si="34"/>
        <v>0</v>
      </c>
      <c r="AE117" s="944">
        <f t="shared" si="35"/>
        <v>0</v>
      </c>
      <c r="AF117" s="944">
        <f t="shared" si="46"/>
        <v>0</v>
      </c>
      <c r="AG117" s="944">
        <f t="shared" si="47"/>
        <v>746412.24434873636</v>
      </c>
      <c r="AH117" s="134"/>
      <c r="AI117" s="726">
        <f t="shared" si="48"/>
        <v>1483912.2443487365</v>
      </c>
      <c r="AJ117" s="125" t="s">
        <v>402</v>
      </c>
      <c r="AK117" s="627" t="s">
        <v>402</v>
      </c>
      <c r="AL117" s="42">
        <f t="shared" si="49"/>
        <v>13898.412317184524</v>
      </c>
      <c r="AM117" s="42"/>
      <c r="AN117" s="42">
        <f>VLOOKUP(A117,'Band Calculations 1718'!$A$107:$W$125,23,(FALSE))</f>
        <v>14327.068527263833</v>
      </c>
      <c r="AO117" s="42">
        <f t="shared" si="50"/>
        <v>-428.65621007930895</v>
      </c>
      <c r="AQ117" s="42">
        <f>VLOOKUP(A117,'Band Calculations - Rebase'!$A$109:$W$127,23,(FALSE))</f>
        <v>14327.068527263833</v>
      </c>
      <c r="AR117" s="42">
        <f t="shared" si="51"/>
        <v>-428.65621007930895</v>
      </c>
      <c r="AS117" s="814"/>
      <c r="AT117" s="2012"/>
      <c r="AV117" s="42">
        <f t="shared" si="52"/>
        <v>0</v>
      </c>
      <c r="AW117" s="42">
        <f>SUM('1819 Band Calculations'!U11,'1819 Band Calculations'!U33,'1819 Band Calculations'!U55,'1819 Band Calculations'!U77)</f>
        <v>0</v>
      </c>
      <c r="AX117" s="42">
        <f t="shared" si="53"/>
        <v>0</v>
      </c>
      <c r="AZ117" s="42">
        <v>33388</v>
      </c>
      <c r="BA117" s="42">
        <f>'1920 Funding Detail'!AF17</f>
        <v>33387.685956377958</v>
      </c>
      <c r="BB117" s="42">
        <f t="shared" si="54"/>
        <v>0.31404362204193603</v>
      </c>
    </row>
    <row r="118" spans="1:54" ht="13" x14ac:dyDescent="0.3">
      <c r="A118" s="185">
        <v>9257033</v>
      </c>
      <c r="B118" s="38" t="s">
        <v>72</v>
      </c>
      <c r="C118" s="39">
        <v>3</v>
      </c>
      <c r="D118" s="944">
        <f t="shared" si="20"/>
        <v>379968.78874726937</v>
      </c>
      <c r="E118" s="944">
        <f t="shared" si="21"/>
        <v>520516.38372475398</v>
      </c>
      <c r="F118" s="156">
        <f t="shared" si="36"/>
        <v>900485.17247202341</v>
      </c>
      <c r="G118" s="944">
        <f t="shared" si="22"/>
        <v>0</v>
      </c>
      <c r="H118" s="944">
        <f t="shared" si="23"/>
        <v>0</v>
      </c>
      <c r="I118" s="156">
        <f t="shared" si="37"/>
        <v>0</v>
      </c>
      <c r="J118" s="156">
        <f t="shared" si="38"/>
        <v>900485.17247202341</v>
      </c>
      <c r="K118" s="944">
        <f t="shared" si="24"/>
        <v>19725.071022727272</v>
      </c>
      <c r="L118" s="944">
        <f t="shared" si="25"/>
        <v>27021.226325757576</v>
      </c>
      <c r="M118" s="156">
        <f t="shared" si="39"/>
        <v>46746.297348484848</v>
      </c>
      <c r="N118" s="944">
        <f t="shared" si="26"/>
        <v>0</v>
      </c>
      <c r="O118" s="944">
        <f t="shared" si="27"/>
        <v>0</v>
      </c>
      <c r="P118" s="156">
        <f t="shared" si="40"/>
        <v>0</v>
      </c>
      <c r="Q118" s="156">
        <f t="shared" si="41"/>
        <v>46746.297348484848</v>
      </c>
      <c r="R118" s="156">
        <f t="shared" si="28"/>
        <v>947231.46982050827</v>
      </c>
      <c r="S118" s="334">
        <f t="shared" si="29"/>
        <v>91.833333333333343</v>
      </c>
      <c r="T118" s="944">
        <f t="shared" si="42"/>
        <v>10314.680252128946</v>
      </c>
      <c r="U118" s="36"/>
      <c r="V118" s="94">
        <f t="shared" si="30"/>
        <v>918333.33333333337</v>
      </c>
      <c r="W118" s="944">
        <f t="shared" si="31"/>
        <v>0</v>
      </c>
      <c r="X118" s="944">
        <f t="shared" si="43"/>
        <v>918333.33333333337</v>
      </c>
      <c r="Y118" s="971">
        <f>VLOOKUP(A118,'1920 Funding Detail'!$A$4:$AN$23,33,FALSE)</f>
        <v>1411980.8698205082</v>
      </c>
      <c r="Z118" s="944">
        <f t="shared" si="44"/>
        <v>493647.5364871748</v>
      </c>
      <c r="AA118" s="944">
        <f t="shared" si="32"/>
        <v>208299.55033261003</v>
      </c>
      <c r="AB118" s="944">
        <f t="shared" si="33"/>
        <v>285347.98615456471</v>
      </c>
      <c r="AC118" s="944">
        <f t="shared" si="45"/>
        <v>493647.53648717474</v>
      </c>
      <c r="AD118" s="944">
        <f t="shared" si="34"/>
        <v>0</v>
      </c>
      <c r="AE118" s="944">
        <f t="shared" si="35"/>
        <v>0</v>
      </c>
      <c r="AF118" s="944">
        <f t="shared" si="46"/>
        <v>0</v>
      </c>
      <c r="AG118" s="944">
        <f t="shared" si="47"/>
        <v>493647.53648717474</v>
      </c>
      <c r="AH118" s="134"/>
      <c r="AI118" s="726">
        <f t="shared" si="48"/>
        <v>1411980.8698205082</v>
      </c>
      <c r="AJ118" s="125" t="s">
        <v>402</v>
      </c>
      <c r="AK118" s="627" t="s">
        <v>402</v>
      </c>
      <c r="AL118" s="42">
        <f t="shared" si="49"/>
        <v>10314.680252128946</v>
      </c>
      <c r="AM118" s="42"/>
      <c r="AN118" s="42">
        <f>VLOOKUP(A118,'Band Calculations 1718'!$A$107:$W$125,23,(FALSE))</f>
        <v>9853.3189773154299</v>
      </c>
      <c r="AO118" s="816">
        <f t="shared" si="50"/>
        <v>461.3612748135165</v>
      </c>
      <c r="AQ118" s="42">
        <f>VLOOKUP(A118,'Band Calculations - Rebase'!$A$109:$W$127,23,(FALSE))</f>
        <v>9853.3189773154299</v>
      </c>
      <c r="AR118" s="816">
        <f t="shared" si="51"/>
        <v>461.3612748135165</v>
      </c>
      <c r="AS118" s="814"/>
      <c r="AT118" s="2012"/>
      <c r="AV118" s="42">
        <f t="shared" si="52"/>
        <v>0</v>
      </c>
      <c r="AW118" s="42">
        <f>SUM('1819 Band Calculations'!U12,'1819 Band Calculations'!U34,'1819 Band Calculations'!U56,'1819 Band Calculations'!U78)</f>
        <v>0</v>
      </c>
      <c r="AX118" s="42">
        <f t="shared" si="53"/>
        <v>0</v>
      </c>
      <c r="AZ118" s="42">
        <f>'1920 Funding Detail'!AF22</f>
        <v>0</v>
      </c>
      <c r="BA118" s="42">
        <f>'1920 Funding Detail'!AF22</f>
        <v>0</v>
      </c>
      <c r="BB118" s="42">
        <f t="shared" si="54"/>
        <v>0</v>
      </c>
    </row>
    <row r="119" spans="1:54" ht="13" x14ac:dyDescent="0.3">
      <c r="A119" s="185">
        <v>9257008</v>
      </c>
      <c r="B119" s="38" t="s">
        <v>73</v>
      </c>
      <c r="C119" s="39">
        <v>4</v>
      </c>
      <c r="D119" s="944">
        <f t="shared" si="20"/>
        <v>364371.09367785533</v>
      </c>
      <c r="E119" s="944">
        <f t="shared" si="21"/>
        <v>510119.53114899743</v>
      </c>
      <c r="F119" s="156">
        <f t="shared" si="36"/>
        <v>874490.6248268527</v>
      </c>
      <c r="G119" s="944">
        <f t="shared" si="22"/>
        <v>0</v>
      </c>
      <c r="H119" s="944">
        <f t="shared" si="23"/>
        <v>0</v>
      </c>
      <c r="I119" s="156">
        <f t="shared" si="37"/>
        <v>0</v>
      </c>
      <c r="J119" s="156">
        <f t="shared" si="38"/>
        <v>874490.6248268527</v>
      </c>
      <c r="K119" s="944">
        <f t="shared" si="24"/>
        <v>10979.166666666668</v>
      </c>
      <c r="L119" s="944">
        <f t="shared" si="25"/>
        <v>15370.833333333334</v>
      </c>
      <c r="M119" s="156">
        <f t="shared" si="39"/>
        <v>26350</v>
      </c>
      <c r="N119" s="944">
        <f t="shared" si="26"/>
        <v>0</v>
      </c>
      <c r="O119" s="944">
        <f t="shared" si="27"/>
        <v>0</v>
      </c>
      <c r="P119" s="156">
        <f t="shared" si="40"/>
        <v>0</v>
      </c>
      <c r="Q119" s="156">
        <f t="shared" si="41"/>
        <v>26350</v>
      </c>
      <c r="R119" s="156">
        <f t="shared" si="28"/>
        <v>900840.6248268527</v>
      </c>
      <c r="S119" s="334">
        <f t="shared" si="29"/>
        <v>95</v>
      </c>
      <c r="T119" s="944">
        <f t="shared" si="42"/>
        <v>9482.5328929142397</v>
      </c>
      <c r="U119" s="36"/>
      <c r="V119" s="94">
        <f t="shared" si="30"/>
        <v>950000.00000000012</v>
      </c>
      <c r="W119" s="944">
        <f t="shared" si="31"/>
        <v>0</v>
      </c>
      <c r="X119" s="944">
        <f t="shared" si="43"/>
        <v>950000.00000000012</v>
      </c>
      <c r="Y119" s="971">
        <f>VLOOKUP(A119,'1920 Funding Detail'!$A$4:$AN$23,33,FALSE)</f>
        <v>1354368.7748268526</v>
      </c>
      <c r="Z119" s="944">
        <f t="shared" si="44"/>
        <v>404368.77482685249</v>
      </c>
      <c r="AA119" s="944">
        <f t="shared" si="32"/>
        <v>168486.98951118859</v>
      </c>
      <c r="AB119" s="944">
        <f t="shared" si="33"/>
        <v>235881.78531566402</v>
      </c>
      <c r="AC119" s="944">
        <f t="shared" si="45"/>
        <v>404368.7748268526</v>
      </c>
      <c r="AD119" s="944">
        <f t="shared" si="34"/>
        <v>0</v>
      </c>
      <c r="AE119" s="944">
        <f t="shared" si="35"/>
        <v>0</v>
      </c>
      <c r="AF119" s="944">
        <f t="shared" si="46"/>
        <v>0</v>
      </c>
      <c r="AG119" s="944">
        <f t="shared" si="47"/>
        <v>404368.7748268526</v>
      </c>
      <c r="AH119" s="134"/>
      <c r="AI119" s="726">
        <f t="shared" si="48"/>
        <v>1354368.7748268526</v>
      </c>
      <c r="AJ119" s="125" t="s">
        <v>402</v>
      </c>
      <c r="AK119" s="627" t="s">
        <v>402</v>
      </c>
      <c r="AL119" s="42">
        <f t="shared" si="49"/>
        <v>9482.5328929142397</v>
      </c>
      <c r="AM119" s="42"/>
      <c r="AN119" s="42">
        <f>VLOOKUP(A119,'Band Calculations 1718'!$A$107:$W$125,23,(FALSE))</f>
        <v>8745.392390460469</v>
      </c>
      <c r="AO119" s="42">
        <f t="shared" si="50"/>
        <v>737.14050245377075</v>
      </c>
      <c r="AQ119" s="42">
        <f>VLOOKUP(A119,'Band Calculations - Rebase'!$A$109:$W$127,23,(FALSE))</f>
        <v>8745.392390460469</v>
      </c>
      <c r="AR119" s="42">
        <f t="shared" si="51"/>
        <v>737.14050245377075</v>
      </c>
      <c r="AS119" s="814"/>
      <c r="AT119" s="2012"/>
      <c r="AV119" s="42">
        <f t="shared" si="52"/>
        <v>0</v>
      </c>
      <c r="AW119" s="42">
        <f>SUM('1819 Band Calculations'!U13,'1819 Band Calculations'!U35,'1819 Band Calculations'!U57,'1819 Band Calculations'!U79)</f>
        <v>0</v>
      </c>
      <c r="AX119" s="42">
        <f t="shared" si="53"/>
        <v>0</v>
      </c>
      <c r="AZ119" s="42">
        <f>'1920 Funding Detail'!AF9</f>
        <v>0</v>
      </c>
      <c r="BA119" s="42">
        <f>'1920 Funding Detail'!AF9</f>
        <v>0</v>
      </c>
      <c r="BB119" s="42">
        <f t="shared" si="54"/>
        <v>0</v>
      </c>
    </row>
    <row r="120" spans="1:54" ht="13" x14ac:dyDescent="0.3">
      <c r="A120" s="185">
        <v>9257034</v>
      </c>
      <c r="B120" s="38" t="s">
        <v>74</v>
      </c>
      <c r="C120" s="39">
        <v>5</v>
      </c>
      <c r="D120" s="944">
        <f t="shared" si="20"/>
        <v>267805.7825802702</v>
      </c>
      <c r="E120" s="944">
        <f t="shared" si="21"/>
        <v>398961.9478952231</v>
      </c>
      <c r="F120" s="156">
        <f t="shared" si="36"/>
        <v>666767.73047549324</v>
      </c>
      <c r="G120" s="944">
        <f t="shared" si="22"/>
        <v>90641.957181014528</v>
      </c>
      <c r="H120" s="944">
        <f t="shared" si="23"/>
        <v>203257.72216348711</v>
      </c>
      <c r="I120" s="156">
        <f t="shared" si="37"/>
        <v>293899.67934450164</v>
      </c>
      <c r="J120" s="156">
        <f t="shared" si="38"/>
        <v>960667.40981999482</v>
      </c>
      <c r="K120" s="944">
        <f t="shared" si="24"/>
        <v>15292.410714285716</v>
      </c>
      <c r="L120" s="944">
        <f t="shared" si="25"/>
        <v>22781.770833333332</v>
      </c>
      <c r="M120" s="156">
        <f t="shared" si="39"/>
        <v>38074.181547619046</v>
      </c>
      <c r="N120" s="944">
        <f t="shared" si="26"/>
        <v>5175.8928571428569</v>
      </c>
      <c r="O120" s="944">
        <f t="shared" si="27"/>
        <v>11606.54761904762</v>
      </c>
      <c r="P120" s="156">
        <f t="shared" si="40"/>
        <v>16782.440476190477</v>
      </c>
      <c r="Q120" s="156">
        <f t="shared" si="41"/>
        <v>54856.622023809527</v>
      </c>
      <c r="R120" s="156">
        <f t="shared" si="28"/>
        <v>1015524.0318438044</v>
      </c>
      <c r="S120" s="334">
        <f t="shared" si="29"/>
        <v>116.58333333333334</v>
      </c>
      <c r="T120" s="944">
        <f t="shared" si="42"/>
        <v>8710.7136398324892</v>
      </c>
      <c r="U120" s="36"/>
      <c r="V120" s="94">
        <f t="shared" si="30"/>
        <v>809166.66666666674</v>
      </c>
      <c r="W120" s="944">
        <f t="shared" si="31"/>
        <v>356666.66666666663</v>
      </c>
      <c r="X120" s="944">
        <f t="shared" si="43"/>
        <v>1165833.3333333335</v>
      </c>
      <c r="Y120" s="971">
        <f>VLOOKUP(A120,'1920 Funding Detail'!$A$4:$AN$23,33,FALSE)</f>
        <v>1581626.0831232392</v>
      </c>
      <c r="Z120" s="944">
        <f t="shared" si="44"/>
        <v>415792.74978990573</v>
      </c>
      <c r="AA120" s="944">
        <f t="shared" si="32"/>
        <v>115910.77370840832</v>
      </c>
      <c r="AB120" s="944">
        <f t="shared" si="33"/>
        <v>172677.33211432109</v>
      </c>
      <c r="AC120" s="944">
        <f t="shared" si="45"/>
        <v>288588.10582272941</v>
      </c>
      <c r="AD120" s="944">
        <f t="shared" si="34"/>
        <v>39231.338793615119</v>
      </c>
      <c r="AE120" s="944">
        <f t="shared" si="35"/>
        <v>87973.305173561181</v>
      </c>
      <c r="AF120" s="944">
        <f t="shared" si="46"/>
        <v>127204.64396717629</v>
      </c>
      <c r="AG120" s="944">
        <f t="shared" si="47"/>
        <v>415792.74978990573</v>
      </c>
      <c r="AH120" s="134"/>
      <c r="AI120" s="726">
        <f t="shared" si="48"/>
        <v>1581626.0831232392</v>
      </c>
      <c r="AJ120" s="125" t="s">
        <v>402</v>
      </c>
      <c r="AK120" s="627" t="s">
        <v>402</v>
      </c>
      <c r="AL120" s="42">
        <f t="shared" si="49"/>
        <v>8710.7136398324892</v>
      </c>
      <c r="AM120" s="42"/>
      <c r="AN120" s="42">
        <f>VLOOKUP(A120,'Band Calculations 1718'!$A$107:$W$125,23,(FALSE))</f>
        <v>8682.1328193541576</v>
      </c>
      <c r="AO120" s="42">
        <f t="shared" si="50"/>
        <v>28.580820478331589</v>
      </c>
      <c r="AQ120" s="42">
        <f>VLOOKUP(A120,'Band Calculations - Rebase'!$A$109:$W$127,23,(FALSE))</f>
        <v>8945.7875194442186</v>
      </c>
      <c r="AR120" s="42">
        <f t="shared" si="51"/>
        <v>-235.07387961172935</v>
      </c>
      <c r="AS120" s="814"/>
      <c r="AT120" s="2012"/>
      <c r="AV120" s="42">
        <f t="shared" si="52"/>
        <v>23434.031478687801</v>
      </c>
      <c r="AW120" s="42">
        <f>SUM('1819 Band Calculations'!U14,'1819 Band Calculations'!U36,'1819 Band Calculations'!U58,'1819 Band Calculations'!U80)</f>
        <v>67143.29172780794</v>
      </c>
      <c r="AX120" s="42">
        <f t="shared" si="53"/>
        <v>43709.26024912014</v>
      </c>
      <c r="AZ120" s="972">
        <v>101338</v>
      </c>
      <c r="BA120" s="42">
        <f>'1920 Funding Detail'!AF23</f>
        <v>74750.351279434864</v>
      </c>
      <c r="BB120" s="42">
        <f t="shared" si="54"/>
        <v>26587.648720565136</v>
      </c>
    </row>
    <row r="121" spans="1:54" ht="13" x14ac:dyDescent="0.3">
      <c r="A121" s="185">
        <v>9257002</v>
      </c>
      <c r="B121" s="38" t="s">
        <v>75</v>
      </c>
      <c r="C121" s="39">
        <v>5</v>
      </c>
      <c r="D121" s="944">
        <f t="shared" si="20"/>
        <v>516347.8170998639</v>
      </c>
      <c r="E121" s="944">
        <f t="shared" si="21"/>
        <v>727906.99216161377</v>
      </c>
      <c r="F121" s="156">
        <f t="shared" si="36"/>
        <v>1244254.8092614776</v>
      </c>
      <c r="G121" s="944">
        <f t="shared" si="22"/>
        <v>0</v>
      </c>
      <c r="H121" s="944">
        <f t="shared" si="23"/>
        <v>0</v>
      </c>
      <c r="I121" s="156">
        <f t="shared" si="37"/>
        <v>0</v>
      </c>
      <c r="J121" s="156">
        <f t="shared" si="38"/>
        <v>1244254.8092614776</v>
      </c>
      <c r="K121" s="944">
        <f t="shared" si="24"/>
        <v>29643.75</v>
      </c>
      <c r="L121" s="944">
        <f t="shared" si="25"/>
        <v>41789.453125</v>
      </c>
      <c r="M121" s="156">
        <f t="shared" si="39"/>
        <v>71433.203125</v>
      </c>
      <c r="N121" s="944">
        <f t="shared" si="26"/>
        <v>0</v>
      </c>
      <c r="O121" s="944">
        <f t="shared" si="27"/>
        <v>0</v>
      </c>
      <c r="P121" s="156">
        <f t="shared" si="40"/>
        <v>0</v>
      </c>
      <c r="Q121" s="156">
        <f t="shared" si="41"/>
        <v>71433.203125</v>
      </c>
      <c r="R121" s="156">
        <f t="shared" si="28"/>
        <v>1315688.0123864776</v>
      </c>
      <c r="S121" s="334">
        <f t="shared" si="29"/>
        <v>144.58333333333334</v>
      </c>
      <c r="T121" s="944">
        <f t="shared" si="42"/>
        <v>9099.8594516643971</v>
      </c>
      <c r="U121" s="36"/>
      <c r="V121" s="94">
        <f t="shared" si="30"/>
        <v>1445833.3333333335</v>
      </c>
      <c r="W121" s="944">
        <f t="shared" si="31"/>
        <v>0</v>
      </c>
      <c r="X121" s="944">
        <f t="shared" si="43"/>
        <v>1445833.3333333335</v>
      </c>
      <c r="Y121" s="971">
        <f>VLOOKUP(A121,'1920 Funding Detail'!$A$4:$AN$23,33,FALSE)</f>
        <v>1839477.0623864776</v>
      </c>
      <c r="Z121" s="944">
        <f t="shared" si="44"/>
        <v>393643.72905314411</v>
      </c>
      <c r="AA121" s="944">
        <f t="shared" si="32"/>
        <v>163356.47545721254</v>
      </c>
      <c r="AB121" s="944">
        <f t="shared" si="33"/>
        <v>230287.25359593154</v>
      </c>
      <c r="AC121" s="944">
        <f t="shared" si="45"/>
        <v>393643.72905314411</v>
      </c>
      <c r="AD121" s="944">
        <f t="shared" si="34"/>
        <v>0</v>
      </c>
      <c r="AE121" s="944">
        <f t="shared" si="35"/>
        <v>0</v>
      </c>
      <c r="AF121" s="944">
        <f t="shared" si="46"/>
        <v>0</v>
      </c>
      <c r="AG121" s="944">
        <f t="shared" si="47"/>
        <v>393643.72905314411</v>
      </c>
      <c r="AH121" s="134"/>
      <c r="AI121" s="726">
        <f t="shared" si="48"/>
        <v>1839477.0623864776</v>
      </c>
      <c r="AJ121" s="125" t="s">
        <v>402</v>
      </c>
      <c r="AK121" s="627" t="s">
        <v>402</v>
      </c>
      <c r="AL121" s="42">
        <f t="shared" si="49"/>
        <v>9099.8594516643971</v>
      </c>
      <c r="AM121" s="42"/>
      <c r="AN121" s="42">
        <f>VLOOKUP(A121,'Band Calculations 1718'!$A$107:$W$125,23,(FALSE))</f>
        <v>7480.8820134065591</v>
      </c>
      <c r="AO121" s="42">
        <f t="shared" si="50"/>
        <v>1618.977438257838</v>
      </c>
      <c r="AQ121" s="42">
        <f>VLOOKUP(A121,'Band Calculations - Rebase'!$A$109:$W$127,23,(FALSE))</f>
        <v>7558.3444916912022</v>
      </c>
      <c r="AR121" s="42">
        <f t="shared" si="51"/>
        <v>1541.5149599731949</v>
      </c>
      <c r="AS121" s="814"/>
      <c r="AT121" s="2012"/>
      <c r="AV121" s="42">
        <f t="shared" si="52"/>
        <v>22603.948241494982</v>
      </c>
      <c r="AW121" s="42">
        <f>SUM('1819 Band Calculations'!U15,'1819 Band Calculations'!U37,'1819 Band Calculations'!U59,'1819 Band Calculations'!U81)</f>
        <v>23187.593404349416</v>
      </c>
      <c r="AX121" s="42">
        <f t="shared" si="53"/>
        <v>583.6451628544346</v>
      </c>
      <c r="AZ121" s="42">
        <f>'1920 Funding Detail'!AF10</f>
        <v>0</v>
      </c>
      <c r="BA121" s="42">
        <f>'1920 Funding Detail'!AF10</f>
        <v>0</v>
      </c>
      <c r="BB121" s="42">
        <f t="shared" si="54"/>
        <v>0</v>
      </c>
    </row>
    <row r="122" spans="1:54" ht="13" x14ac:dyDescent="0.3">
      <c r="A122" s="185">
        <v>9257009</v>
      </c>
      <c r="B122" s="38" t="s">
        <v>76</v>
      </c>
      <c r="C122" s="39">
        <v>4</v>
      </c>
      <c r="D122" s="944">
        <f t="shared" si="20"/>
        <v>480994.7489818334</v>
      </c>
      <c r="E122" s="944">
        <f t="shared" si="21"/>
        <v>683518.85381628969</v>
      </c>
      <c r="F122" s="156">
        <f t="shared" si="36"/>
        <v>1164513.6027981231</v>
      </c>
      <c r="G122" s="944">
        <f t="shared" si="22"/>
        <v>0</v>
      </c>
      <c r="H122" s="944">
        <f t="shared" si="23"/>
        <v>0</v>
      </c>
      <c r="I122" s="156">
        <f t="shared" si="37"/>
        <v>0</v>
      </c>
      <c r="J122" s="156">
        <f t="shared" si="38"/>
        <v>1164513.6027981231</v>
      </c>
      <c r="K122" s="944">
        <f t="shared" si="24"/>
        <v>17435.572139303484</v>
      </c>
      <c r="L122" s="944">
        <f t="shared" si="25"/>
        <v>24776.86567164179</v>
      </c>
      <c r="M122" s="156">
        <f t="shared" si="39"/>
        <v>42212.437810945274</v>
      </c>
      <c r="N122" s="944">
        <f t="shared" si="26"/>
        <v>0</v>
      </c>
      <c r="O122" s="944">
        <f t="shared" si="27"/>
        <v>0</v>
      </c>
      <c r="P122" s="156">
        <f t="shared" si="40"/>
        <v>0</v>
      </c>
      <c r="Q122" s="156">
        <f t="shared" si="41"/>
        <v>42212.437810945274</v>
      </c>
      <c r="R122" s="156">
        <f t="shared" si="28"/>
        <v>1206726.0406090685</v>
      </c>
      <c r="S122" s="334">
        <f t="shared" si="29"/>
        <v>134.16666666666669</v>
      </c>
      <c r="T122" s="944">
        <f t="shared" si="42"/>
        <v>8994.2313585769061</v>
      </c>
      <c r="U122" s="36"/>
      <c r="V122" s="94">
        <f t="shared" si="30"/>
        <v>1341666.6666666667</v>
      </c>
      <c r="W122" s="944">
        <f t="shared" si="31"/>
        <v>0</v>
      </c>
      <c r="X122" s="944">
        <f t="shared" si="43"/>
        <v>1341666.6666666667</v>
      </c>
      <c r="Y122" s="971">
        <f>VLOOKUP(A122,'1920 Funding Detail'!$A$4:$AN$23,33,FALSE)</f>
        <v>1802054.1931649239</v>
      </c>
      <c r="Z122" s="944">
        <f t="shared" si="44"/>
        <v>460387.52649825718</v>
      </c>
      <c r="AA122" s="944">
        <f t="shared" si="32"/>
        <v>190160.06529275837</v>
      </c>
      <c r="AB122" s="944">
        <f t="shared" si="33"/>
        <v>270227.46120549872</v>
      </c>
      <c r="AC122" s="944">
        <f t="shared" si="45"/>
        <v>460387.52649825707</v>
      </c>
      <c r="AD122" s="944">
        <f t="shared" si="34"/>
        <v>0</v>
      </c>
      <c r="AE122" s="944">
        <f t="shared" si="35"/>
        <v>0</v>
      </c>
      <c r="AF122" s="944">
        <f t="shared" si="46"/>
        <v>0</v>
      </c>
      <c r="AG122" s="944">
        <f t="shared" si="47"/>
        <v>460387.52649825707</v>
      </c>
      <c r="AH122" s="134"/>
      <c r="AI122" s="726">
        <f t="shared" si="48"/>
        <v>1802054.1931649237</v>
      </c>
      <c r="AJ122" s="125" t="s">
        <v>402</v>
      </c>
      <c r="AK122" s="627" t="s">
        <v>402</v>
      </c>
      <c r="AL122" s="42">
        <f t="shared" si="49"/>
        <v>8994.2313585769061</v>
      </c>
      <c r="AM122" s="42"/>
      <c r="AN122" s="42">
        <f>VLOOKUP(A122,'Band Calculations 1718'!$A$107:$W$125,23,(FALSE))</f>
        <v>7608.4838508549019</v>
      </c>
      <c r="AO122" s="42">
        <f t="shared" si="50"/>
        <v>1385.7475077220042</v>
      </c>
      <c r="AQ122" s="42">
        <f>VLOOKUP(A122,'Band Calculations - Rebase'!$A$109:$W$127,23,(FALSE))</f>
        <v>7608.4838508549019</v>
      </c>
      <c r="AR122" s="816">
        <f t="shared" si="51"/>
        <v>1385.7475077220042</v>
      </c>
      <c r="AS122" s="814"/>
      <c r="AT122" s="2012"/>
      <c r="AV122" s="42">
        <f t="shared" si="52"/>
        <v>0</v>
      </c>
      <c r="AW122" s="42">
        <f>SUM('1819 Band Calculations'!U16,'1819 Band Calculations'!U38,'1819 Band Calculations'!U60,'1819 Band Calculations'!U82)</f>
        <v>0</v>
      </c>
      <c r="AX122" s="42">
        <f t="shared" si="53"/>
        <v>0</v>
      </c>
      <c r="AZ122" s="42">
        <v>83209</v>
      </c>
      <c r="BA122" s="42">
        <f>'1920 Funding Detail'!AF11</f>
        <v>83209.202555855503</v>
      </c>
      <c r="BB122" s="42">
        <f t="shared" si="54"/>
        <v>-0.20255585550330579</v>
      </c>
    </row>
    <row r="123" spans="1:54" ht="13" x14ac:dyDescent="0.3">
      <c r="A123" s="185">
        <v>9257029</v>
      </c>
      <c r="B123" s="915" t="s">
        <v>848</v>
      </c>
      <c r="C123" s="39">
        <v>3</v>
      </c>
      <c r="D123" s="944">
        <f t="shared" si="20"/>
        <v>192416.62708523564</v>
      </c>
      <c r="E123" s="944">
        <f t="shared" si="21"/>
        <v>446782.02191498614</v>
      </c>
      <c r="F123" s="156">
        <f t="shared" si="36"/>
        <v>639198.64900022175</v>
      </c>
      <c r="G123" s="944">
        <f t="shared" si="22"/>
        <v>0</v>
      </c>
      <c r="H123" s="944">
        <f t="shared" si="23"/>
        <v>0</v>
      </c>
      <c r="I123" s="156">
        <f t="shared" si="37"/>
        <v>0</v>
      </c>
      <c r="J123" s="156">
        <f t="shared" si="38"/>
        <v>639198.64900022175</v>
      </c>
      <c r="K123" s="944">
        <f t="shared" si="24"/>
        <v>45014.583333333336</v>
      </c>
      <c r="L123" s="944">
        <f t="shared" si="25"/>
        <v>104521.66666666667</v>
      </c>
      <c r="M123" s="156">
        <f t="shared" si="39"/>
        <v>149536.25</v>
      </c>
      <c r="N123" s="944">
        <f t="shared" si="26"/>
        <v>0</v>
      </c>
      <c r="O123" s="944">
        <f t="shared" si="27"/>
        <v>0</v>
      </c>
      <c r="P123" s="156">
        <f t="shared" si="40"/>
        <v>0</v>
      </c>
      <c r="Q123" s="156">
        <f t="shared" si="41"/>
        <v>149536.25</v>
      </c>
      <c r="R123" s="156">
        <f t="shared" si="28"/>
        <v>788734.89900022175</v>
      </c>
      <c r="S123" s="334">
        <f t="shared" si="29"/>
        <v>56.750000000000007</v>
      </c>
      <c r="T123" s="944">
        <f t="shared" si="42"/>
        <v>13898.412317184522</v>
      </c>
      <c r="U123" s="36"/>
      <c r="V123" s="94">
        <f t="shared" si="30"/>
        <v>567500</v>
      </c>
      <c r="W123" s="944">
        <f t="shared" si="31"/>
        <v>0</v>
      </c>
      <c r="X123" s="944">
        <f t="shared" si="43"/>
        <v>567500</v>
      </c>
      <c r="Y123" s="971">
        <f>VLOOKUP(A123,'1920 Funding Detail'!$A$4:$AN$23,33,FALSE)</f>
        <v>1220573.1599610578</v>
      </c>
      <c r="Z123" s="944">
        <f t="shared" si="44"/>
        <v>653073.15996105783</v>
      </c>
      <c r="AA123" s="944">
        <f t="shared" si="32"/>
        <v>196593.24198534037</v>
      </c>
      <c r="AB123" s="944">
        <f t="shared" si="33"/>
        <v>456479.91797571717</v>
      </c>
      <c r="AC123" s="944">
        <f t="shared" si="45"/>
        <v>653073.15996105759</v>
      </c>
      <c r="AD123" s="944">
        <f t="shared" si="34"/>
        <v>0</v>
      </c>
      <c r="AE123" s="944">
        <f t="shared" si="35"/>
        <v>0</v>
      </c>
      <c r="AF123" s="944">
        <f t="shared" si="46"/>
        <v>0</v>
      </c>
      <c r="AG123" s="944">
        <f t="shared" si="47"/>
        <v>653073.15996105759</v>
      </c>
      <c r="AH123" s="134"/>
      <c r="AI123" s="726">
        <f t="shared" si="48"/>
        <v>1220573.1599610576</v>
      </c>
      <c r="AJ123" s="125" t="s">
        <v>402</v>
      </c>
      <c r="AK123" s="627" t="s">
        <v>402</v>
      </c>
      <c r="AL123" s="42">
        <f t="shared" si="49"/>
        <v>13898.412317184522</v>
      </c>
      <c r="AM123" s="42"/>
      <c r="AN123" s="42">
        <f>VLOOKUP(A123,'Band Calculations 1718'!$A$107:$W$125,23,(FALSE))</f>
        <v>14327.068527263833</v>
      </c>
      <c r="AO123" s="42">
        <f t="shared" si="50"/>
        <v>-428.65621007931077</v>
      </c>
      <c r="AQ123" s="42">
        <f>VLOOKUP(A123,'Band Calculations - Rebase'!$A$109:$W$127,23,(FALSE))</f>
        <v>14327.068527263833</v>
      </c>
      <c r="AR123" s="42">
        <f t="shared" si="51"/>
        <v>-428.65621007931077</v>
      </c>
      <c r="AS123" s="814"/>
      <c r="AT123" s="2012"/>
      <c r="AV123" s="42">
        <f t="shared" si="52"/>
        <v>0</v>
      </c>
      <c r="AW123" s="42">
        <f>SUM('1819 Band Calculations'!U17,'1819 Band Calculations'!U39,'1819 Band Calculations'!U61,'1819 Band Calculations'!U83)</f>
        <v>0</v>
      </c>
      <c r="AX123" s="42">
        <f t="shared" si="53"/>
        <v>0</v>
      </c>
      <c r="AZ123" s="42">
        <f>'1920 Funding Detail'!AF18</f>
        <v>16963.560960835996</v>
      </c>
      <c r="BA123" s="42">
        <f>'1920 Funding Detail'!AF18</f>
        <v>16963.560960835996</v>
      </c>
      <c r="BB123" s="42">
        <f t="shared" si="54"/>
        <v>0</v>
      </c>
    </row>
    <row r="124" spans="1:54" ht="13" x14ac:dyDescent="0.3">
      <c r="A124" s="185">
        <v>9257032</v>
      </c>
      <c r="B124" s="38" t="s">
        <v>100</v>
      </c>
      <c r="C124" s="39">
        <v>4</v>
      </c>
      <c r="D124" s="944">
        <f t="shared" si="20"/>
        <v>337902.36951553577</v>
      </c>
      <c r="E124" s="944">
        <f t="shared" si="21"/>
        <v>466492.99347005913</v>
      </c>
      <c r="F124" s="156">
        <f t="shared" si="36"/>
        <v>804395.3629855949</v>
      </c>
      <c r="G124" s="944">
        <f t="shared" si="22"/>
        <v>0</v>
      </c>
      <c r="H124" s="944">
        <f t="shared" si="23"/>
        <v>0</v>
      </c>
      <c r="I124" s="156">
        <f t="shared" si="37"/>
        <v>0</v>
      </c>
      <c r="J124" s="156">
        <f t="shared" si="38"/>
        <v>804395.3629855949</v>
      </c>
      <c r="K124" s="944">
        <f t="shared" si="24"/>
        <v>79050</v>
      </c>
      <c r="L124" s="944">
        <f t="shared" si="25"/>
        <v>109132.91666666667</v>
      </c>
      <c r="M124" s="156">
        <f t="shared" si="39"/>
        <v>188182.91666666669</v>
      </c>
      <c r="N124" s="944">
        <f t="shared" si="26"/>
        <v>0</v>
      </c>
      <c r="O124" s="944">
        <f t="shared" si="27"/>
        <v>0</v>
      </c>
      <c r="P124" s="156">
        <f t="shared" si="40"/>
        <v>0</v>
      </c>
      <c r="Q124" s="156">
        <f t="shared" si="41"/>
        <v>188182.91666666669</v>
      </c>
      <c r="R124" s="156">
        <f t="shared" si="28"/>
        <v>992578.27965226164</v>
      </c>
      <c r="S124" s="334">
        <f t="shared" si="29"/>
        <v>71.416666666666671</v>
      </c>
      <c r="T124" s="944">
        <f t="shared" si="42"/>
        <v>13898.412317184526</v>
      </c>
      <c r="U124" s="36"/>
      <c r="V124" s="94">
        <f t="shared" si="30"/>
        <v>714166.66666666674</v>
      </c>
      <c r="W124" s="944">
        <f t="shared" si="31"/>
        <v>0</v>
      </c>
      <c r="X124" s="944">
        <f t="shared" si="43"/>
        <v>714166.66666666674</v>
      </c>
      <c r="Y124" s="971">
        <f>VLOOKUP(A124,'1920 Funding Detail'!$A$4:$AN$23,33,FALSE)</f>
        <v>1456460.6090335608</v>
      </c>
      <c r="Z124" s="944">
        <f t="shared" si="44"/>
        <v>742293.9423668941</v>
      </c>
      <c r="AA124" s="944">
        <f t="shared" si="32"/>
        <v>311815.42503160075</v>
      </c>
      <c r="AB124" s="944">
        <f t="shared" si="33"/>
        <v>430478.51733529323</v>
      </c>
      <c r="AC124" s="944">
        <f t="shared" si="45"/>
        <v>742293.94236689399</v>
      </c>
      <c r="AD124" s="944">
        <f t="shared" si="34"/>
        <v>0</v>
      </c>
      <c r="AE124" s="944">
        <f t="shared" si="35"/>
        <v>0</v>
      </c>
      <c r="AF124" s="944">
        <f t="shared" si="46"/>
        <v>0</v>
      </c>
      <c r="AG124" s="944">
        <f t="shared" si="47"/>
        <v>742293.94236689399</v>
      </c>
      <c r="AH124" s="134"/>
      <c r="AI124" s="726">
        <f t="shared" si="48"/>
        <v>1456460.6090335608</v>
      </c>
      <c r="AJ124" s="125" t="s">
        <v>402</v>
      </c>
      <c r="AK124" s="627" t="s">
        <v>402</v>
      </c>
      <c r="AL124" s="42">
        <f t="shared" si="49"/>
        <v>13898.412317184526</v>
      </c>
      <c r="AM124" s="42"/>
      <c r="AN124" s="42">
        <f>VLOOKUP(A124,'Band Calculations 1718'!$A$107:$W$125,23,(FALSE))</f>
        <v>14327.068527263833</v>
      </c>
      <c r="AO124" s="42">
        <f t="shared" si="50"/>
        <v>-428.65621007930713</v>
      </c>
      <c r="AQ124" s="42">
        <f>VLOOKUP(A124,'Band Calculations - Rebase'!$A$109:$W$127,23,(FALSE))</f>
        <v>14327.068527263833</v>
      </c>
      <c r="AR124" s="42">
        <f t="shared" si="51"/>
        <v>-428.65621007930713</v>
      </c>
      <c r="AS124" s="814"/>
      <c r="AT124" s="2012"/>
      <c r="AV124" s="42">
        <f t="shared" si="52"/>
        <v>0</v>
      </c>
      <c r="AW124" s="42">
        <f>SUM('1819 Band Calculations'!U18,'1819 Band Calculations'!U40,'1819 Band Calculations'!U62,'1819 Band Calculations'!U84)</f>
        <v>0</v>
      </c>
      <c r="AX124" s="42">
        <f t="shared" si="53"/>
        <v>0</v>
      </c>
      <c r="AZ124" s="42">
        <v>35435</v>
      </c>
      <c r="BA124" s="42">
        <f>'1920 Funding Detail'!AF19</f>
        <v>41956.479381299068</v>
      </c>
      <c r="BB124" s="42">
        <f t="shared" si="54"/>
        <v>-6521.4793812990683</v>
      </c>
    </row>
    <row r="125" spans="1:54" ht="13" x14ac:dyDescent="0.3">
      <c r="A125" s="185">
        <v>9257030</v>
      </c>
      <c r="B125" s="38" t="s">
        <v>92</v>
      </c>
      <c r="C125" s="39">
        <v>4</v>
      </c>
      <c r="D125" s="944">
        <f t="shared" si="20"/>
        <v>328516.19258454861</v>
      </c>
      <c r="E125" s="944">
        <f t="shared" si="21"/>
        <v>486203.965025132</v>
      </c>
      <c r="F125" s="156">
        <f t="shared" si="36"/>
        <v>814720.15760968067</v>
      </c>
      <c r="G125" s="944">
        <f t="shared" si="22"/>
        <v>0</v>
      </c>
      <c r="H125" s="944">
        <f t="shared" si="23"/>
        <v>0</v>
      </c>
      <c r="I125" s="156">
        <f t="shared" si="37"/>
        <v>0</v>
      </c>
      <c r="J125" s="156">
        <f t="shared" si="38"/>
        <v>814720.15760968067</v>
      </c>
      <c r="K125" s="944">
        <f t="shared" si="24"/>
        <v>76854.166666666672</v>
      </c>
      <c r="L125" s="944">
        <f t="shared" si="25"/>
        <v>113744.16666666667</v>
      </c>
      <c r="M125" s="156">
        <f t="shared" si="39"/>
        <v>190598.33333333334</v>
      </c>
      <c r="N125" s="944">
        <f t="shared" si="26"/>
        <v>0</v>
      </c>
      <c r="O125" s="944">
        <f t="shared" si="27"/>
        <v>0</v>
      </c>
      <c r="P125" s="156">
        <f t="shared" si="40"/>
        <v>0</v>
      </c>
      <c r="Q125" s="156">
        <f t="shared" si="41"/>
        <v>190598.33333333334</v>
      </c>
      <c r="R125" s="156">
        <f t="shared" si="28"/>
        <v>1005318.490943014</v>
      </c>
      <c r="S125" s="334">
        <f t="shared" si="29"/>
        <v>72.333333333333343</v>
      </c>
      <c r="T125" s="944">
        <f t="shared" si="42"/>
        <v>13898.412317184524</v>
      </c>
      <c r="U125" s="36"/>
      <c r="V125" s="94">
        <f t="shared" si="30"/>
        <v>723333.33333333337</v>
      </c>
      <c r="W125" s="944">
        <f t="shared" si="31"/>
        <v>0</v>
      </c>
      <c r="X125" s="944">
        <f t="shared" si="43"/>
        <v>723333.33333333337</v>
      </c>
      <c r="Y125" s="971">
        <f>VLOOKUP(A125,'1920 Funding Detail'!$A$4:$AN$23,33,FALSE)</f>
        <v>1473541.3656670554</v>
      </c>
      <c r="Z125" s="944">
        <f t="shared" si="44"/>
        <v>750208.03233372199</v>
      </c>
      <c r="AA125" s="944">
        <f t="shared" si="32"/>
        <v>302503.2388442427</v>
      </c>
      <c r="AB125" s="944">
        <f t="shared" si="33"/>
        <v>447704.79348947917</v>
      </c>
      <c r="AC125" s="944">
        <f t="shared" si="45"/>
        <v>750208.03233372187</v>
      </c>
      <c r="AD125" s="944">
        <f t="shared" si="34"/>
        <v>0</v>
      </c>
      <c r="AE125" s="944">
        <f t="shared" si="35"/>
        <v>0</v>
      </c>
      <c r="AF125" s="944">
        <f t="shared" si="46"/>
        <v>0</v>
      </c>
      <c r="AG125" s="944">
        <f t="shared" si="47"/>
        <v>750208.03233372187</v>
      </c>
      <c r="AH125" s="134"/>
      <c r="AI125" s="726">
        <f t="shared" si="48"/>
        <v>1473541.3656670554</v>
      </c>
      <c r="AJ125" s="125" t="s">
        <v>402</v>
      </c>
      <c r="AK125" s="627" t="s">
        <v>402</v>
      </c>
      <c r="AL125" s="42">
        <f t="shared" si="49"/>
        <v>13898.412317184524</v>
      </c>
      <c r="AM125" s="42"/>
      <c r="AN125" s="42">
        <f>VLOOKUP(A125,'Band Calculations 1718'!$A$107:$W$125,23,(FALSE))</f>
        <v>14327.068527263831</v>
      </c>
      <c r="AO125" s="42">
        <f t="shared" si="50"/>
        <v>-428.65621007930713</v>
      </c>
      <c r="AQ125" s="42">
        <f>VLOOKUP(A125,'Band Calculations - Rebase'!$A$109:$W$127,23,(FALSE))</f>
        <v>14327.068527263831</v>
      </c>
      <c r="AR125" s="42">
        <f t="shared" si="51"/>
        <v>-428.65621007930713</v>
      </c>
      <c r="AS125" s="814"/>
      <c r="AT125" s="2012"/>
      <c r="AV125" s="42">
        <f t="shared" si="52"/>
        <v>0</v>
      </c>
      <c r="AW125" s="42">
        <f>SUM('1819 Band Calculations'!U19,'1819 Band Calculations'!U41,'1819 Band Calculations'!U63,'1819 Band Calculations'!U85)</f>
        <v>0</v>
      </c>
      <c r="AX125" s="42">
        <f t="shared" si="53"/>
        <v>0</v>
      </c>
      <c r="AZ125" s="42">
        <v>48541</v>
      </c>
      <c r="BA125" s="42">
        <f>'1920 Funding Detail'!AF20</f>
        <v>48541.274724041381</v>
      </c>
      <c r="BB125" s="42">
        <f t="shared" si="54"/>
        <v>-0.27472404138097772</v>
      </c>
    </row>
    <row r="126" spans="1:54" ht="13" x14ac:dyDescent="0.3">
      <c r="A126" s="185">
        <v>9257028</v>
      </c>
      <c r="B126" s="38" t="s">
        <v>77</v>
      </c>
      <c r="C126" s="39">
        <v>5</v>
      </c>
      <c r="D126" s="944">
        <f t="shared" si="20"/>
        <v>348124.14327617787</v>
      </c>
      <c r="E126" s="944">
        <f t="shared" si="21"/>
        <v>546449.4127789702</v>
      </c>
      <c r="F126" s="156">
        <f t="shared" si="36"/>
        <v>894573.55605514813</v>
      </c>
      <c r="G126" s="944">
        <f t="shared" si="22"/>
        <v>59075.612192321089</v>
      </c>
      <c r="H126" s="944">
        <f t="shared" si="23"/>
        <v>101272.478043979</v>
      </c>
      <c r="I126" s="156">
        <f t="shared" si="37"/>
        <v>160348.09023630008</v>
      </c>
      <c r="J126" s="156">
        <f t="shared" si="38"/>
        <v>1054921.6462914483</v>
      </c>
      <c r="K126" s="944">
        <f t="shared" si="24"/>
        <v>2527.7616279069771</v>
      </c>
      <c r="L126" s="944">
        <f t="shared" si="25"/>
        <v>3967.8197674418607</v>
      </c>
      <c r="M126" s="156">
        <f t="shared" si="39"/>
        <v>6495.5813953488378</v>
      </c>
      <c r="N126" s="944">
        <f t="shared" si="26"/>
        <v>428.95348837209303</v>
      </c>
      <c r="O126" s="944">
        <f t="shared" si="27"/>
        <v>735.34883720930225</v>
      </c>
      <c r="P126" s="156">
        <f t="shared" si="40"/>
        <v>1164.3023255813953</v>
      </c>
      <c r="Q126" s="156">
        <f t="shared" si="41"/>
        <v>7659.8837209302328</v>
      </c>
      <c r="R126" s="156">
        <f t="shared" si="28"/>
        <v>1062581.5300123785</v>
      </c>
      <c r="S126" s="334">
        <f t="shared" si="29"/>
        <v>83.333333333333343</v>
      </c>
      <c r="T126" s="944">
        <f t="shared" si="42"/>
        <v>12750.97836014854</v>
      </c>
      <c r="U126" s="36"/>
      <c r="V126" s="94">
        <f t="shared" si="30"/>
        <v>706666.66666666674</v>
      </c>
      <c r="W126" s="944">
        <f t="shared" si="31"/>
        <v>126666.66666666666</v>
      </c>
      <c r="X126" s="944">
        <f t="shared" si="43"/>
        <v>833333.33333333337</v>
      </c>
      <c r="Y126" s="971">
        <f>VLOOKUP(A126,'1920 Funding Detail'!$A$4:$AN$23,33,FALSE)</f>
        <v>1544058.5300123785</v>
      </c>
      <c r="Z126" s="944">
        <f t="shared" si="44"/>
        <v>710725.1966790451</v>
      </c>
      <c r="AA126" s="944">
        <f t="shared" si="32"/>
        <v>234539.31490408484</v>
      </c>
      <c r="AB126" s="944">
        <f t="shared" si="33"/>
        <v>368155.65187974524</v>
      </c>
      <c r="AC126" s="944">
        <f t="shared" si="45"/>
        <v>602694.96678383008</v>
      </c>
      <c r="AD126" s="944">
        <f t="shared" si="34"/>
        <v>39800.611014026523</v>
      </c>
      <c r="AE126" s="944">
        <f t="shared" si="35"/>
        <v>68229.618881188318</v>
      </c>
      <c r="AF126" s="944">
        <f t="shared" si="46"/>
        <v>108030.22989521484</v>
      </c>
      <c r="AG126" s="944">
        <f t="shared" si="47"/>
        <v>710725.19667904498</v>
      </c>
      <c r="AH126" s="134"/>
      <c r="AI126" s="726">
        <f t="shared" si="48"/>
        <v>1544058.5300123782</v>
      </c>
      <c r="AJ126" s="125" t="s">
        <v>402</v>
      </c>
      <c r="AK126" s="627" t="s">
        <v>402</v>
      </c>
      <c r="AL126" s="42">
        <f t="shared" si="49"/>
        <v>12750.97836014854</v>
      </c>
      <c r="AM126" s="42"/>
      <c r="AN126" s="42">
        <f>VLOOKUP(A126,'Band Calculations 1718'!$A$107:$W$125,23,(FALSE))</f>
        <v>10855.270293410516</v>
      </c>
      <c r="AO126" s="42">
        <f t="shared" si="50"/>
        <v>1895.7080667380233</v>
      </c>
      <c r="AQ126" s="42">
        <f>VLOOKUP(A126,'Band Calculations - Rebase'!$A$109:$W$127,23,(FALSE))</f>
        <v>12945.466165791158</v>
      </c>
      <c r="AR126" s="816">
        <f t="shared" si="51"/>
        <v>-194.4878056426187</v>
      </c>
      <c r="AS126" s="814"/>
      <c r="AT126" s="2012"/>
      <c r="AV126" s="42">
        <f t="shared" si="52"/>
        <v>261776.17157900496</v>
      </c>
      <c r="AW126" s="42">
        <f>SUM('1819 Band Calculations'!U20,'1819 Band Calculations'!U42,'1819 Band Calculations'!U64,'1819 Band Calculations'!U86)</f>
        <v>338759.90456899529</v>
      </c>
      <c r="AX126" s="42">
        <f t="shared" si="53"/>
        <v>76983.732989990327</v>
      </c>
      <c r="AZ126" s="972">
        <v>92334</v>
      </c>
      <c r="BA126" s="42">
        <f>'1920 Funding Detail'!AF12</f>
        <v>0</v>
      </c>
      <c r="BB126" s="42">
        <f t="shared" si="54"/>
        <v>92334</v>
      </c>
    </row>
    <row r="127" spans="1:54" ht="13" x14ac:dyDescent="0.3">
      <c r="A127" s="185">
        <v>9257021</v>
      </c>
      <c r="B127" s="38" t="s">
        <v>78</v>
      </c>
      <c r="C127" s="39">
        <v>5</v>
      </c>
      <c r="D127" s="944">
        <f t="shared" si="20"/>
        <v>587411.34428256727</v>
      </c>
      <c r="E127" s="944">
        <f t="shared" si="21"/>
        <v>859515.43795668555</v>
      </c>
      <c r="F127" s="156">
        <f t="shared" si="36"/>
        <v>1446926.7822392527</v>
      </c>
      <c r="G127" s="944">
        <f t="shared" si="22"/>
        <v>0</v>
      </c>
      <c r="H127" s="944">
        <f t="shared" si="23"/>
        <v>0</v>
      </c>
      <c r="I127" s="156">
        <f t="shared" si="37"/>
        <v>0</v>
      </c>
      <c r="J127" s="156">
        <f t="shared" si="38"/>
        <v>1446926.7822392527</v>
      </c>
      <c r="K127" s="944">
        <f t="shared" si="24"/>
        <v>16807.613168724278</v>
      </c>
      <c r="L127" s="944">
        <f t="shared" si="25"/>
        <v>24593.333333333336</v>
      </c>
      <c r="M127" s="156">
        <f t="shared" si="39"/>
        <v>41400.946502057617</v>
      </c>
      <c r="N127" s="944">
        <f t="shared" si="26"/>
        <v>0</v>
      </c>
      <c r="O127" s="944">
        <f t="shared" si="27"/>
        <v>0</v>
      </c>
      <c r="P127" s="156">
        <f t="shared" si="40"/>
        <v>0</v>
      </c>
      <c r="Q127" s="156">
        <f t="shared" si="41"/>
        <v>41400.946502057617</v>
      </c>
      <c r="R127" s="156">
        <f t="shared" si="28"/>
        <v>1488327.7287413103</v>
      </c>
      <c r="S127" s="334">
        <f t="shared" si="29"/>
        <v>159.08333333333334</v>
      </c>
      <c r="T127" s="944">
        <f t="shared" si="42"/>
        <v>9355.6483734393514</v>
      </c>
      <c r="U127" s="36"/>
      <c r="V127" s="94">
        <f t="shared" si="30"/>
        <v>1590833.3333333335</v>
      </c>
      <c r="W127" s="944">
        <f t="shared" si="31"/>
        <v>0</v>
      </c>
      <c r="X127" s="944">
        <f t="shared" si="43"/>
        <v>1590833.3333333335</v>
      </c>
      <c r="Y127" s="971">
        <f>VLOOKUP(A127,'1920 Funding Detail'!$A$4:$AN$23,33,FALSE)</f>
        <v>2074397.2588495193</v>
      </c>
      <c r="Z127" s="944">
        <f t="shared" si="44"/>
        <v>483563.92551618582</v>
      </c>
      <c r="AA127" s="944">
        <f t="shared" si="32"/>
        <v>196313.2751571734</v>
      </c>
      <c r="AB127" s="944">
        <f t="shared" si="33"/>
        <v>287250.65035901236</v>
      </c>
      <c r="AC127" s="944">
        <f t="shared" si="45"/>
        <v>483563.92551618576</v>
      </c>
      <c r="AD127" s="944">
        <f t="shared" si="34"/>
        <v>0</v>
      </c>
      <c r="AE127" s="944">
        <f t="shared" si="35"/>
        <v>0</v>
      </c>
      <c r="AF127" s="944">
        <f t="shared" si="46"/>
        <v>0</v>
      </c>
      <c r="AG127" s="944">
        <f t="shared" si="47"/>
        <v>483563.92551618576</v>
      </c>
      <c r="AH127" s="134"/>
      <c r="AI127" s="726">
        <f t="shared" si="48"/>
        <v>2074397.2588495193</v>
      </c>
      <c r="AJ127" s="125" t="s">
        <v>402</v>
      </c>
      <c r="AK127" s="627" t="s">
        <v>402</v>
      </c>
      <c r="AL127" s="42">
        <f t="shared" si="49"/>
        <v>9355.6483734393514</v>
      </c>
      <c r="AM127" s="42"/>
      <c r="AN127" s="42">
        <f>VLOOKUP(A127,'Band Calculations 1718'!$A$107:$W$125,23,(FALSE))</f>
        <v>7721.5167598965245</v>
      </c>
      <c r="AO127" s="42">
        <f t="shared" si="50"/>
        <v>1634.1316135428269</v>
      </c>
      <c r="AQ127" s="42">
        <f>VLOOKUP(A127,'Band Calculations - Rebase'!$A$109:$W$127,23,(FALSE))</f>
        <v>7855.5752872539169</v>
      </c>
      <c r="AR127" s="42">
        <f t="shared" si="51"/>
        <v>1500.0730861854345</v>
      </c>
      <c r="AS127" s="814"/>
      <c r="AT127" s="2012"/>
      <c r="AV127" s="42">
        <f t="shared" si="52"/>
        <v>22107.42859712529</v>
      </c>
      <c r="AW127" s="42">
        <f>SUM('1819 Band Calculations'!U21,'1819 Band Calculations'!U43,'1819 Band Calculations'!U65,'1819 Band Calculations'!U87)</f>
        <v>45219.159582606444</v>
      </c>
      <c r="AX127" s="42">
        <f t="shared" si="53"/>
        <v>23111.730985481154</v>
      </c>
      <c r="AZ127" s="972">
        <v>44519</v>
      </c>
      <c r="BA127" s="42">
        <f>'1920 Funding Detail'!AF13</f>
        <v>30740.830108208982</v>
      </c>
      <c r="BB127" s="42">
        <f t="shared" si="54"/>
        <v>13778.169891791018</v>
      </c>
    </row>
    <row r="128" spans="1:54" ht="13" x14ac:dyDescent="0.3">
      <c r="A128" s="131">
        <v>9257015</v>
      </c>
      <c r="B128" s="38" t="s">
        <v>55</v>
      </c>
      <c r="C128" s="39">
        <v>6</v>
      </c>
      <c r="D128" s="944">
        <f t="shared" si="20"/>
        <v>779631.46659690177</v>
      </c>
      <c r="E128" s="944">
        <f t="shared" si="21"/>
        <v>1111603.5749542923</v>
      </c>
      <c r="F128" s="156">
        <f t="shared" si="36"/>
        <v>1891235.0415511942</v>
      </c>
      <c r="G128" s="944">
        <f t="shared" si="22"/>
        <v>68981.217321016185</v>
      </c>
      <c r="H128" s="944">
        <f t="shared" si="23"/>
        <v>91974.9564280216</v>
      </c>
      <c r="I128" s="156">
        <f t="shared" si="37"/>
        <v>160956.17374903779</v>
      </c>
      <c r="J128" s="156">
        <f t="shared" si="38"/>
        <v>2052191.2153002319</v>
      </c>
      <c r="K128" s="944">
        <f t="shared" si="24"/>
        <v>7036.858298171589</v>
      </c>
      <c r="L128" s="944">
        <f t="shared" si="25"/>
        <v>10033.197960618849</v>
      </c>
      <c r="M128" s="156">
        <f t="shared" si="39"/>
        <v>17070.056258790439</v>
      </c>
      <c r="N128" s="944">
        <f t="shared" si="26"/>
        <v>622.6160337552742</v>
      </c>
      <c r="O128" s="944">
        <f t="shared" si="27"/>
        <v>830.15471167369901</v>
      </c>
      <c r="P128" s="156">
        <f t="shared" si="40"/>
        <v>1452.7707454289732</v>
      </c>
      <c r="Q128" s="156">
        <f t="shared" si="41"/>
        <v>18522.827004219413</v>
      </c>
      <c r="R128" s="156">
        <f t="shared" si="28"/>
        <v>2070714.0423044513</v>
      </c>
      <c r="S128" s="334">
        <f t="shared" si="29"/>
        <v>238.00000000000003</v>
      </c>
      <c r="T128" s="944">
        <f t="shared" si="42"/>
        <v>8700.479169346434</v>
      </c>
      <c r="U128" s="36"/>
      <c r="V128" s="94">
        <f t="shared" si="30"/>
        <v>2193333.3333333335</v>
      </c>
      <c r="W128" s="944">
        <f t="shared" si="31"/>
        <v>186666.66666666666</v>
      </c>
      <c r="X128" s="944">
        <f t="shared" si="43"/>
        <v>2380000</v>
      </c>
      <c r="Y128" s="971">
        <f>VLOOKUP(A128,'1920 Funding Detail'!$A$4:$AN$23,33,FALSE)</f>
        <v>2685082.3923044517</v>
      </c>
      <c r="Z128" s="944">
        <f t="shared" si="44"/>
        <v>305082.39230445167</v>
      </c>
      <c r="AA128" s="944">
        <f t="shared" si="32"/>
        <v>115901.39903723021</v>
      </c>
      <c r="AB128" s="944">
        <f t="shared" si="33"/>
        <v>165252.96249824436</v>
      </c>
      <c r="AC128" s="944">
        <f t="shared" si="45"/>
        <v>281154.36153547454</v>
      </c>
      <c r="AD128" s="944">
        <f t="shared" si="34"/>
        <v>10254.870329561383</v>
      </c>
      <c r="AE128" s="944">
        <f t="shared" si="35"/>
        <v>13673.160439415178</v>
      </c>
      <c r="AF128" s="944">
        <f t="shared" si="46"/>
        <v>23928.030768976561</v>
      </c>
      <c r="AG128" s="944">
        <f t="shared" si="47"/>
        <v>305082.39230445109</v>
      </c>
      <c r="AH128" s="134"/>
      <c r="AI128" s="726">
        <f t="shared" si="48"/>
        <v>2685082.3923044512</v>
      </c>
      <c r="AJ128" s="125" t="s">
        <v>402</v>
      </c>
      <c r="AK128" s="627" t="s">
        <v>402</v>
      </c>
      <c r="AL128" s="42">
        <f t="shared" si="49"/>
        <v>8700.479169346434</v>
      </c>
      <c r="AM128" s="42"/>
      <c r="AN128" s="42">
        <f>VLOOKUP(A128,'Band Calculations 1718'!$A$107:$W$125,23,(FALSE))</f>
        <v>7340.1394392567681</v>
      </c>
      <c r="AO128" s="42">
        <f t="shared" si="50"/>
        <v>1360.3397300896659</v>
      </c>
      <c r="AQ128" s="42">
        <f>VLOOKUP(A128,'Band Calculations - Rebase'!$A$109:$W$127,23,(FALSE))</f>
        <v>7533.3183553732788</v>
      </c>
      <c r="AR128" s="42">
        <f t="shared" si="51"/>
        <v>1167.1608139731552</v>
      </c>
      <c r="AS128" s="814"/>
      <c r="AT128" s="2012"/>
      <c r="AV128" s="42">
        <f t="shared" si="52"/>
        <v>45215.482530625093</v>
      </c>
      <c r="AW128" s="42">
        <f>SUM('1819 Band Calculations'!U22,'1819 Band Calculations'!U44,'1819 Band Calculations'!U66,'1819 Band Calculations'!U88)</f>
        <v>107388.40877764007</v>
      </c>
      <c r="AX128" s="42">
        <f t="shared" si="53"/>
        <v>62172.926247014977</v>
      </c>
      <c r="AZ128" s="972">
        <v>4041</v>
      </c>
      <c r="BA128" s="42">
        <f>'1920 Funding Detail'!AF14</f>
        <v>0</v>
      </c>
      <c r="BB128" s="42">
        <f t="shared" si="54"/>
        <v>4041</v>
      </c>
    </row>
    <row r="129" spans="1:54" ht="13" x14ac:dyDescent="0.3">
      <c r="A129" s="185">
        <v>9257016</v>
      </c>
      <c r="B129" s="38" t="s">
        <v>80</v>
      </c>
      <c r="C129" s="39">
        <v>6</v>
      </c>
      <c r="D129" s="944">
        <f t="shared" si="20"/>
        <v>482042.68299447926</v>
      </c>
      <c r="E129" s="944">
        <f t="shared" si="21"/>
        <v>764299.00098883687</v>
      </c>
      <c r="F129" s="156">
        <f t="shared" si="36"/>
        <v>1246341.6839833162</v>
      </c>
      <c r="G129" s="944">
        <f t="shared" si="22"/>
        <v>264833.08848853316</v>
      </c>
      <c r="H129" s="944">
        <f t="shared" si="23"/>
        <v>399572.73000024294</v>
      </c>
      <c r="I129" s="156">
        <f t="shared" si="37"/>
        <v>664405.8184887761</v>
      </c>
      <c r="J129" s="156">
        <f>F129+I129</f>
        <v>1910747.5024720924</v>
      </c>
      <c r="K129" s="944">
        <f t="shared" si="24"/>
        <v>670.05208333333326</v>
      </c>
      <c r="L129" s="944">
        <f t="shared" si="25"/>
        <v>1062.3958333333335</v>
      </c>
      <c r="M129" s="156">
        <f t="shared" si="39"/>
        <v>1732.4479166666667</v>
      </c>
      <c r="N129" s="944">
        <f t="shared" si="26"/>
        <v>368.125</v>
      </c>
      <c r="O129" s="944">
        <f t="shared" si="27"/>
        <v>555.41666666666663</v>
      </c>
      <c r="P129" s="156">
        <f t="shared" si="40"/>
        <v>923.54166666666663</v>
      </c>
      <c r="Q129" s="156">
        <f t="shared" si="41"/>
        <v>2655.9895833333335</v>
      </c>
      <c r="R129" s="156">
        <f t="shared" si="28"/>
        <v>1913403.4920554259</v>
      </c>
      <c r="S129" s="334">
        <f t="shared" si="29"/>
        <v>137.08333333333334</v>
      </c>
      <c r="T129" s="944">
        <f t="shared" si="42"/>
        <v>13957.958604659641</v>
      </c>
      <c r="U129" s="36"/>
      <c r="V129" s="94">
        <f t="shared" si="30"/>
        <v>894166.66666666674</v>
      </c>
      <c r="W129" s="944">
        <f t="shared" si="31"/>
        <v>476666.66666666663</v>
      </c>
      <c r="X129" s="944">
        <f t="shared" si="43"/>
        <v>1370833.3333333335</v>
      </c>
      <c r="Y129" s="971">
        <f>VLOOKUP(A129,'1920 Funding Detail'!$A$4:$AN$23,33,FALSE)</f>
        <v>2484113.2420554259</v>
      </c>
      <c r="Z129" s="944">
        <f t="shared" si="44"/>
        <v>1113279.9087220924</v>
      </c>
      <c r="AA129" s="944">
        <f t="shared" si="32"/>
        <v>280857.84931286826</v>
      </c>
      <c r="AB129" s="944">
        <f t="shared" si="33"/>
        <v>445311.96348883689</v>
      </c>
      <c r="AC129" s="944">
        <f t="shared" si="45"/>
        <v>726169.81280170521</v>
      </c>
      <c r="AD129" s="944">
        <f t="shared" si="34"/>
        <v>154302.62564658787</v>
      </c>
      <c r="AE129" s="944">
        <f t="shared" si="35"/>
        <v>232807.47027379923</v>
      </c>
      <c r="AF129" s="944">
        <f t="shared" si="46"/>
        <v>387110.09592038707</v>
      </c>
      <c r="AG129" s="944">
        <f t="shared" si="47"/>
        <v>1113279.9087220924</v>
      </c>
      <c r="AH129" s="134"/>
      <c r="AI129" s="726">
        <f t="shared" si="48"/>
        <v>2484113.2420554259</v>
      </c>
      <c r="AJ129" s="125" t="s">
        <v>402</v>
      </c>
      <c r="AK129" s="627" t="s">
        <v>402</v>
      </c>
      <c r="AL129" s="42">
        <f t="shared" si="49"/>
        <v>13957.958604659641</v>
      </c>
      <c r="AM129" s="42"/>
      <c r="AN129" s="42">
        <f>VLOOKUP(A129,'Band Calculations 1718'!$A$107:$W$125,23,(FALSE))</f>
        <v>10118.068418370316</v>
      </c>
      <c r="AO129" s="42">
        <f t="shared" si="50"/>
        <v>3839.8901862893254</v>
      </c>
      <c r="AQ129" s="42">
        <f>VLOOKUP(A129,'Band Calculations - Rebase'!$A$109:$W$127,23,(FALSE))</f>
        <v>12795.397962767993</v>
      </c>
      <c r="AR129" s="816">
        <f t="shared" si="51"/>
        <v>1162.5606418916486</v>
      </c>
      <c r="AS129" s="814"/>
      <c r="AT129" s="2012"/>
      <c r="AV129" s="42">
        <f t="shared" si="52"/>
        <v>794222.80929219606</v>
      </c>
      <c r="AW129" s="42">
        <f>SUM('1819 Band Calculations'!U23,'1819 Band Calculations'!U45,'1819 Band Calculations'!U67,'1819 Band Calculations'!U89)</f>
        <v>829296.22682059056</v>
      </c>
      <c r="AX129" s="42">
        <f t="shared" si="53"/>
        <v>35073.417528394493</v>
      </c>
      <c r="AZ129" s="42">
        <f>'1920 Funding Detail'!AF15</f>
        <v>0</v>
      </c>
      <c r="BA129" s="42">
        <f>'1920 Funding Detail'!AF15</f>
        <v>0</v>
      </c>
      <c r="BB129" s="42">
        <f t="shared" si="54"/>
        <v>0</v>
      </c>
    </row>
    <row r="130" spans="1:54" x14ac:dyDescent="0.25">
      <c r="C130" s="40"/>
      <c r="F130" s="933"/>
      <c r="G130" s="933"/>
      <c r="I130" s="34"/>
      <c r="J130" s="34"/>
      <c r="AW130" s="42"/>
      <c r="AZ130" s="42"/>
    </row>
    <row r="131" spans="1:54" ht="13" thickBot="1" x14ac:dyDescent="0.3">
      <c r="C131" s="40"/>
      <c r="D131" s="70">
        <f t="shared" ref="D131:P131" si="55">SUM(D112:D129)</f>
        <v>6600900.8265132746</v>
      </c>
      <c r="E131" s="70">
        <f t="shared" si="55"/>
        <v>9824327.5406377092</v>
      </c>
      <c r="F131" s="70">
        <f t="shared" si="55"/>
        <v>16425228.367150983</v>
      </c>
      <c r="G131" s="70">
        <f t="shared" si="55"/>
        <v>809530.41665459785</v>
      </c>
      <c r="H131" s="70">
        <f t="shared" si="55"/>
        <v>1399060.1756152525</v>
      </c>
      <c r="I131" s="70">
        <f t="shared" si="55"/>
        <v>2208590.59226985</v>
      </c>
      <c r="J131" s="70">
        <f>SUM(J112:J129)</f>
        <v>18633818.959420834</v>
      </c>
      <c r="K131" s="70">
        <f t="shared" si="55"/>
        <v>419389.54353332182</v>
      </c>
      <c r="L131" s="70">
        <f t="shared" si="55"/>
        <v>644566.40147567075</v>
      </c>
      <c r="M131" s="70">
        <f t="shared" si="55"/>
        <v>1063955.9450089927</v>
      </c>
      <c r="N131" s="70">
        <f t="shared" si="55"/>
        <v>13082.007373543876</v>
      </c>
      <c r="O131" s="70">
        <f t="shared" si="55"/>
        <v>25024.816063091857</v>
      </c>
      <c r="P131" s="70">
        <f t="shared" si="55"/>
        <v>38106.823436635728</v>
      </c>
      <c r="Q131" s="70">
        <f>SUM(Q112:Q129)</f>
        <v>1102062.7684456282</v>
      </c>
      <c r="R131" s="70">
        <f>SUM(R112:R129)</f>
        <v>19735881.727866467</v>
      </c>
      <c r="S131" s="981">
        <f>SUM(S112:S129)</f>
        <v>1817.5833333333333</v>
      </c>
      <c r="T131" s="70">
        <f>AVERAGE(T112:T129)</f>
        <v>11415.07801547911</v>
      </c>
      <c r="V131" s="730">
        <f>SUM(V112:V129)</f>
        <v>16219166.666666666</v>
      </c>
      <c r="W131" s="730">
        <f t="shared" ref="W131:AI131" si="56">SUM(W112:W129)</f>
        <v>1956666.6666666665</v>
      </c>
      <c r="X131" s="729">
        <f t="shared" si="56"/>
        <v>18175833.333333332</v>
      </c>
      <c r="Y131" s="729">
        <f t="shared" si="56"/>
        <v>28779099.218740076</v>
      </c>
      <c r="Z131" s="729">
        <f t="shared" si="56"/>
        <v>10603265.88540674</v>
      </c>
      <c r="AA131" s="729">
        <f t="shared" si="56"/>
        <v>3680608.1755164368</v>
      </c>
      <c r="AB131" s="729">
        <f t="shared" si="56"/>
        <v>5587156.8562589036</v>
      </c>
      <c r="AC131" s="729">
        <f t="shared" si="56"/>
        <v>9267765.0317753404</v>
      </c>
      <c r="AD131" s="729">
        <f t="shared" si="56"/>
        <v>486718.32532799017</v>
      </c>
      <c r="AE131" s="729">
        <f t="shared" si="56"/>
        <v>848782.52830340876</v>
      </c>
      <c r="AF131" s="729">
        <f t="shared" si="56"/>
        <v>1335500.8536313986</v>
      </c>
      <c r="AG131" s="729">
        <f t="shared" si="56"/>
        <v>10603265.88540674</v>
      </c>
      <c r="AH131" s="642"/>
      <c r="AI131" s="729">
        <f t="shared" si="56"/>
        <v>28779099.218740072</v>
      </c>
      <c r="AV131" s="42">
        <f>SUM(AV112:AV130)</f>
        <v>1866352.7961942179</v>
      </c>
      <c r="AW131" s="42">
        <f>SUM(AW112:AW130)</f>
        <v>2255451.1488439254</v>
      </c>
      <c r="AX131" s="42">
        <f>SUM(AX112:AX130)</f>
        <v>389098.35264970729</v>
      </c>
      <c r="AZ131" s="42">
        <f>SUM(AZ112:AZ130)</f>
        <v>646863.56096083601</v>
      </c>
      <c r="BA131" s="42">
        <f>SUM(BA112:BA130)</f>
        <v>423912.64087361004</v>
      </c>
      <c r="BB131" s="42">
        <f>SUM(BB112:BB130)</f>
        <v>222950.92008722597</v>
      </c>
    </row>
    <row r="132" spans="1:54" x14ac:dyDescent="0.25">
      <c r="C132" s="40"/>
      <c r="F132" s="933"/>
      <c r="G132" s="933"/>
      <c r="I132" s="34"/>
      <c r="J132" s="34"/>
    </row>
    <row r="133" spans="1:54" x14ac:dyDescent="0.25">
      <c r="D133" s="815" t="s">
        <v>402</v>
      </c>
      <c r="E133" s="815" t="s">
        <v>402</v>
      </c>
      <c r="F133" s="815" t="s">
        <v>402</v>
      </c>
      <c r="G133" s="815" t="s">
        <v>402</v>
      </c>
      <c r="H133" s="815" t="s">
        <v>402</v>
      </c>
      <c r="I133" s="815" t="s">
        <v>402</v>
      </c>
      <c r="J133" s="815" t="s">
        <v>402</v>
      </c>
      <c r="K133" s="815" t="s">
        <v>402</v>
      </c>
      <c r="L133" s="815" t="s">
        <v>402</v>
      </c>
      <c r="M133" s="815" t="s">
        <v>402</v>
      </c>
      <c r="N133" s="815" t="s">
        <v>402</v>
      </c>
      <c r="O133" s="815" t="s">
        <v>402</v>
      </c>
      <c r="P133" s="815" t="s">
        <v>402</v>
      </c>
      <c r="Q133" s="815" t="s">
        <v>402</v>
      </c>
      <c r="R133" s="815" t="s">
        <v>402</v>
      </c>
      <c r="S133" s="978" t="s">
        <v>402</v>
      </c>
      <c r="T133" s="627" t="s">
        <v>402</v>
      </c>
      <c r="V133" s="627" t="s">
        <v>402</v>
      </c>
      <c r="W133" s="627" t="s">
        <v>402</v>
      </c>
      <c r="X133" s="627" t="s">
        <v>402</v>
      </c>
      <c r="Y133" s="627" t="s">
        <v>402</v>
      </c>
      <c r="Z133" s="627" t="s">
        <v>402</v>
      </c>
      <c r="AA133" s="627" t="s">
        <v>402</v>
      </c>
      <c r="AB133" s="627" t="s">
        <v>402</v>
      </c>
      <c r="AC133" s="627" t="s">
        <v>402</v>
      </c>
      <c r="AD133" s="627" t="s">
        <v>402</v>
      </c>
      <c r="AE133" s="627" t="s">
        <v>402</v>
      </c>
      <c r="AF133" s="627" t="s">
        <v>402</v>
      </c>
      <c r="AG133" s="627" t="s">
        <v>402</v>
      </c>
      <c r="AH133" s="627"/>
      <c r="AI133" s="627" t="s">
        <v>402</v>
      </c>
      <c r="AN133" s="625" t="s">
        <v>700</v>
      </c>
    </row>
  </sheetData>
  <mergeCells count="16">
    <mergeCell ref="AL110:AL111"/>
    <mergeCell ref="AN110:AN111"/>
    <mergeCell ref="AQ110:AQ111"/>
    <mergeCell ref="AT112:AT129"/>
    <mergeCell ref="D110:F110"/>
    <mergeCell ref="G110:I110"/>
    <mergeCell ref="K110:M110"/>
    <mergeCell ref="N110:P110"/>
    <mergeCell ref="AI110:AI111"/>
    <mergeCell ref="AN109:AO109"/>
    <mergeCell ref="AQ109:AR109"/>
    <mergeCell ref="O4:P4"/>
    <mergeCell ref="O26:P26"/>
    <mergeCell ref="O48:P48"/>
    <mergeCell ref="O70:P70"/>
    <mergeCell ref="AQ107:AR10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22"/>
  <sheetViews>
    <sheetView topLeftCell="A175" workbookViewId="0">
      <selection activeCell="D181" sqref="D181"/>
    </sheetView>
  </sheetViews>
  <sheetFormatPr defaultColWidth="9.1796875" defaultRowHeight="12.5" x14ac:dyDescent="0.25"/>
  <cols>
    <col min="1" max="1" width="9.1796875" style="6"/>
    <col min="2" max="2" width="33.81640625" style="6" customWidth="1"/>
    <col min="3" max="3" width="9.1796875" style="6" customWidth="1"/>
    <col min="4" max="4" width="11.7265625" style="6" customWidth="1"/>
    <col min="5" max="5" width="9.1796875" style="46"/>
    <col min="6" max="8" width="9.54296875" style="46" bestFit="1" customWidth="1"/>
    <col min="9" max="9" width="9" style="46" customWidth="1"/>
    <col min="10" max="11" width="9.54296875" style="46" bestFit="1" customWidth="1"/>
    <col min="12" max="15" width="9.1796875" style="46"/>
    <col min="16" max="16" width="9.1796875" style="6"/>
    <col min="17" max="17" width="10.81640625" style="6" customWidth="1"/>
    <col min="18" max="18" width="9.1796875" style="6"/>
    <col min="19" max="19" width="10" style="6" customWidth="1"/>
    <col min="20" max="22" width="9.1796875" style="6"/>
    <col min="23" max="23" width="10.453125" style="6" customWidth="1"/>
    <col min="24" max="16384" width="9.1796875" style="6"/>
  </cols>
  <sheetData>
    <row r="2" spans="2:17" x14ac:dyDescent="0.25">
      <c r="B2" s="90" t="s">
        <v>117</v>
      </c>
    </row>
    <row r="4" spans="2:17" ht="39" x14ac:dyDescent="0.25">
      <c r="B4" s="95" t="s">
        <v>66</v>
      </c>
      <c r="C4" s="95" t="s">
        <v>118</v>
      </c>
      <c r="D4" s="96" t="s">
        <v>51</v>
      </c>
      <c r="E4" s="97" t="s">
        <v>119</v>
      </c>
      <c r="F4" s="98" t="s">
        <v>120</v>
      </c>
      <c r="G4" s="99" t="s">
        <v>121</v>
      </c>
      <c r="H4" s="98" t="s">
        <v>122</v>
      </c>
      <c r="I4" s="99" t="s">
        <v>123</v>
      </c>
      <c r="J4" s="98" t="s">
        <v>124</v>
      </c>
      <c r="K4" s="99" t="s">
        <v>125</v>
      </c>
      <c r="L4" s="98" t="s">
        <v>126</v>
      </c>
      <c r="M4" s="99" t="s">
        <v>127</v>
      </c>
      <c r="N4" s="100" t="s">
        <v>128</v>
      </c>
      <c r="O4" s="101" t="s">
        <v>129</v>
      </c>
      <c r="Q4" s="945" t="s">
        <v>261</v>
      </c>
    </row>
    <row r="5" spans="2:17" ht="12.75" customHeight="1" x14ac:dyDescent="0.25">
      <c r="B5" s="102" t="s">
        <v>67</v>
      </c>
      <c r="C5" s="103" t="s">
        <v>130</v>
      </c>
      <c r="D5" s="104">
        <v>3</v>
      </c>
      <c r="E5" s="105">
        <f t="shared" ref="E5:E23" si="0">F5+H5+J5+L5+N5</f>
        <v>42</v>
      </c>
      <c r="F5" s="106">
        <v>13</v>
      </c>
      <c r="G5" s="107">
        <f>F5/E5</f>
        <v>0.30952380952380953</v>
      </c>
      <c r="H5" s="108">
        <v>21</v>
      </c>
      <c r="I5" s="107">
        <f t="shared" ref="I5:I23" si="1">H5/E5</f>
        <v>0.5</v>
      </c>
      <c r="J5" s="108">
        <v>0</v>
      </c>
      <c r="K5" s="107">
        <f t="shared" ref="K5:K23" si="2">J5/E5</f>
        <v>0</v>
      </c>
      <c r="L5" s="108">
        <v>2</v>
      </c>
      <c r="M5" s="107">
        <f t="shared" ref="M5:M23" si="3">L5/E5</f>
        <v>4.7619047619047616E-2</v>
      </c>
      <c r="N5" s="109">
        <v>6</v>
      </c>
      <c r="O5" s="110">
        <f t="shared" ref="O5:O23" si="4">N5/E5</f>
        <v>0.14285714285714285</v>
      </c>
      <c r="Q5" s="45">
        <f t="shared" ref="Q5:Q23" si="5">(G5*$F$54)+(I5*$H$54)+(K5*$J$54)+(M5*$L$54)+(O5*$P$54)+(O5*$P$56)</f>
        <v>9897.5167052398338</v>
      </c>
    </row>
    <row r="6" spans="2:17" ht="12.75" customHeight="1" x14ac:dyDescent="0.25">
      <c r="B6" s="102" t="s">
        <v>68</v>
      </c>
      <c r="C6" s="103" t="s">
        <v>131</v>
      </c>
      <c r="D6" s="104">
        <v>3</v>
      </c>
      <c r="E6" s="105">
        <f t="shared" si="0"/>
        <v>58</v>
      </c>
      <c r="F6" s="106">
        <v>7</v>
      </c>
      <c r="G6" s="107">
        <f t="shared" ref="G6:G23" si="6">F6/E6</f>
        <v>0.1206896551724138</v>
      </c>
      <c r="H6" s="108">
        <v>23</v>
      </c>
      <c r="I6" s="107">
        <f t="shared" si="1"/>
        <v>0.39655172413793105</v>
      </c>
      <c r="J6" s="108">
        <v>16</v>
      </c>
      <c r="K6" s="107">
        <f t="shared" si="2"/>
        <v>0.27586206896551724</v>
      </c>
      <c r="L6" s="108">
        <v>5</v>
      </c>
      <c r="M6" s="107">
        <f t="shared" si="3"/>
        <v>8.6206896551724144E-2</v>
      </c>
      <c r="N6" s="109">
        <v>7</v>
      </c>
      <c r="O6" s="110">
        <f t="shared" si="4"/>
        <v>0.1206896551724138</v>
      </c>
      <c r="Q6" s="45">
        <f t="shared" si="5"/>
        <v>8785.2859312602777</v>
      </c>
    </row>
    <row r="7" spans="2:17" ht="12.75" customHeight="1" x14ac:dyDescent="0.25">
      <c r="B7" s="102" t="s">
        <v>69</v>
      </c>
      <c r="C7" s="103" t="s">
        <v>132</v>
      </c>
      <c r="D7" s="104">
        <v>3</v>
      </c>
      <c r="E7" s="105">
        <f t="shared" si="0"/>
        <v>46</v>
      </c>
      <c r="F7" s="106">
        <v>15</v>
      </c>
      <c r="G7" s="107">
        <f t="shared" si="6"/>
        <v>0.32608695652173914</v>
      </c>
      <c r="H7" s="108">
        <v>16</v>
      </c>
      <c r="I7" s="107">
        <f t="shared" si="1"/>
        <v>0.34782608695652173</v>
      </c>
      <c r="J7" s="108">
        <v>0</v>
      </c>
      <c r="K7" s="107">
        <f t="shared" si="2"/>
        <v>0</v>
      </c>
      <c r="L7" s="108">
        <v>2</v>
      </c>
      <c r="M7" s="107">
        <f t="shared" si="3"/>
        <v>4.3478260869565216E-2</v>
      </c>
      <c r="N7" s="109">
        <v>13</v>
      </c>
      <c r="O7" s="110">
        <f t="shared" si="4"/>
        <v>0.28260869565217389</v>
      </c>
      <c r="Q7" s="45">
        <f t="shared" si="5"/>
        <v>10926.489409838705</v>
      </c>
    </row>
    <row r="8" spans="2:17" ht="12.75" customHeight="1" x14ac:dyDescent="0.25">
      <c r="B8" s="102" t="s">
        <v>70</v>
      </c>
      <c r="C8" s="103" t="s">
        <v>130</v>
      </c>
      <c r="D8" s="104">
        <v>3</v>
      </c>
      <c r="E8" s="105">
        <f t="shared" si="0"/>
        <v>40</v>
      </c>
      <c r="F8" s="106">
        <v>14</v>
      </c>
      <c r="G8" s="107">
        <f t="shared" si="6"/>
        <v>0.35</v>
      </c>
      <c r="H8" s="108">
        <v>15</v>
      </c>
      <c r="I8" s="107">
        <f t="shared" si="1"/>
        <v>0.375</v>
      </c>
      <c r="J8" s="108">
        <v>1</v>
      </c>
      <c r="K8" s="107">
        <f t="shared" si="2"/>
        <v>2.5000000000000001E-2</v>
      </c>
      <c r="L8" s="108">
        <v>1</v>
      </c>
      <c r="M8" s="107">
        <f t="shared" si="3"/>
        <v>2.5000000000000001E-2</v>
      </c>
      <c r="N8" s="109">
        <v>9</v>
      </c>
      <c r="O8" s="110">
        <f t="shared" si="4"/>
        <v>0.22500000000000001</v>
      </c>
      <c r="Q8" s="45">
        <f t="shared" si="5"/>
        <v>10520.494500332868</v>
      </c>
    </row>
    <row r="9" spans="2:17" ht="12.75" customHeight="1" x14ac:dyDescent="0.25">
      <c r="B9" s="102" t="s">
        <v>71</v>
      </c>
      <c r="C9" s="103" t="s">
        <v>132</v>
      </c>
      <c r="D9" s="104">
        <v>3</v>
      </c>
      <c r="E9" s="105">
        <f t="shared" si="0"/>
        <v>46</v>
      </c>
      <c r="F9" s="108">
        <v>7</v>
      </c>
      <c r="G9" s="107">
        <f t="shared" si="6"/>
        <v>0.15217391304347827</v>
      </c>
      <c r="H9" s="108">
        <v>30</v>
      </c>
      <c r="I9" s="107">
        <f t="shared" si="1"/>
        <v>0.65217391304347827</v>
      </c>
      <c r="J9" s="108">
        <v>1</v>
      </c>
      <c r="K9" s="107">
        <f t="shared" si="2"/>
        <v>2.1739130434782608E-2</v>
      </c>
      <c r="L9" s="108">
        <v>7</v>
      </c>
      <c r="M9" s="107">
        <f t="shared" si="3"/>
        <v>0.15217391304347827</v>
      </c>
      <c r="N9" s="109">
        <v>1</v>
      </c>
      <c r="O9" s="110">
        <f t="shared" si="4"/>
        <v>2.1739130434782608E-2</v>
      </c>
      <c r="Q9" s="45">
        <f t="shared" si="5"/>
        <v>8799.2030513196951</v>
      </c>
    </row>
    <row r="10" spans="2:17" ht="12.75" customHeight="1" x14ac:dyDescent="0.25">
      <c r="B10" s="102" t="s">
        <v>98</v>
      </c>
      <c r="C10" s="103" t="s">
        <v>133</v>
      </c>
      <c r="D10" s="104">
        <v>3</v>
      </c>
      <c r="E10" s="105">
        <f t="shared" si="0"/>
        <v>53</v>
      </c>
      <c r="F10" s="108">
        <v>0</v>
      </c>
      <c r="G10" s="107">
        <f t="shared" si="6"/>
        <v>0</v>
      </c>
      <c r="H10" s="108">
        <v>0</v>
      </c>
      <c r="I10" s="107">
        <f t="shared" si="1"/>
        <v>0</v>
      </c>
      <c r="J10" s="108">
        <v>0</v>
      </c>
      <c r="K10" s="107">
        <f t="shared" si="2"/>
        <v>0</v>
      </c>
      <c r="L10" s="108">
        <v>0</v>
      </c>
      <c r="M10" s="107">
        <f t="shared" si="3"/>
        <v>0</v>
      </c>
      <c r="N10" s="109">
        <v>53</v>
      </c>
      <c r="O10" s="110">
        <f t="shared" si="4"/>
        <v>1</v>
      </c>
      <c r="Q10" s="45">
        <f t="shared" si="5"/>
        <v>14327.068527263833</v>
      </c>
    </row>
    <row r="11" spans="2:17" ht="12.75" customHeight="1" x14ac:dyDescent="0.25">
      <c r="B11" s="102" t="s">
        <v>72</v>
      </c>
      <c r="C11" s="103" t="s">
        <v>131</v>
      </c>
      <c r="D11" s="104">
        <v>3</v>
      </c>
      <c r="E11" s="105">
        <f t="shared" si="0"/>
        <v>46</v>
      </c>
      <c r="F11" s="108">
        <v>4</v>
      </c>
      <c r="G11" s="107">
        <f t="shared" si="6"/>
        <v>8.6956521739130432E-2</v>
      </c>
      <c r="H11" s="108">
        <v>10</v>
      </c>
      <c r="I11" s="107">
        <f t="shared" si="1"/>
        <v>0.21739130434782608</v>
      </c>
      <c r="J11" s="108">
        <v>23</v>
      </c>
      <c r="K11" s="107">
        <f t="shared" si="2"/>
        <v>0.5</v>
      </c>
      <c r="L11" s="111">
        <v>2</v>
      </c>
      <c r="M11" s="107">
        <f t="shared" si="3"/>
        <v>4.3478260869565216E-2</v>
      </c>
      <c r="N11" s="109">
        <v>7</v>
      </c>
      <c r="O11" s="110">
        <f t="shared" si="4"/>
        <v>0.15217391304347827</v>
      </c>
      <c r="Q11" s="45">
        <f t="shared" si="5"/>
        <v>8424.9714418469157</v>
      </c>
    </row>
    <row r="12" spans="2:17" ht="12.75" customHeight="1" x14ac:dyDescent="0.25">
      <c r="B12" s="102" t="s">
        <v>73</v>
      </c>
      <c r="C12" s="103" t="s">
        <v>132</v>
      </c>
      <c r="D12" s="104">
        <v>3</v>
      </c>
      <c r="E12" s="105">
        <f t="shared" si="0"/>
        <v>76</v>
      </c>
      <c r="F12" s="108">
        <v>0</v>
      </c>
      <c r="G12" s="107">
        <f t="shared" si="6"/>
        <v>0</v>
      </c>
      <c r="H12" s="108">
        <v>8</v>
      </c>
      <c r="I12" s="107">
        <f t="shared" si="1"/>
        <v>0.10526315789473684</v>
      </c>
      <c r="J12" s="108">
        <v>42</v>
      </c>
      <c r="K12" s="107">
        <f t="shared" si="2"/>
        <v>0.55263157894736847</v>
      </c>
      <c r="L12" s="108">
        <v>1</v>
      </c>
      <c r="M12" s="107">
        <f t="shared" si="3"/>
        <v>1.3157894736842105E-2</v>
      </c>
      <c r="N12" s="112">
        <v>25</v>
      </c>
      <c r="O12" s="110">
        <f t="shared" si="4"/>
        <v>0.32894736842105265</v>
      </c>
      <c r="Q12" s="45">
        <f t="shared" si="5"/>
        <v>9090.8723433725772</v>
      </c>
    </row>
    <row r="13" spans="2:17" ht="12.75" customHeight="1" x14ac:dyDescent="0.25">
      <c r="B13" s="102" t="s">
        <v>74</v>
      </c>
      <c r="C13" s="103" t="s">
        <v>131</v>
      </c>
      <c r="D13" s="104">
        <v>4</v>
      </c>
      <c r="E13" s="105">
        <f t="shared" si="0"/>
        <v>112</v>
      </c>
      <c r="F13" s="108">
        <v>6</v>
      </c>
      <c r="G13" s="107">
        <f t="shared" si="6"/>
        <v>5.3571428571428568E-2</v>
      </c>
      <c r="H13" s="108">
        <v>8</v>
      </c>
      <c r="I13" s="107">
        <f t="shared" si="1"/>
        <v>7.1428571428571425E-2</v>
      </c>
      <c r="J13" s="108">
        <v>75</v>
      </c>
      <c r="K13" s="107">
        <f t="shared" si="2"/>
        <v>0.6696428571428571</v>
      </c>
      <c r="L13" s="108">
        <v>3</v>
      </c>
      <c r="M13" s="107">
        <f t="shared" si="3"/>
        <v>2.6785714285714284E-2</v>
      </c>
      <c r="N13" s="109">
        <v>20</v>
      </c>
      <c r="O13" s="110">
        <f t="shared" si="4"/>
        <v>0.17857142857142858</v>
      </c>
      <c r="Q13" s="45">
        <f t="shared" si="5"/>
        <v>8204.0181145547631</v>
      </c>
    </row>
    <row r="14" spans="2:17" ht="12.75" customHeight="1" x14ac:dyDescent="0.25">
      <c r="B14" s="102" t="s">
        <v>75</v>
      </c>
      <c r="C14" s="103" t="s">
        <v>131</v>
      </c>
      <c r="D14" s="104">
        <v>4</v>
      </c>
      <c r="E14" s="105">
        <f t="shared" si="0"/>
        <v>123</v>
      </c>
      <c r="F14" s="108">
        <v>2</v>
      </c>
      <c r="G14" s="107">
        <f t="shared" si="6"/>
        <v>1.6260162601626018E-2</v>
      </c>
      <c r="H14" s="108">
        <v>31</v>
      </c>
      <c r="I14" s="107">
        <f t="shared" si="1"/>
        <v>0.25203252032520324</v>
      </c>
      <c r="J14" s="108">
        <v>79</v>
      </c>
      <c r="K14" s="107">
        <f t="shared" si="2"/>
        <v>0.64227642276422769</v>
      </c>
      <c r="L14" s="108">
        <v>0</v>
      </c>
      <c r="M14" s="107">
        <f t="shared" si="3"/>
        <v>0</v>
      </c>
      <c r="N14" s="109">
        <v>11</v>
      </c>
      <c r="O14" s="110">
        <f t="shared" si="4"/>
        <v>8.943089430894309E-2</v>
      </c>
      <c r="Q14" s="45">
        <f t="shared" si="5"/>
        <v>7334.0685395812361</v>
      </c>
    </row>
    <row r="15" spans="2:17" ht="12.75" customHeight="1" x14ac:dyDescent="0.25">
      <c r="B15" s="102" t="s">
        <v>76</v>
      </c>
      <c r="C15" s="103" t="s">
        <v>130</v>
      </c>
      <c r="D15" s="104">
        <v>4</v>
      </c>
      <c r="E15" s="105">
        <f t="shared" si="0"/>
        <v>125</v>
      </c>
      <c r="F15" s="108">
        <v>0</v>
      </c>
      <c r="G15" s="107">
        <f t="shared" si="6"/>
        <v>0</v>
      </c>
      <c r="H15" s="108">
        <v>24</v>
      </c>
      <c r="I15" s="107">
        <f t="shared" si="1"/>
        <v>0.192</v>
      </c>
      <c r="J15" s="108">
        <v>83</v>
      </c>
      <c r="K15" s="107">
        <f t="shared" si="2"/>
        <v>0.66400000000000003</v>
      </c>
      <c r="L15" s="108">
        <v>0</v>
      </c>
      <c r="M15" s="107">
        <f t="shared" si="3"/>
        <v>0</v>
      </c>
      <c r="N15" s="109">
        <v>18</v>
      </c>
      <c r="O15" s="110">
        <f t="shared" si="4"/>
        <v>0.14399999999999999</v>
      </c>
      <c r="Q15" s="45">
        <f t="shared" si="5"/>
        <v>7620.1581850108669</v>
      </c>
    </row>
    <row r="16" spans="2:17" ht="12.75" customHeight="1" x14ac:dyDescent="0.25">
      <c r="B16" s="102" t="s">
        <v>99</v>
      </c>
      <c r="C16" s="103" t="s">
        <v>133</v>
      </c>
      <c r="D16" s="104">
        <v>4</v>
      </c>
      <c r="E16" s="105">
        <f t="shared" si="0"/>
        <v>58</v>
      </c>
      <c r="F16" s="108">
        <v>0</v>
      </c>
      <c r="G16" s="107">
        <f t="shared" si="6"/>
        <v>0</v>
      </c>
      <c r="H16" s="108">
        <v>0</v>
      </c>
      <c r="I16" s="107">
        <f t="shared" si="1"/>
        <v>0</v>
      </c>
      <c r="J16" s="108">
        <v>0</v>
      </c>
      <c r="K16" s="107">
        <f t="shared" si="2"/>
        <v>0</v>
      </c>
      <c r="L16" s="108">
        <v>0</v>
      </c>
      <c r="M16" s="107">
        <f t="shared" si="3"/>
        <v>0</v>
      </c>
      <c r="N16" s="109">
        <v>58</v>
      </c>
      <c r="O16" s="110">
        <f t="shared" si="4"/>
        <v>1</v>
      </c>
      <c r="Q16" s="45">
        <f t="shared" si="5"/>
        <v>14327.068527263833</v>
      </c>
    </row>
    <row r="17" spans="1:23" ht="12.75" customHeight="1" x14ac:dyDescent="0.25">
      <c r="B17" s="102" t="s">
        <v>100</v>
      </c>
      <c r="C17" s="103" t="s">
        <v>133</v>
      </c>
      <c r="D17" s="104">
        <v>4</v>
      </c>
      <c r="E17" s="105">
        <f t="shared" si="0"/>
        <v>67</v>
      </c>
      <c r="F17" s="108">
        <v>0</v>
      </c>
      <c r="G17" s="107">
        <f t="shared" si="6"/>
        <v>0</v>
      </c>
      <c r="H17" s="108">
        <v>0</v>
      </c>
      <c r="I17" s="107">
        <f t="shared" si="1"/>
        <v>0</v>
      </c>
      <c r="J17" s="108">
        <v>0</v>
      </c>
      <c r="K17" s="107">
        <f t="shared" si="2"/>
        <v>0</v>
      </c>
      <c r="L17" s="108">
        <v>0</v>
      </c>
      <c r="M17" s="107">
        <f t="shared" si="3"/>
        <v>0</v>
      </c>
      <c r="N17" s="109">
        <v>67</v>
      </c>
      <c r="O17" s="110">
        <f t="shared" si="4"/>
        <v>1</v>
      </c>
      <c r="Q17" s="45">
        <f t="shared" si="5"/>
        <v>14327.068527263833</v>
      </c>
    </row>
    <row r="18" spans="1:23" ht="12.75" customHeight="1" x14ac:dyDescent="0.25">
      <c r="B18" s="102" t="s">
        <v>92</v>
      </c>
      <c r="C18" s="103" t="s">
        <v>133</v>
      </c>
      <c r="D18" s="104">
        <v>4</v>
      </c>
      <c r="E18" s="105">
        <f t="shared" si="0"/>
        <v>61</v>
      </c>
      <c r="F18" s="106">
        <v>0</v>
      </c>
      <c r="G18" s="107">
        <f t="shared" si="6"/>
        <v>0</v>
      </c>
      <c r="H18" s="108">
        <v>0</v>
      </c>
      <c r="I18" s="107">
        <f t="shared" si="1"/>
        <v>0</v>
      </c>
      <c r="J18" s="113">
        <v>0</v>
      </c>
      <c r="K18" s="107">
        <f t="shared" si="2"/>
        <v>0</v>
      </c>
      <c r="L18" s="113">
        <v>0</v>
      </c>
      <c r="M18" s="107">
        <f t="shared" si="3"/>
        <v>0</v>
      </c>
      <c r="N18" s="109">
        <v>61</v>
      </c>
      <c r="O18" s="110">
        <f t="shared" si="4"/>
        <v>1</v>
      </c>
      <c r="Q18" s="45">
        <f t="shared" si="5"/>
        <v>14327.068527263833</v>
      </c>
    </row>
    <row r="19" spans="1:23" ht="12.75" customHeight="1" x14ac:dyDescent="0.25">
      <c r="B19" s="102" t="s">
        <v>77</v>
      </c>
      <c r="C19" s="103" t="s">
        <v>130</v>
      </c>
      <c r="D19" s="104">
        <v>4</v>
      </c>
      <c r="E19" s="105">
        <f t="shared" si="0"/>
        <v>70</v>
      </c>
      <c r="F19" s="108">
        <v>18</v>
      </c>
      <c r="G19" s="107">
        <f t="shared" si="6"/>
        <v>0.25714285714285712</v>
      </c>
      <c r="H19" s="106">
        <v>22</v>
      </c>
      <c r="I19" s="107">
        <f t="shared" si="1"/>
        <v>0.31428571428571428</v>
      </c>
      <c r="J19" s="106">
        <v>4</v>
      </c>
      <c r="K19" s="107">
        <f t="shared" si="2"/>
        <v>5.7142857142857141E-2</v>
      </c>
      <c r="L19" s="106">
        <v>11</v>
      </c>
      <c r="M19" s="107">
        <f t="shared" si="3"/>
        <v>0.15714285714285714</v>
      </c>
      <c r="N19" s="109">
        <v>15</v>
      </c>
      <c r="O19" s="110">
        <f t="shared" si="4"/>
        <v>0.21428571428571427</v>
      </c>
      <c r="Q19" s="45">
        <f t="shared" si="5"/>
        <v>10580.75210310383</v>
      </c>
    </row>
    <row r="20" spans="1:23" ht="12.75" customHeight="1" x14ac:dyDescent="0.25">
      <c r="B20" s="102" t="s">
        <v>78</v>
      </c>
      <c r="C20" s="103" t="s">
        <v>132</v>
      </c>
      <c r="D20" s="104">
        <v>5</v>
      </c>
      <c r="E20" s="105">
        <f t="shared" si="0"/>
        <v>137</v>
      </c>
      <c r="F20" s="108">
        <v>2</v>
      </c>
      <c r="G20" s="107">
        <f t="shared" si="6"/>
        <v>1.4598540145985401E-2</v>
      </c>
      <c r="H20" s="108">
        <v>15</v>
      </c>
      <c r="I20" s="107">
        <f t="shared" si="1"/>
        <v>0.10948905109489052</v>
      </c>
      <c r="J20" s="108">
        <v>102</v>
      </c>
      <c r="K20" s="107">
        <f t="shared" si="2"/>
        <v>0.74452554744525545</v>
      </c>
      <c r="L20" s="108">
        <v>3</v>
      </c>
      <c r="M20" s="107">
        <f t="shared" si="3"/>
        <v>2.1897810218978103E-2</v>
      </c>
      <c r="N20" s="109">
        <v>15</v>
      </c>
      <c r="O20" s="110">
        <f t="shared" si="4"/>
        <v>0.10948905109489052</v>
      </c>
      <c r="Q20" s="45">
        <f t="shared" si="5"/>
        <v>7448.7456830496158</v>
      </c>
    </row>
    <row r="21" spans="1:23" ht="12.75" customHeight="1" x14ac:dyDescent="0.25">
      <c r="B21" s="102" t="s">
        <v>55</v>
      </c>
      <c r="C21" s="103" t="s">
        <v>132</v>
      </c>
      <c r="D21" s="104">
        <v>5</v>
      </c>
      <c r="E21" s="105">
        <f t="shared" si="0"/>
        <v>181</v>
      </c>
      <c r="F21" s="108">
        <v>9</v>
      </c>
      <c r="G21" s="107">
        <f t="shared" si="6"/>
        <v>4.9723756906077346E-2</v>
      </c>
      <c r="H21" s="108">
        <v>25</v>
      </c>
      <c r="I21" s="107">
        <f t="shared" si="1"/>
        <v>0.13812154696132597</v>
      </c>
      <c r="J21" s="108">
        <v>130</v>
      </c>
      <c r="K21" s="107">
        <f t="shared" si="2"/>
        <v>0.71823204419889508</v>
      </c>
      <c r="L21" s="108">
        <v>2</v>
      </c>
      <c r="M21" s="107">
        <f t="shared" si="3"/>
        <v>1.1049723756906077E-2</v>
      </c>
      <c r="N21" s="109">
        <v>15</v>
      </c>
      <c r="O21" s="110">
        <f t="shared" si="4"/>
        <v>8.2872928176795577E-2</v>
      </c>
      <c r="Q21" s="45">
        <f t="shared" si="5"/>
        <v>7397.5468932395452</v>
      </c>
    </row>
    <row r="22" spans="1:23" ht="12.75" customHeight="1" x14ac:dyDescent="0.25">
      <c r="B22" s="102" t="s">
        <v>79</v>
      </c>
      <c r="C22" s="103" t="s">
        <v>134</v>
      </c>
      <c r="D22" s="104">
        <v>5</v>
      </c>
      <c r="E22" s="105">
        <f t="shared" si="0"/>
        <v>81</v>
      </c>
      <c r="F22" s="108">
        <v>25</v>
      </c>
      <c r="G22" s="107">
        <f t="shared" si="6"/>
        <v>0.30864197530864196</v>
      </c>
      <c r="H22" s="108">
        <v>46</v>
      </c>
      <c r="I22" s="107">
        <f t="shared" si="1"/>
        <v>0.5679012345679012</v>
      </c>
      <c r="J22" s="108">
        <v>0</v>
      </c>
      <c r="K22" s="107">
        <f t="shared" si="2"/>
        <v>0</v>
      </c>
      <c r="L22" s="108">
        <v>0</v>
      </c>
      <c r="M22" s="107">
        <f t="shared" si="3"/>
        <v>0</v>
      </c>
      <c r="N22" s="109">
        <v>10</v>
      </c>
      <c r="O22" s="110">
        <f t="shared" si="4"/>
        <v>0.12345679012345678</v>
      </c>
      <c r="Q22" s="45">
        <f t="shared" si="5"/>
        <v>9551.5769232439579</v>
      </c>
    </row>
    <row r="23" spans="1:23" ht="12.75" customHeight="1" x14ac:dyDescent="0.25">
      <c r="B23" s="102" t="s">
        <v>80</v>
      </c>
      <c r="C23" s="103" t="s">
        <v>131</v>
      </c>
      <c r="D23" s="104">
        <v>6</v>
      </c>
      <c r="E23" s="105">
        <f t="shared" si="0"/>
        <v>104</v>
      </c>
      <c r="F23" s="108">
        <v>44</v>
      </c>
      <c r="G23" s="107">
        <f t="shared" si="6"/>
        <v>0.42307692307692307</v>
      </c>
      <c r="H23" s="108">
        <v>0</v>
      </c>
      <c r="I23" s="107">
        <f t="shared" si="1"/>
        <v>0</v>
      </c>
      <c r="J23" s="108">
        <v>13</v>
      </c>
      <c r="K23" s="107">
        <f t="shared" si="2"/>
        <v>0.125</v>
      </c>
      <c r="L23" s="108">
        <v>38</v>
      </c>
      <c r="M23" s="107">
        <f t="shared" si="3"/>
        <v>0.36538461538461536</v>
      </c>
      <c r="N23" s="109">
        <v>9</v>
      </c>
      <c r="O23" s="110">
        <f t="shared" si="4"/>
        <v>8.6538461538461536E-2</v>
      </c>
      <c r="Q23" s="45">
        <f t="shared" si="5"/>
        <v>11239.016610354596</v>
      </c>
    </row>
    <row r="24" spans="1:23" ht="12.75" customHeight="1" x14ac:dyDescent="0.3">
      <c r="B24" s="114" t="s">
        <v>62</v>
      </c>
      <c r="C24" s="114"/>
      <c r="D24" s="114"/>
      <c r="E24" s="115">
        <f>SUM(E5:E23)</f>
        <v>1526</v>
      </c>
      <c r="F24" s="116">
        <f>SUM(F5:F23)</f>
        <v>166</v>
      </c>
      <c r="G24" s="228">
        <f>AVERAGE(G5:G23)</f>
        <v>0.1299182368291637</v>
      </c>
      <c r="H24" s="116">
        <f>SUM(H5:H23)</f>
        <v>294</v>
      </c>
      <c r="I24" s="228">
        <f>AVERAGE(I5:I23)</f>
        <v>0.22312972763390007</v>
      </c>
      <c r="J24" s="116">
        <f>SUM(J5:J23)</f>
        <v>569</v>
      </c>
      <c r="K24" s="228">
        <f>AVERAGE(K5:K23)</f>
        <v>0.26295013194956635</v>
      </c>
      <c r="L24" s="116">
        <f>SUM(L5:L23)</f>
        <v>77</v>
      </c>
      <c r="M24" s="228">
        <f>AVERAGE(M5:M23)</f>
        <v>5.2282894446278594E-2</v>
      </c>
      <c r="N24" s="119">
        <f>SUM(N5:N23)</f>
        <v>420</v>
      </c>
      <c r="O24" s="228">
        <f>AVERAGE(O5:O23)</f>
        <v>0.33171900914109131</v>
      </c>
      <c r="Q24" s="46"/>
    </row>
    <row r="25" spans="1:23" ht="12.75" customHeight="1" x14ac:dyDescent="0.25">
      <c r="B25" s="114" t="s">
        <v>101</v>
      </c>
      <c r="C25" s="114"/>
      <c r="D25" s="114"/>
      <c r="E25" s="121"/>
      <c r="F25" s="122">
        <f>F24/E24</f>
        <v>0.10878112712975098</v>
      </c>
      <c r="G25" s="107"/>
      <c r="H25" s="122">
        <f>H24/E24</f>
        <v>0.19266055045871561</v>
      </c>
      <c r="I25" s="107"/>
      <c r="J25" s="122">
        <f>J24/E24</f>
        <v>0.37287024901703802</v>
      </c>
      <c r="K25" s="107"/>
      <c r="L25" s="122">
        <f>L24/E24</f>
        <v>5.0458715596330278E-2</v>
      </c>
      <c r="M25" s="107"/>
      <c r="N25" s="123">
        <f>N24/E24</f>
        <v>0.27522935779816515</v>
      </c>
      <c r="O25" s="120"/>
      <c r="Q25" s="46"/>
    </row>
    <row r="26" spans="1:23" ht="12.75" customHeight="1" x14ac:dyDescent="0.25">
      <c r="Q26" s="46"/>
    </row>
    <row r="27" spans="1:23" ht="12.75" customHeight="1" x14ac:dyDescent="0.25">
      <c r="B27" s="1" t="s">
        <v>254</v>
      </c>
      <c r="Q27" s="46"/>
    </row>
    <row r="28" spans="1:23" x14ac:dyDescent="0.25">
      <c r="Q28" s="46"/>
    </row>
    <row r="29" spans="1:23" ht="39" x14ac:dyDescent="0.25">
      <c r="B29" s="95" t="s">
        <v>66</v>
      </c>
      <c r="C29" s="95" t="s">
        <v>118</v>
      </c>
      <c r="D29" s="96" t="s">
        <v>51</v>
      </c>
      <c r="E29" s="97" t="s">
        <v>255</v>
      </c>
      <c r="F29" s="98" t="s">
        <v>265</v>
      </c>
      <c r="G29" s="99" t="s">
        <v>266</v>
      </c>
      <c r="H29" s="98" t="s">
        <v>267</v>
      </c>
      <c r="I29" s="99" t="s">
        <v>257</v>
      </c>
      <c r="J29" s="98" t="s">
        <v>268</v>
      </c>
      <c r="K29" s="99" t="s">
        <v>269</v>
      </c>
      <c r="L29" s="98" t="s">
        <v>270</v>
      </c>
      <c r="M29" s="99" t="s">
        <v>271</v>
      </c>
      <c r="N29" s="747" t="s">
        <v>631</v>
      </c>
      <c r="O29" s="99" t="s">
        <v>682</v>
      </c>
      <c r="P29" s="100" t="s">
        <v>272</v>
      </c>
      <c r="Q29" s="101" t="s">
        <v>273</v>
      </c>
      <c r="S29" s="945" t="s">
        <v>261</v>
      </c>
      <c r="U29" s="224" t="s">
        <v>104</v>
      </c>
      <c r="V29" s="226" t="s">
        <v>262</v>
      </c>
      <c r="W29" s="225" t="s">
        <v>263</v>
      </c>
    </row>
    <row r="30" spans="1:23" x14ac:dyDescent="0.25">
      <c r="A30" s="185">
        <v>9257010</v>
      </c>
      <c r="B30" s="102" t="s">
        <v>67</v>
      </c>
      <c r="C30" s="103" t="s">
        <v>130</v>
      </c>
      <c r="D30" s="221">
        <v>3</v>
      </c>
      <c r="E30" s="105">
        <f>F30+H30+J30+L30+P30+N30</f>
        <v>42</v>
      </c>
      <c r="F30" s="106">
        <v>14</v>
      </c>
      <c r="G30" s="107">
        <f>F30/E30</f>
        <v>0.33333333333333331</v>
      </c>
      <c r="H30" s="108">
        <v>12</v>
      </c>
      <c r="I30" s="107">
        <f t="shared" ref="I30:I47" si="7">H30/E30</f>
        <v>0.2857142857142857</v>
      </c>
      <c r="J30" s="108">
        <v>5</v>
      </c>
      <c r="K30" s="107">
        <f t="shared" ref="K30:K47" si="8">J30/E30</f>
        <v>0.11904761904761904</v>
      </c>
      <c r="L30" s="108">
        <v>0</v>
      </c>
      <c r="M30" s="107">
        <f t="shared" ref="M30:M47" si="9">L30/E30</f>
        <v>0</v>
      </c>
      <c r="N30" s="748">
        <v>8</v>
      </c>
      <c r="O30" s="107">
        <f>N30/E30</f>
        <v>0.19047619047619047</v>
      </c>
      <c r="P30" s="109">
        <v>3</v>
      </c>
      <c r="Q30" s="110">
        <f t="shared" ref="Q30:Q47" si="10">P30/E30</f>
        <v>7.1428571428571425E-2</v>
      </c>
      <c r="S30" s="45">
        <f>(G30*$F$54)+(I30*$H$54)+(K30*$J$54)+(M30*$L$54)+(O30*$N$54)+(Q30*$P$54)+(Q30*$P$56)</f>
        <v>11981.75762720177</v>
      </c>
      <c r="U30" s="45">
        <f>S30-Q5</f>
        <v>2084.2409219619367</v>
      </c>
      <c r="V30" s="78">
        <f>'Band Calculations'!Z5</f>
        <v>43</v>
      </c>
      <c r="W30" s="45">
        <f>U30*V30</f>
        <v>89622.359644363285</v>
      </c>
    </row>
    <row r="31" spans="1:23" x14ac:dyDescent="0.25">
      <c r="A31" s="185">
        <v>9257005</v>
      </c>
      <c r="B31" s="102" t="s">
        <v>68</v>
      </c>
      <c r="C31" s="103" t="s">
        <v>131</v>
      </c>
      <c r="D31" s="221">
        <v>3</v>
      </c>
      <c r="E31" s="105">
        <f t="shared" ref="E31:E47" si="11">F31+H31+J31+L31+P31+N31</f>
        <v>76</v>
      </c>
      <c r="F31" s="106">
        <v>10</v>
      </c>
      <c r="G31" s="107">
        <f t="shared" ref="G31:G47" si="12">F31/E31</f>
        <v>0.13157894736842105</v>
      </c>
      <c r="H31" s="108">
        <v>27</v>
      </c>
      <c r="I31" s="107">
        <f t="shared" si="7"/>
        <v>0.35526315789473684</v>
      </c>
      <c r="J31" s="108">
        <v>13</v>
      </c>
      <c r="K31" s="107">
        <f t="shared" si="8"/>
        <v>0.17105263157894737</v>
      </c>
      <c r="L31" s="108">
        <v>4</v>
      </c>
      <c r="M31" s="107">
        <f t="shared" si="9"/>
        <v>5.2631578947368418E-2</v>
      </c>
      <c r="N31" s="748">
        <v>7</v>
      </c>
      <c r="O31" s="107">
        <f t="shared" ref="O31:O47" si="13">N31/E31</f>
        <v>9.2105263157894732E-2</v>
      </c>
      <c r="P31" s="109">
        <v>15</v>
      </c>
      <c r="Q31" s="110">
        <f t="shared" si="10"/>
        <v>0.19736842105263158</v>
      </c>
      <c r="S31" s="45">
        <f t="shared" ref="S31:S47" si="14">(G31*$F$54)+(I31*$H$54)+(K31*$J$54)+(M31*$L$54)+(O31*$N$54)+(Q31*$P$54)+(Q31*$P$56)</f>
        <v>10700.231155478385</v>
      </c>
      <c r="U31" s="45">
        <f t="shared" ref="U31:U46" si="15">S31-Q6</f>
        <v>1914.9452242181069</v>
      </c>
      <c r="V31" s="78">
        <f>'Band Calculations'!Z6</f>
        <v>63</v>
      </c>
      <c r="W31" s="45">
        <f t="shared" ref="W31:W47" si="16">U31*V31</f>
        <v>120641.54912574074</v>
      </c>
    </row>
    <row r="32" spans="1:23" x14ac:dyDescent="0.25">
      <c r="A32" s="185">
        <v>9257025</v>
      </c>
      <c r="B32" s="102" t="s">
        <v>69</v>
      </c>
      <c r="C32" s="103" t="s">
        <v>132</v>
      </c>
      <c r="D32" s="221">
        <v>3</v>
      </c>
      <c r="E32" s="105">
        <f t="shared" si="11"/>
        <v>53</v>
      </c>
      <c r="F32" s="106">
        <v>11</v>
      </c>
      <c r="G32" s="107">
        <f t="shared" si="12"/>
        <v>0.20754716981132076</v>
      </c>
      <c r="H32" s="108">
        <v>22</v>
      </c>
      <c r="I32" s="107">
        <f t="shared" si="7"/>
        <v>0.41509433962264153</v>
      </c>
      <c r="J32" s="108">
        <v>3</v>
      </c>
      <c r="K32" s="107">
        <f t="shared" si="8"/>
        <v>5.6603773584905662E-2</v>
      </c>
      <c r="L32" s="108">
        <v>0</v>
      </c>
      <c r="M32" s="107">
        <f t="shared" si="9"/>
        <v>0</v>
      </c>
      <c r="N32" s="748">
        <v>6</v>
      </c>
      <c r="O32" s="107">
        <f t="shared" si="13"/>
        <v>0.11320754716981132</v>
      </c>
      <c r="P32" s="109">
        <v>11</v>
      </c>
      <c r="Q32" s="110">
        <f t="shared" si="10"/>
        <v>0.20754716981132076</v>
      </c>
      <c r="S32" s="45">
        <f t="shared" si="14"/>
        <v>11311.363719426055</v>
      </c>
      <c r="U32" s="45">
        <f t="shared" si="15"/>
        <v>384.87430958735058</v>
      </c>
      <c r="V32" s="291">
        <f>'Band Calculations'!Z7</f>
        <v>63</v>
      </c>
      <c r="W32" s="45">
        <f t="shared" si="16"/>
        <v>24247.081504003087</v>
      </c>
    </row>
    <row r="33" spans="1:23" x14ac:dyDescent="0.25">
      <c r="A33" s="185">
        <v>9257011</v>
      </c>
      <c r="B33" s="102" t="s">
        <v>70</v>
      </c>
      <c r="C33" s="103" t="s">
        <v>130</v>
      </c>
      <c r="D33" s="221">
        <v>3</v>
      </c>
      <c r="E33" s="105">
        <f t="shared" si="11"/>
        <v>45</v>
      </c>
      <c r="F33" s="106">
        <v>13</v>
      </c>
      <c r="G33" s="107">
        <f t="shared" si="12"/>
        <v>0.28888888888888886</v>
      </c>
      <c r="H33" s="108">
        <v>19</v>
      </c>
      <c r="I33" s="107">
        <f t="shared" si="7"/>
        <v>0.42222222222222222</v>
      </c>
      <c r="J33" s="108">
        <v>0</v>
      </c>
      <c r="K33" s="107">
        <f t="shared" si="8"/>
        <v>0</v>
      </c>
      <c r="L33" s="108">
        <v>0</v>
      </c>
      <c r="M33" s="107">
        <f t="shared" si="9"/>
        <v>0</v>
      </c>
      <c r="N33" s="748">
        <v>6</v>
      </c>
      <c r="O33" s="107">
        <f t="shared" si="13"/>
        <v>0.13333333333333333</v>
      </c>
      <c r="P33" s="109">
        <v>7</v>
      </c>
      <c r="Q33" s="110">
        <f t="shared" si="10"/>
        <v>0.15555555555555556</v>
      </c>
      <c r="S33" s="45">
        <f t="shared" si="14"/>
        <v>11662.143221718445</v>
      </c>
      <c r="U33" s="45">
        <f t="shared" si="15"/>
        <v>1141.6487213855762</v>
      </c>
      <c r="V33" s="78">
        <f>'Band Calculations'!Z8</f>
        <v>41</v>
      </c>
      <c r="W33" s="45">
        <f t="shared" si="16"/>
        <v>46807.597576808621</v>
      </c>
    </row>
    <row r="34" spans="1:23" x14ac:dyDescent="0.25">
      <c r="A34" s="185">
        <v>9257024</v>
      </c>
      <c r="B34" s="102" t="s">
        <v>71</v>
      </c>
      <c r="C34" s="103" t="s">
        <v>132</v>
      </c>
      <c r="D34" s="221">
        <v>3</v>
      </c>
      <c r="E34" s="105">
        <f t="shared" si="11"/>
        <v>55</v>
      </c>
      <c r="F34" s="108">
        <v>11</v>
      </c>
      <c r="G34" s="107">
        <f t="shared" si="12"/>
        <v>0.2</v>
      </c>
      <c r="H34" s="108">
        <v>31</v>
      </c>
      <c r="I34" s="107">
        <f t="shared" si="7"/>
        <v>0.5636363636363636</v>
      </c>
      <c r="J34" s="108">
        <v>1</v>
      </c>
      <c r="K34" s="107">
        <f t="shared" si="8"/>
        <v>1.8181818181818181E-2</v>
      </c>
      <c r="L34" s="108">
        <v>0</v>
      </c>
      <c r="M34" s="107">
        <f t="shared" si="9"/>
        <v>0</v>
      </c>
      <c r="N34" s="748">
        <v>9</v>
      </c>
      <c r="O34" s="107">
        <f t="shared" si="13"/>
        <v>0.16363636363636364</v>
      </c>
      <c r="P34" s="109">
        <v>3</v>
      </c>
      <c r="Q34" s="110">
        <f t="shared" si="10"/>
        <v>5.4545454545454543E-2</v>
      </c>
      <c r="S34" s="45">
        <f t="shared" si="14"/>
        <v>10999.610135415453</v>
      </c>
      <c r="U34" s="45">
        <f t="shared" si="15"/>
        <v>2200.4070840957575</v>
      </c>
      <c r="V34" s="78">
        <f>'Band Calculations'!Z9</f>
        <v>47</v>
      </c>
      <c r="W34" s="45">
        <f t="shared" si="16"/>
        <v>103419.1329525006</v>
      </c>
    </row>
    <row r="35" spans="1:23" ht="12" customHeight="1" x14ac:dyDescent="0.25">
      <c r="A35" s="185">
        <v>9257031</v>
      </c>
      <c r="B35" s="102" t="s">
        <v>98</v>
      </c>
      <c r="C35" s="103" t="s">
        <v>133</v>
      </c>
      <c r="D35" s="221">
        <v>3</v>
      </c>
      <c r="E35" s="105">
        <f t="shared" si="11"/>
        <v>61</v>
      </c>
      <c r="F35" s="108">
        <v>0</v>
      </c>
      <c r="G35" s="107">
        <f t="shared" si="12"/>
        <v>0</v>
      </c>
      <c r="H35" s="108">
        <v>0</v>
      </c>
      <c r="I35" s="107">
        <f t="shared" si="7"/>
        <v>0</v>
      </c>
      <c r="J35" s="108">
        <v>0</v>
      </c>
      <c r="K35" s="107">
        <f t="shared" si="8"/>
        <v>0</v>
      </c>
      <c r="L35" s="108">
        <v>0</v>
      </c>
      <c r="M35" s="107">
        <f t="shared" si="9"/>
        <v>0</v>
      </c>
      <c r="N35" s="748">
        <v>0</v>
      </c>
      <c r="O35" s="107">
        <f t="shared" si="13"/>
        <v>0</v>
      </c>
      <c r="P35" s="109">
        <v>61</v>
      </c>
      <c r="Q35" s="110">
        <f t="shared" si="10"/>
        <v>1</v>
      </c>
      <c r="S35" s="45">
        <f t="shared" si="14"/>
        <v>14327.068527263833</v>
      </c>
      <c r="U35" s="45">
        <f t="shared" si="15"/>
        <v>0</v>
      </c>
      <c r="V35" s="78">
        <f>'Band Calculations'!Z10</f>
        <v>61</v>
      </c>
      <c r="W35" s="45">
        <f t="shared" si="16"/>
        <v>0</v>
      </c>
    </row>
    <row r="36" spans="1:23" x14ac:dyDescent="0.25">
      <c r="A36" s="185">
        <v>9257033</v>
      </c>
      <c r="B36" s="102" t="s">
        <v>72</v>
      </c>
      <c r="C36" s="103" t="s">
        <v>131</v>
      </c>
      <c r="D36" s="221">
        <v>3</v>
      </c>
      <c r="E36" s="105">
        <f t="shared" si="11"/>
        <v>55</v>
      </c>
      <c r="F36" s="108">
        <v>2</v>
      </c>
      <c r="G36" s="107">
        <f t="shared" si="12"/>
        <v>3.6363636363636362E-2</v>
      </c>
      <c r="H36" s="108">
        <v>16</v>
      </c>
      <c r="I36" s="107">
        <f t="shared" si="7"/>
        <v>0.29090909090909089</v>
      </c>
      <c r="J36" s="108">
        <v>15</v>
      </c>
      <c r="K36" s="107">
        <f t="shared" si="8"/>
        <v>0.27272727272727271</v>
      </c>
      <c r="L36" s="111">
        <v>3</v>
      </c>
      <c r="M36" s="107">
        <f t="shared" si="9"/>
        <v>5.4545454545454543E-2</v>
      </c>
      <c r="N36" s="748">
        <v>0</v>
      </c>
      <c r="O36" s="107">
        <f t="shared" si="13"/>
        <v>0</v>
      </c>
      <c r="P36" s="109">
        <v>19</v>
      </c>
      <c r="Q36" s="110">
        <f t="shared" si="10"/>
        <v>0.34545454545454546</v>
      </c>
      <c r="S36" s="45">
        <f t="shared" si="14"/>
        <v>9853.3189773154299</v>
      </c>
      <c r="U36" s="45">
        <f t="shared" si="15"/>
        <v>1428.3475354685143</v>
      </c>
      <c r="V36" s="78">
        <f>'Band Calculations'!Z11</f>
        <v>60</v>
      </c>
      <c r="W36" s="45">
        <f t="shared" si="16"/>
        <v>85700.852128110855</v>
      </c>
    </row>
    <row r="37" spans="1:23" x14ac:dyDescent="0.25">
      <c r="A37" s="185">
        <v>9257008</v>
      </c>
      <c r="B37" s="102" t="s">
        <v>73</v>
      </c>
      <c r="C37" s="103" t="s">
        <v>132</v>
      </c>
      <c r="D37" s="221">
        <v>3</v>
      </c>
      <c r="E37" s="105">
        <f t="shared" si="11"/>
        <v>85</v>
      </c>
      <c r="F37" s="108">
        <v>0</v>
      </c>
      <c r="G37" s="107">
        <f t="shared" si="12"/>
        <v>0</v>
      </c>
      <c r="H37" s="108">
        <v>7</v>
      </c>
      <c r="I37" s="107">
        <f t="shared" si="7"/>
        <v>8.2352941176470587E-2</v>
      </c>
      <c r="J37" s="108">
        <v>52</v>
      </c>
      <c r="K37" s="107">
        <f t="shared" si="8"/>
        <v>0.61176470588235299</v>
      </c>
      <c r="L37" s="108">
        <v>2</v>
      </c>
      <c r="M37" s="107">
        <f t="shared" si="9"/>
        <v>2.3529411764705882E-2</v>
      </c>
      <c r="N37" s="748">
        <v>0</v>
      </c>
      <c r="O37" s="107">
        <f t="shared" si="13"/>
        <v>0</v>
      </c>
      <c r="P37" s="112">
        <v>24</v>
      </c>
      <c r="Q37" s="110">
        <f t="shared" si="10"/>
        <v>0.28235294117647058</v>
      </c>
      <c r="S37" s="45">
        <f t="shared" si="14"/>
        <v>8745.3923904604708</v>
      </c>
      <c r="U37" s="45">
        <f t="shared" si="15"/>
        <v>-345.47995291210646</v>
      </c>
      <c r="V37" s="78">
        <f>'Band Calculations'!Z12</f>
        <v>84</v>
      </c>
      <c r="W37" s="45">
        <f t="shared" si="16"/>
        <v>-29020.316044616942</v>
      </c>
    </row>
    <row r="38" spans="1:23" x14ac:dyDescent="0.25">
      <c r="A38" s="185">
        <v>9257034</v>
      </c>
      <c r="B38" s="102" t="s">
        <v>74</v>
      </c>
      <c r="C38" s="103" t="s">
        <v>131</v>
      </c>
      <c r="D38" s="221">
        <v>4</v>
      </c>
      <c r="E38" s="105">
        <f t="shared" si="11"/>
        <v>127</v>
      </c>
      <c r="F38" s="108">
        <v>9</v>
      </c>
      <c r="G38" s="107">
        <f t="shared" si="12"/>
        <v>7.0866141732283464E-2</v>
      </c>
      <c r="H38" s="108">
        <v>21</v>
      </c>
      <c r="I38" s="107">
        <f t="shared" si="7"/>
        <v>0.16535433070866143</v>
      </c>
      <c r="J38" s="108">
        <v>66</v>
      </c>
      <c r="K38" s="107">
        <f t="shared" si="8"/>
        <v>0.51968503937007871</v>
      </c>
      <c r="L38" s="108">
        <v>2</v>
      </c>
      <c r="M38" s="107">
        <f t="shared" si="9"/>
        <v>1.5748031496062992E-2</v>
      </c>
      <c r="N38" s="748">
        <v>3</v>
      </c>
      <c r="O38" s="107">
        <f t="shared" si="13"/>
        <v>2.3622047244094488E-2</v>
      </c>
      <c r="P38" s="109">
        <v>26</v>
      </c>
      <c r="Q38" s="110">
        <f t="shared" si="10"/>
        <v>0.20472440944881889</v>
      </c>
      <c r="S38" s="45">
        <f t="shared" si="14"/>
        <v>8929.0063475880906</v>
      </c>
      <c r="U38" s="45">
        <f t="shared" si="15"/>
        <v>724.98823303332756</v>
      </c>
      <c r="V38" s="78">
        <f>'Band Calculations'!Z13</f>
        <v>109</v>
      </c>
      <c r="W38" s="45">
        <f t="shared" si="16"/>
        <v>79023.717400632711</v>
      </c>
    </row>
    <row r="39" spans="1:23" x14ac:dyDescent="0.25">
      <c r="A39" s="185">
        <v>9257002</v>
      </c>
      <c r="B39" s="102" t="s">
        <v>75</v>
      </c>
      <c r="C39" s="103" t="s">
        <v>131</v>
      </c>
      <c r="D39" s="221">
        <v>4</v>
      </c>
      <c r="E39" s="105">
        <f t="shared" si="11"/>
        <v>119</v>
      </c>
      <c r="F39" s="108">
        <v>1</v>
      </c>
      <c r="G39" s="107">
        <f t="shared" si="12"/>
        <v>8.4033613445378148E-3</v>
      </c>
      <c r="H39" s="108">
        <v>33</v>
      </c>
      <c r="I39" s="107">
        <f t="shared" si="7"/>
        <v>0.27731092436974791</v>
      </c>
      <c r="J39" s="108">
        <v>71</v>
      </c>
      <c r="K39" s="107">
        <f t="shared" si="8"/>
        <v>0.59663865546218486</v>
      </c>
      <c r="L39" s="108">
        <v>2</v>
      </c>
      <c r="M39" s="107">
        <f t="shared" si="9"/>
        <v>1.680672268907563E-2</v>
      </c>
      <c r="N39" s="748">
        <v>1</v>
      </c>
      <c r="O39" s="107">
        <f t="shared" si="13"/>
        <v>8.4033613445378148E-3</v>
      </c>
      <c r="P39" s="109">
        <v>11</v>
      </c>
      <c r="Q39" s="110">
        <f t="shared" si="10"/>
        <v>9.2436974789915971E-2</v>
      </c>
      <c r="S39" s="45">
        <f t="shared" si="14"/>
        <v>7568.7053693889393</v>
      </c>
      <c r="U39" s="45">
        <f t="shared" si="15"/>
        <v>234.63682980770318</v>
      </c>
      <c r="V39" s="78">
        <f>'Band Calculations'!Z14</f>
        <v>130</v>
      </c>
      <c r="W39" s="45">
        <f t="shared" si="16"/>
        <v>30502.787875001413</v>
      </c>
    </row>
    <row r="40" spans="1:23" x14ac:dyDescent="0.25">
      <c r="A40" s="185">
        <v>9257009</v>
      </c>
      <c r="B40" s="102" t="s">
        <v>76</v>
      </c>
      <c r="C40" s="103" t="s">
        <v>130</v>
      </c>
      <c r="D40" s="221">
        <v>4</v>
      </c>
      <c r="E40" s="105">
        <f t="shared" si="11"/>
        <v>130</v>
      </c>
      <c r="F40" s="108">
        <v>0</v>
      </c>
      <c r="G40" s="107">
        <f t="shared" si="12"/>
        <v>0</v>
      </c>
      <c r="H40" s="108">
        <v>19</v>
      </c>
      <c r="I40" s="107">
        <f t="shared" si="7"/>
        <v>0.14615384615384616</v>
      </c>
      <c r="J40" s="108">
        <v>91</v>
      </c>
      <c r="K40" s="107">
        <f t="shared" si="8"/>
        <v>0.7</v>
      </c>
      <c r="L40" s="108">
        <v>2</v>
      </c>
      <c r="M40" s="107">
        <f t="shared" si="9"/>
        <v>1.5384615384615385E-2</v>
      </c>
      <c r="N40" s="748">
        <v>0</v>
      </c>
      <c r="O40" s="107">
        <f t="shared" si="13"/>
        <v>0</v>
      </c>
      <c r="P40" s="109">
        <v>18</v>
      </c>
      <c r="Q40" s="110">
        <f t="shared" si="10"/>
        <v>0.13846153846153847</v>
      </c>
      <c r="S40" s="45">
        <f t="shared" si="14"/>
        <v>7608.483850854901</v>
      </c>
      <c r="U40" s="45">
        <f t="shared" si="15"/>
        <v>-11.67433415596588</v>
      </c>
      <c r="V40" s="78">
        <f>'Band Calculations'!Z15</f>
        <v>131</v>
      </c>
      <c r="W40" s="45">
        <f t="shared" si="16"/>
        <v>-1529.3377744315303</v>
      </c>
    </row>
    <row r="41" spans="1:23" ht="12" customHeight="1" x14ac:dyDescent="0.25">
      <c r="A41" s="185">
        <v>9257029</v>
      </c>
      <c r="B41" s="102" t="s">
        <v>99</v>
      </c>
      <c r="C41" s="103" t="s">
        <v>133</v>
      </c>
      <c r="D41" s="221">
        <v>4</v>
      </c>
      <c r="E41" s="105">
        <f t="shared" si="11"/>
        <v>57</v>
      </c>
      <c r="F41" s="108">
        <v>0</v>
      </c>
      <c r="G41" s="107">
        <f t="shared" si="12"/>
        <v>0</v>
      </c>
      <c r="H41" s="108">
        <v>0</v>
      </c>
      <c r="I41" s="107">
        <f t="shared" si="7"/>
        <v>0</v>
      </c>
      <c r="J41" s="108">
        <v>0</v>
      </c>
      <c r="K41" s="107">
        <f t="shared" si="8"/>
        <v>0</v>
      </c>
      <c r="L41" s="108">
        <v>0</v>
      </c>
      <c r="M41" s="107">
        <f t="shared" si="9"/>
        <v>0</v>
      </c>
      <c r="N41" s="748">
        <v>0</v>
      </c>
      <c r="O41" s="107">
        <f t="shared" si="13"/>
        <v>0</v>
      </c>
      <c r="P41" s="109">
        <v>57</v>
      </c>
      <c r="Q41" s="110">
        <f t="shared" si="10"/>
        <v>1</v>
      </c>
      <c r="S41" s="45">
        <f t="shared" si="14"/>
        <v>14327.068527263833</v>
      </c>
      <c r="U41" s="45">
        <f t="shared" si="15"/>
        <v>0</v>
      </c>
      <c r="V41" s="78">
        <f>'Band Calculations'!Z16</f>
        <v>62.000000000000007</v>
      </c>
      <c r="W41" s="45">
        <f t="shared" si="16"/>
        <v>0</v>
      </c>
    </row>
    <row r="42" spans="1:23" ht="12" customHeight="1" x14ac:dyDescent="0.25">
      <c r="A42" s="185">
        <v>9257032</v>
      </c>
      <c r="B42" s="102" t="s">
        <v>100</v>
      </c>
      <c r="C42" s="103" t="s">
        <v>133</v>
      </c>
      <c r="D42" s="221">
        <v>4</v>
      </c>
      <c r="E42" s="105">
        <f t="shared" si="11"/>
        <v>57</v>
      </c>
      <c r="F42" s="108">
        <v>0</v>
      </c>
      <c r="G42" s="107">
        <f t="shared" si="12"/>
        <v>0</v>
      </c>
      <c r="H42" s="108">
        <v>0</v>
      </c>
      <c r="I42" s="107">
        <f t="shared" si="7"/>
        <v>0</v>
      </c>
      <c r="J42" s="108">
        <v>0</v>
      </c>
      <c r="K42" s="107">
        <f t="shared" si="8"/>
        <v>0</v>
      </c>
      <c r="L42" s="108">
        <v>0</v>
      </c>
      <c r="M42" s="107">
        <f t="shared" si="9"/>
        <v>0</v>
      </c>
      <c r="N42" s="748">
        <v>0</v>
      </c>
      <c r="O42" s="107">
        <f t="shared" si="13"/>
        <v>0</v>
      </c>
      <c r="P42" s="109">
        <v>57</v>
      </c>
      <c r="Q42" s="110">
        <f t="shared" si="10"/>
        <v>1</v>
      </c>
      <c r="S42" s="45">
        <f t="shared" si="14"/>
        <v>14327.068527263833</v>
      </c>
      <c r="U42" s="45">
        <f t="shared" si="15"/>
        <v>0</v>
      </c>
      <c r="V42" s="78">
        <f>'Band Calculations'!Z17</f>
        <v>59.000000000000007</v>
      </c>
      <c r="W42" s="45">
        <f t="shared" si="16"/>
        <v>0</v>
      </c>
    </row>
    <row r="43" spans="1:23" ht="12" customHeight="1" x14ac:dyDescent="0.25">
      <c r="A43" s="185">
        <v>9257030</v>
      </c>
      <c r="B43" s="102" t="s">
        <v>92</v>
      </c>
      <c r="C43" s="103" t="s">
        <v>133</v>
      </c>
      <c r="D43" s="221">
        <v>4</v>
      </c>
      <c r="E43" s="105">
        <f t="shared" si="11"/>
        <v>49</v>
      </c>
      <c r="F43" s="106">
        <v>0</v>
      </c>
      <c r="G43" s="107">
        <f t="shared" si="12"/>
        <v>0</v>
      </c>
      <c r="H43" s="108">
        <v>0</v>
      </c>
      <c r="I43" s="107">
        <f t="shared" si="7"/>
        <v>0</v>
      </c>
      <c r="J43" s="108">
        <v>0</v>
      </c>
      <c r="K43" s="107">
        <f t="shared" si="8"/>
        <v>0</v>
      </c>
      <c r="L43" s="108">
        <v>0</v>
      </c>
      <c r="M43" s="107">
        <f t="shared" si="9"/>
        <v>0</v>
      </c>
      <c r="N43" s="748">
        <v>0</v>
      </c>
      <c r="O43" s="107">
        <f t="shared" si="13"/>
        <v>0</v>
      </c>
      <c r="P43" s="109">
        <v>49</v>
      </c>
      <c r="Q43" s="110">
        <f t="shared" si="10"/>
        <v>1</v>
      </c>
      <c r="S43" s="45">
        <f t="shared" si="14"/>
        <v>14327.068527263833</v>
      </c>
      <c r="U43" s="45">
        <f t="shared" si="15"/>
        <v>0</v>
      </c>
      <c r="V43" s="78">
        <f>'Band Calculations'!Z18</f>
        <v>55</v>
      </c>
      <c r="W43" s="45">
        <f t="shared" si="16"/>
        <v>0</v>
      </c>
    </row>
    <row r="44" spans="1:23" x14ac:dyDescent="0.25">
      <c r="A44" s="185">
        <v>9257028</v>
      </c>
      <c r="B44" s="102" t="s">
        <v>77</v>
      </c>
      <c r="C44" s="103" t="s">
        <v>130</v>
      </c>
      <c r="D44" s="221">
        <v>4</v>
      </c>
      <c r="E44" s="105">
        <f t="shared" si="11"/>
        <v>71</v>
      </c>
      <c r="F44" s="108">
        <v>15</v>
      </c>
      <c r="G44" s="107">
        <f t="shared" si="12"/>
        <v>0.21126760563380281</v>
      </c>
      <c r="H44" s="106">
        <v>24</v>
      </c>
      <c r="I44" s="107">
        <f t="shared" si="7"/>
        <v>0.3380281690140845</v>
      </c>
      <c r="J44" s="106">
        <v>0</v>
      </c>
      <c r="K44" s="107">
        <f t="shared" si="8"/>
        <v>0</v>
      </c>
      <c r="L44" s="106">
        <v>0</v>
      </c>
      <c r="M44" s="107">
        <f t="shared" si="9"/>
        <v>0</v>
      </c>
      <c r="N44" s="748">
        <v>15</v>
      </c>
      <c r="O44" s="107">
        <f t="shared" si="13"/>
        <v>0.21126760563380281</v>
      </c>
      <c r="P44" s="109">
        <v>17</v>
      </c>
      <c r="Q44" s="110">
        <f t="shared" si="10"/>
        <v>0.23943661971830985</v>
      </c>
      <c r="S44" s="45">
        <f t="shared" si="14"/>
        <v>13063.223679728097</v>
      </c>
      <c r="U44" s="45">
        <f t="shared" si="15"/>
        <v>2482.4715766242662</v>
      </c>
      <c r="V44" s="78">
        <f>'Band Calculations'!Z19</f>
        <v>73</v>
      </c>
      <c r="W44" s="45">
        <f t="shared" si="16"/>
        <v>181220.42509357142</v>
      </c>
    </row>
    <row r="45" spans="1:23" x14ac:dyDescent="0.25">
      <c r="A45" s="185">
        <v>9257021</v>
      </c>
      <c r="B45" s="102" t="s">
        <v>78</v>
      </c>
      <c r="C45" s="103" t="s">
        <v>132</v>
      </c>
      <c r="D45" s="221">
        <v>5</v>
      </c>
      <c r="E45" s="105">
        <f t="shared" si="11"/>
        <v>142</v>
      </c>
      <c r="F45" s="108">
        <v>0</v>
      </c>
      <c r="G45" s="107">
        <f t="shared" si="12"/>
        <v>0</v>
      </c>
      <c r="H45" s="108">
        <v>14</v>
      </c>
      <c r="I45" s="107">
        <f t="shared" si="7"/>
        <v>9.8591549295774641E-2</v>
      </c>
      <c r="J45" s="108">
        <v>102</v>
      </c>
      <c r="K45" s="107">
        <f t="shared" si="8"/>
        <v>0.71830985915492962</v>
      </c>
      <c r="L45" s="108">
        <v>4</v>
      </c>
      <c r="M45" s="107">
        <f t="shared" si="9"/>
        <v>2.8169014084507043E-2</v>
      </c>
      <c r="N45" s="748">
        <v>2</v>
      </c>
      <c r="O45" s="107">
        <f t="shared" si="13"/>
        <v>1.4084507042253521E-2</v>
      </c>
      <c r="P45" s="109">
        <v>20</v>
      </c>
      <c r="Q45" s="110">
        <f t="shared" si="10"/>
        <v>0.14084507042253522</v>
      </c>
      <c r="S45" s="45">
        <f t="shared" si="14"/>
        <v>7868.7136523176978</v>
      </c>
      <c r="U45" s="45">
        <f t="shared" si="15"/>
        <v>419.96796926808202</v>
      </c>
      <c r="V45" s="78">
        <f>'Band Calculations'!Z20</f>
        <v>142</v>
      </c>
      <c r="W45" s="45">
        <f t="shared" si="16"/>
        <v>59635.45163606765</v>
      </c>
    </row>
    <row r="46" spans="1:23" x14ac:dyDescent="0.25">
      <c r="A46" s="185">
        <v>9257015</v>
      </c>
      <c r="B46" s="102" t="s">
        <v>55</v>
      </c>
      <c r="C46" s="103" t="s">
        <v>132</v>
      </c>
      <c r="D46" s="221">
        <v>5</v>
      </c>
      <c r="E46" s="105">
        <f t="shared" si="11"/>
        <v>248</v>
      </c>
      <c r="F46" s="108">
        <v>10</v>
      </c>
      <c r="G46" s="107">
        <f t="shared" si="12"/>
        <v>4.0322580645161289E-2</v>
      </c>
      <c r="H46" s="108">
        <v>55</v>
      </c>
      <c r="I46" s="107">
        <f t="shared" si="7"/>
        <v>0.22177419354838709</v>
      </c>
      <c r="J46" s="108">
        <v>162</v>
      </c>
      <c r="K46" s="107">
        <f t="shared" si="8"/>
        <v>0.65322580645161288</v>
      </c>
      <c r="L46" s="108">
        <v>0</v>
      </c>
      <c r="M46" s="107">
        <f t="shared" si="9"/>
        <v>0</v>
      </c>
      <c r="N46" s="748">
        <v>5</v>
      </c>
      <c r="O46" s="107">
        <f t="shared" si="13"/>
        <v>2.0161290322580645E-2</v>
      </c>
      <c r="P46" s="109">
        <v>16</v>
      </c>
      <c r="Q46" s="110">
        <f t="shared" si="10"/>
        <v>6.4516129032258063E-2</v>
      </c>
      <c r="S46" s="45">
        <f t="shared" si="14"/>
        <v>7550.8446683273978</v>
      </c>
      <c r="U46" s="45">
        <f t="shared" si="15"/>
        <v>153.29777508785264</v>
      </c>
      <c r="V46" s="78">
        <f>'Band Calculations'!Z21</f>
        <v>230.83333333333337</v>
      </c>
      <c r="W46" s="45">
        <f t="shared" si="16"/>
        <v>35386.236416112661</v>
      </c>
    </row>
    <row r="47" spans="1:23" x14ac:dyDescent="0.25">
      <c r="A47" s="185">
        <v>9257016</v>
      </c>
      <c r="B47" s="102" t="s">
        <v>80</v>
      </c>
      <c r="C47" s="103" t="s">
        <v>131</v>
      </c>
      <c r="D47" s="221">
        <v>6</v>
      </c>
      <c r="E47" s="105">
        <f t="shared" si="11"/>
        <v>135</v>
      </c>
      <c r="F47" s="108">
        <v>58</v>
      </c>
      <c r="G47" s="107">
        <f t="shared" si="12"/>
        <v>0.42962962962962964</v>
      </c>
      <c r="H47" s="108">
        <v>0</v>
      </c>
      <c r="I47" s="107">
        <f t="shared" si="7"/>
        <v>0</v>
      </c>
      <c r="J47" s="108">
        <v>39</v>
      </c>
      <c r="K47" s="107">
        <f t="shared" si="8"/>
        <v>0.28888888888888886</v>
      </c>
      <c r="L47" s="108">
        <v>0</v>
      </c>
      <c r="M47" s="107">
        <f t="shared" si="9"/>
        <v>0</v>
      </c>
      <c r="N47" s="748">
        <v>38</v>
      </c>
      <c r="O47" s="107">
        <f t="shared" si="13"/>
        <v>0.2814814814814815</v>
      </c>
      <c r="P47" s="109">
        <v>0</v>
      </c>
      <c r="Q47" s="110">
        <f t="shared" si="10"/>
        <v>0</v>
      </c>
      <c r="S47" s="45">
        <f t="shared" si="14"/>
        <v>13059.825572091222</v>
      </c>
      <c r="U47" s="45">
        <f>S47-Q23</f>
        <v>1820.8089617366259</v>
      </c>
      <c r="V47" s="78">
        <f>'Band Calculations'!Z23</f>
        <v>129</v>
      </c>
      <c r="W47" s="45">
        <f t="shared" si="16"/>
        <v>234884.35606402473</v>
      </c>
    </row>
    <row r="48" spans="1:23" ht="13" x14ac:dyDescent="0.3">
      <c r="B48" s="114" t="s">
        <v>62</v>
      </c>
      <c r="C48" s="114"/>
      <c r="D48" s="114"/>
      <c r="E48" s="115">
        <f>SUM(E30:E47)</f>
        <v>1607</v>
      </c>
      <c r="F48" s="116">
        <f>SUM(F30:F47)</f>
        <v>154</v>
      </c>
      <c r="G48" s="117"/>
      <c r="H48" s="116">
        <f>SUM(H30:H47)</f>
        <v>300</v>
      </c>
      <c r="I48" s="118"/>
      <c r="J48" s="116">
        <f>SUM(J30:J47)</f>
        <v>620</v>
      </c>
      <c r="K48" s="118"/>
      <c r="L48" s="116">
        <f>SUM(L30:L47)</f>
        <v>19</v>
      </c>
      <c r="M48" s="118"/>
      <c r="N48" s="749">
        <f>SUM(N30:N47)</f>
        <v>100</v>
      </c>
      <c r="O48" s="118"/>
      <c r="P48" s="119">
        <f>SUM(P30:P47)</f>
        <v>414</v>
      </c>
      <c r="Q48" s="120"/>
      <c r="V48" s="227"/>
    </row>
    <row r="49" spans="2:23" ht="13" thickBot="1" x14ac:dyDescent="0.3">
      <c r="B49" s="114" t="s">
        <v>101</v>
      </c>
      <c r="C49" s="114"/>
      <c r="D49" s="114"/>
      <c r="E49" s="121"/>
      <c r="F49" s="122">
        <f>F48/E48</f>
        <v>9.5830740510267576E-2</v>
      </c>
      <c r="G49" s="107"/>
      <c r="H49" s="122">
        <f>H48/E48</f>
        <v>0.18668326073428748</v>
      </c>
      <c r="I49" s="107"/>
      <c r="J49" s="122">
        <f>J48/E48</f>
        <v>0.38581207218419417</v>
      </c>
      <c r="K49" s="107"/>
      <c r="L49" s="122">
        <f>L48/E48</f>
        <v>1.1823273179838207E-2</v>
      </c>
      <c r="M49" s="107"/>
      <c r="N49" s="122">
        <f>N48/E48</f>
        <v>6.2227753578095832E-2</v>
      </c>
      <c r="O49" s="107"/>
      <c r="P49" s="123">
        <f>P48/E48</f>
        <v>0.25762289981331676</v>
      </c>
      <c r="Q49" s="120"/>
      <c r="W49" s="229">
        <f>SUM(W30:W47)</f>
        <v>1060541.8935978892</v>
      </c>
    </row>
    <row r="51" spans="2:23" hidden="1" x14ac:dyDescent="0.25"/>
    <row r="52" spans="2:23" hidden="1" x14ac:dyDescent="0.25">
      <c r="B52" s="1969" t="s">
        <v>264</v>
      </c>
      <c r="C52" s="1969"/>
      <c r="D52" s="1969"/>
      <c r="E52" s="1969"/>
      <c r="F52" s="222">
        <f>F49-F25</f>
        <v>-1.2950386619483403E-2</v>
      </c>
      <c r="G52" s="222"/>
      <c r="H52" s="222">
        <f>H49-H25</f>
        <v>-5.9772897244281253E-3</v>
      </c>
      <c r="I52" s="222"/>
      <c r="J52" s="222">
        <f>J49-J25</f>
        <v>1.2941823167156141E-2</v>
      </c>
      <c r="K52" s="222"/>
      <c r="L52" s="222">
        <f>L49-L25</f>
        <v>-3.8635442416492069E-2</v>
      </c>
      <c r="M52" s="222"/>
      <c r="N52" s="222">
        <f>N49</f>
        <v>6.2227753578095832E-2</v>
      </c>
      <c r="P52" s="222">
        <f>P49-N25</f>
        <v>-1.7606457984848389E-2</v>
      </c>
    </row>
    <row r="53" spans="2:23" hidden="1" x14ac:dyDescent="0.25">
      <c r="P53" s="46"/>
    </row>
    <row r="54" spans="2:23" hidden="1" x14ac:dyDescent="0.25">
      <c r="F54" s="219">
        <v>11692.020638096787</v>
      </c>
      <c r="H54" s="219">
        <v>7350.1419469065795</v>
      </c>
      <c r="J54" s="219">
        <v>6243.7244928897762</v>
      </c>
      <c r="L54" s="219">
        <v>11692.020638096787</v>
      </c>
      <c r="N54" s="42">
        <v>22143</v>
      </c>
      <c r="P54" s="219">
        <v>11692.020638096787</v>
      </c>
    </row>
    <row r="55" spans="2:23" hidden="1" x14ac:dyDescent="0.25">
      <c r="P55" s="46"/>
    </row>
    <row r="56" spans="2:23" hidden="1" x14ac:dyDescent="0.25">
      <c r="P56" s="42">
        <v>2635.0478891670464</v>
      </c>
    </row>
    <row r="57" spans="2:23" hidden="1" x14ac:dyDescent="0.25"/>
    <row r="58" spans="2:23" hidden="1" x14ac:dyDescent="0.25">
      <c r="B58" s="1"/>
      <c r="F58" s="672" t="s">
        <v>2</v>
      </c>
      <c r="G58" s="672" t="s">
        <v>3</v>
      </c>
      <c r="H58" s="672" t="s">
        <v>5</v>
      </c>
      <c r="I58" s="672" t="s">
        <v>7</v>
      </c>
      <c r="J58" s="672" t="s">
        <v>8</v>
      </c>
      <c r="K58" s="672" t="s">
        <v>631</v>
      </c>
    </row>
    <row r="59" spans="2:23" hidden="1" x14ac:dyDescent="0.25">
      <c r="B59" s="245"/>
      <c r="F59" s="753">
        <f>'Band Calculations 1718'!D6</f>
        <v>0.40476190476190477</v>
      </c>
      <c r="G59" s="753">
        <f>'Band Calculations 1718'!E6</f>
        <v>0.2857142857142857</v>
      </c>
      <c r="H59" s="753">
        <f>'Band Calculations 1718'!F6</f>
        <v>0.11904761904761904</v>
      </c>
      <c r="I59" s="753">
        <f>'Band Calculations 1718'!G6</f>
        <v>0.11904761904761904</v>
      </c>
      <c r="J59" s="753">
        <f>'Band Calculations 1718'!H6</f>
        <v>7.1428571428571425E-2</v>
      </c>
      <c r="K59" s="753">
        <f>'Band Calculations 1718'!I6</f>
        <v>0</v>
      </c>
      <c r="L59" s="753"/>
    </row>
    <row r="60" spans="2:23" hidden="1" x14ac:dyDescent="0.25">
      <c r="B60" s="754" t="s">
        <v>67</v>
      </c>
      <c r="D60" s="612" t="s">
        <v>686</v>
      </c>
      <c r="E60" s="755">
        <f>'Band Calculations - Rebase'!V110</f>
        <v>50.333333333333343</v>
      </c>
      <c r="F60" s="756">
        <f t="shared" ref="F60:K60" si="17">$E$60*F59</f>
        <v>20.373015873015877</v>
      </c>
      <c r="G60" s="756">
        <f t="shared" si="17"/>
        <v>14.380952380952383</v>
      </c>
      <c r="H60" s="756">
        <f t="shared" si="17"/>
        <v>5.992063492063493</v>
      </c>
      <c r="I60" s="756">
        <f t="shared" si="17"/>
        <v>5.992063492063493</v>
      </c>
      <c r="J60" s="756">
        <f t="shared" si="17"/>
        <v>3.5952380952380958</v>
      </c>
      <c r="K60" s="756">
        <f t="shared" si="17"/>
        <v>0</v>
      </c>
      <c r="L60" s="755"/>
      <c r="M60" s="757"/>
    </row>
    <row r="61" spans="2:23" hidden="1" x14ac:dyDescent="0.25">
      <c r="D61" s="612" t="s">
        <v>687</v>
      </c>
      <c r="E61" s="755">
        <f>E60</f>
        <v>50.333333333333343</v>
      </c>
      <c r="F61" s="756">
        <f>F60-(K61-I60)</f>
        <v>18.365079365079371</v>
      </c>
      <c r="G61" s="756">
        <f>G60</f>
        <v>14.380952380952383</v>
      </c>
      <c r="H61" s="756">
        <f>H60</f>
        <v>5.992063492063493</v>
      </c>
      <c r="I61" s="46">
        <v>0</v>
      </c>
      <c r="J61" s="756">
        <f>J60</f>
        <v>3.5952380952380958</v>
      </c>
      <c r="K61" s="46">
        <v>8</v>
      </c>
      <c r="L61" s="755"/>
      <c r="M61" s="757"/>
    </row>
    <row r="62" spans="2:23" hidden="1" x14ac:dyDescent="0.25">
      <c r="F62" s="222">
        <f t="shared" ref="F62:K62" si="18">F61/$E$61</f>
        <v>0.36486912645853048</v>
      </c>
      <c r="G62" s="222">
        <f t="shared" si="18"/>
        <v>0.2857142857142857</v>
      </c>
      <c r="H62" s="222">
        <f t="shared" si="18"/>
        <v>0.11904761904761904</v>
      </c>
      <c r="I62" s="222">
        <f t="shared" si="18"/>
        <v>0</v>
      </c>
      <c r="J62" s="222">
        <f t="shared" si="18"/>
        <v>7.1428571428571425E-2</v>
      </c>
      <c r="K62" s="222">
        <f t="shared" si="18"/>
        <v>0.15894039735099336</v>
      </c>
      <c r="M62" s="222">
        <f>SUM(F62:K62)</f>
        <v>1</v>
      </c>
    </row>
    <row r="63" spans="2:23" hidden="1" x14ac:dyDescent="0.25"/>
    <row r="64" spans="2:23" hidden="1" x14ac:dyDescent="0.25">
      <c r="F64" s="753">
        <f>'Band Calculations 1718'!D7</f>
        <v>0.13157894736842105</v>
      </c>
      <c r="G64" s="753">
        <f>'Band Calculations 1718'!E7</f>
        <v>0.35526315789473684</v>
      </c>
      <c r="H64" s="753">
        <f>'Band Calculations 1718'!F7</f>
        <v>0.17105263157894737</v>
      </c>
      <c r="I64" s="753">
        <f>'Band Calculations 1718'!G7</f>
        <v>0.14473684210526316</v>
      </c>
      <c r="J64" s="753">
        <f>'Band Calculations 1718'!H7</f>
        <v>0.19736842105263158</v>
      </c>
      <c r="K64" s="753">
        <f>'Band Calculations 1718'!I7</f>
        <v>0</v>
      </c>
    </row>
    <row r="65" spans="2:15" hidden="1" x14ac:dyDescent="0.25">
      <c r="B65" s="102" t="s">
        <v>68</v>
      </c>
      <c r="D65" s="612" t="s">
        <v>686</v>
      </c>
      <c r="E65" s="755">
        <f>SUM('Band Calculations - Rebase'!V111)</f>
        <v>74.666666666666657</v>
      </c>
      <c r="F65" s="756">
        <f t="shared" ref="F65:K65" si="19">$E$65*F64</f>
        <v>9.8245614035087705</v>
      </c>
      <c r="G65" s="756">
        <f t="shared" si="19"/>
        <v>26.526315789473681</v>
      </c>
      <c r="H65" s="756">
        <f t="shared" si="19"/>
        <v>12.771929824561402</v>
      </c>
      <c r="I65" s="756">
        <f t="shared" si="19"/>
        <v>10.807017543859649</v>
      </c>
      <c r="J65" s="756">
        <f t="shared" si="19"/>
        <v>14.736842105263156</v>
      </c>
      <c r="K65" s="756">
        <f t="shared" si="19"/>
        <v>0</v>
      </c>
      <c r="N65" s="6"/>
      <c r="O65" s="6"/>
    </row>
    <row r="66" spans="2:15" hidden="1" x14ac:dyDescent="0.25">
      <c r="D66" s="612" t="s">
        <v>687</v>
      </c>
      <c r="E66" s="755">
        <f>E65</f>
        <v>74.666666666666657</v>
      </c>
      <c r="F66" s="756">
        <f>F65</f>
        <v>9.8245614035087705</v>
      </c>
      <c r="G66" s="756">
        <f>G65</f>
        <v>26.526315789473681</v>
      </c>
      <c r="H66" s="756">
        <f>H65</f>
        <v>12.771929824561402</v>
      </c>
      <c r="I66" s="756">
        <f>I65-K66</f>
        <v>3.807017543859649</v>
      </c>
      <c r="J66" s="756">
        <f>J65</f>
        <v>14.736842105263156</v>
      </c>
      <c r="K66" s="755">
        <f>N31</f>
        <v>7</v>
      </c>
      <c r="N66" s="6"/>
      <c r="O66" s="6"/>
    </row>
    <row r="67" spans="2:15" hidden="1" x14ac:dyDescent="0.25">
      <c r="D67" s="612"/>
      <c r="E67" s="755"/>
      <c r="F67" s="222">
        <f t="shared" ref="F67:K67" si="20">F66/$E$66</f>
        <v>0.13157894736842105</v>
      </c>
      <c r="G67" s="222">
        <f t="shared" si="20"/>
        <v>0.35526315789473684</v>
      </c>
      <c r="H67" s="222">
        <f t="shared" si="20"/>
        <v>0.17105263157894737</v>
      </c>
      <c r="I67" s="222">
        <f t="shared" si="20"/>
        <v>5.0986842105263164E-2</v>
      </c>
      <c r="J67" s="222">
        <f t="shared" si="20"/>
        <v>0.19736842105263158</v>
      </c>
      <c r="K67" s="222">
        <f t="shared" si="20"/>
        <v>9.3750000000000014E-2</v>
      </c>
      <c r="M67" s="222">
        <f>SUM(F67:K67)</f>
        <v>1</v>
      </c>
      <c r="N67" s="6"/>
      <c r="O67" s="6"/>
    </row>
    <row r="68" spans="2:15" hidden="1" x14ac:dyDescent="0.25"/>
    <row r="69" spans="2:15" hidden="1" x14ac:dyDescent="0.25">
      <c r="F69" s="753">
        <f>'Band Calculations 1718'!D8</f>
        <v>0.26415094339622641</v>
      </c>
      <c r="G69" s="753">
        <f>'Band Calculations 1718'!E8</f>
        <v>0.41509433962264153</v>
      </c>
      <c r="H69" s="753">
        <f>'Band Calculations 1718'!F8</f>
        <v>5.6603773584905662E-2</v>
      </c>
      <c r="I69" s="753">
        <f>'Band Calculations 1718'!G8</f>
        <v>5.6603773584905662E-2</v>
      </c>
      <c r="J69" s="753">
        <f>'Band Calculations 1718'!H8</f>
        <v>0.20754716981132076</v>
      </c>
      <c r="K69" s="753">
        <f>'Band Calculations 1718'!I8</f>
        <v>0</v>
      </c>
      <c r="N69" s="6"/>
      <c r="O69" s="6"/>
    </row>
    <row r="70" spans="2:15" hidden="1" x14ac:dyDescent="0.25">
      <c r="B70" s="102" t="s">
        <v>69</v>
      </c>
      <c r="D70" s="612" t="s">
        <v>686</v>
      </c>
      <c r="E70" s="755">
        <f>SUM('Band Calculations - Rebase'!V112)</f>
        <v>62.833333333333336</v>
      </c>
      <c r="F70" s="756">
        <f t="shared" ref="F70:K70" si="21">$E$70*F69</f>
        <v>16.59748427672956</v>
      </c>
      <c r="G70" s="756">
        <f t="shared" si="21"/>
        <v>26.081761006289309</v>
      </c>
      <c r="H70" s="756">
        <f t="shared" si="21"/>
        <v>3.5566037735849059</v>
      </c>
      <c r="I70" s="756">
        <f t="shared" si="21"/>
        <v>3.5566037735849059</v>
      </c>
      <c r="J70" s="756">
        <f t="shared" si="21"/>
        <v>13.040880503144654</v>
      </c>
      <c r="K70" s="756">
        <f t="shared" si="21"/>
        <v>0</v>
      </c>
      <c r="N70" s="6"/>
      <c r="O70" s="6"/>
    </row>
    <row r="71" spans="2:15" hidden="1" x14ac:dyDescent="0.25">
      <c r="D71" s="612" t="s">
        <v>687</v>
      </c>
      <c r="E71" s="755">
        <f>E70</f>
        <v>62.833333333333336</v>
      </c>
      <c r="F71" s="756">
        <f>F70-(K71-I70)</f>
        <v>14.154088050314465</v>
      </c>
      <c r="G71" s="756">
        <f>G70</f>
        <v>26.081761006289309</v>
      </c>
      <c r="H71" s="756">
        <f>H70</f>
        <v>3.5566037735849059</v>
      </c>
      <c r="I71" s="756">
        <v>0</v>
      </c>
      <c r="J71" s="756">
        <f>J70</f>
        <v>13.040880503144654</v>
      </c>
      <c r="K71" s="756">
        <f>N32</f>
        <v>6</v>
      </c>
      <c r="N71" s="6"/>
      <c r="O71" s="6"/>
    </row>
    <row r="72" spans="2:15" hidden="1" x14ac:dyDescent="0.25">
      <c r="F72" s="222">
        <f t="shared" ref="F72:K72" si="22">F71/$E$71</f>
        <v>0.2252640008007607</v>
      </c>
      <c r="G72" s="222">
        <f t="shared" si="22"/>
        <v>0.41509433962264153</v>
      </c>
      <c r="H72" s="222">
        <f t="shared" si="22"/>
        <v>5.6603773584905662E-2</v>
      </c>
      <c r="I72" s="222">
        <f t="shared" si="22"/>
        <v>0</v>
      </c>
      <c r="J72" s="222">
        <f t="shared" si="22"/>
        <v>0.20754716981132076</v>
      </c>
      <c r="K72" s="222">
        <f t="shared" si="22"/>
        <v>9.5490716180371346E-2</v>
      </c>
      <c r="M72" s="222">
        <f>SUM(F72:K72)</f>
        <v>1</v>
      </c>
      <c r="N72" s="6"/>
      <c r="O72" s="6"/>
    </row>
    <row r="73" spans="2:15" hidden="1" x14ac:dyDescent="0.25"/>
    <row r="74" spans="2:15" hidden="1" x14ac:dyDescent="0.25">
      <c r="F74" s="753">
        <f>'Band Calculations 1718'!D9</f>
        <v>0.4</v>
      </c>
      <c r="G74" s="753">
        <f>'Band Calculations 1718'!E9</f>
        <v>0.42222222222222222</v>
      </c>
      <c r="H74" s="753">
        <f>'Band Calculations 1718'!F9</f>
        <v>0</v>
      </c>
      <c r="I74" s="753">
        <f>'Band Calculations 1718'!G9</f>
        <v>2.2222222222222223E-2</v>
      </c>
      <c r="J74" s="753">
        <f>'Band Calculations 1718'!H9</f>
        <v>0.15555555555555556</v>
      </c>
      <c r="K74" s="753">
        <f>'Band Calculations 1718'!I9</f>
        <v>0</v>
      </c>
      <c r="N74" s="6"/>
      <c r="O74" s="6"/>
    </row>
    <row r="75" spans="2:15" hidden="1" x14ac:dyDescent="0.25">
      <c r="B75" s="102" t="s">
        <v>70</v>
      </c>
      <c r="D75" s="612" t="s">
        <v>686</v>
      </c>
      <c r="E75" s="755">
        <f>SUM('Band Calculations - Rebase'!V113)</f>
        <v>53.833333333333329</v>
      </c>
      <c r="F75" s="756">
        <f t="shared" ref="F75:K75" si="23">$E$75*F74</f>
        <v>21.533333333333331</v>
      </c>
      <c r="G75" s="756">
        <f t="shared" si="23"/>
        <v>22.729629629629628</v>
      </c>
      <c r="H75" s="756">
        <f t="shared" si="23"/>
        <v>0</v>
      </c>
      <c r="I75" s="756">
        <f t="shared" si="23"/>
        <v>1.1962962962962962</v>
      </c>
      <c r="J75" s="756">
        <f t="shared" si="23"/>
        <v>8.3740740740740733</v>
      </c>
      <c r="K75" s="756">
        <f t="shared" si="23"/>
        <v>0</v>
      </c>
      <c r="N75" s="6"/>
      <c r="O75" s="6"/>
    </row>
    <row r="76" spans="2:15" hidden="1" x14ac:dyDescent="0.25">
      <c r="D76" s="612" t="s">
        <v>687</v>
      </c>
      <c r="E76" s="755">
        <f>E75</f>
        <v>53.833333333333329</v>
      </c>
      <c r="F76" s="756">
        <f>F75-(K76-I75)</f>
        <v>16.729629629629628</v>
      </c>
      <c r="G76" s="756">
        <f>G75</f>
        <v>22.729629629629628</v>
      </c>
      <c r="H76" s="756">
        <f>H75</f>
        <v>0</v>
      </c>
      <c r="I76" s="756">
        <v>0</v>
      </c>
      <c r="J76" s="756">
        <f>J75</f>
        <v>8.3740740740740733</v>
      </c>
      <c r="K76" s="755">
        <f>N33</f>
        <v>6</v>
      </c>
      <c r="N76" s="6"/>
      <c r="O76" s="6"/>
    </row>
    <row r="77" spans="2:15" hidden="1" x14ac:dyDescent="0.25">
      <c r="F77" s="222">
        <f t="shared" ref="F77:K77" si="24">F76/$E$76</f>
        <v>0.31076711386308908</v>
      </c>
      <c r="G77" s="222">
        <f t="shared" si="24"/>
        <v>0.42222222222222222</v>
      </c>
      <c r="H77" s="222">
        <f t="shared" si="24"/>
        <v>0</v>
      </c>
      <c r="I77" s="222">
        <f t="shared" si="24"/>
        <v>0</v>
      </c>
      <c r="J77" s="222">
        <f t="shared" si="24"/>
        <v>0.15555555555555556</v>
      </c>
      <c r="K77" s="222">
        <f t="shared" si="24"/>
        <v>0.11145510835913314</v>
      </c>
      <c r="M77" s="222">
        <f>SUM(F77:K77)</f>
        <v>1</v>
      </c>
      <c r="N77" s="6"/>
      <c r="O77" s="6"/>
    </row>
    <row r="78" spans="2:15" hidden="1" x14ac:dyDescent="0.25"/>
    <row r="79" spans="2:15" hidden="1" x14ac:dyDescent="0.25">
      <c r="F79" s="753">
        <f>SUM('Band Calculations 1718'!D10)</f>
        <v>0.2</v>
      </c>
      <c r="G79" s="753">
        <f>SUM('Band Calculations 1718'!E10)</f>
        <v>0.5636363636363636</v>
      </c>
      <c r="H79" s="753">
        <f>SUM('Band Calculations 1718'!F10)</f>
        <v>1.8181818181818181E-2</v>
      </c>
      <c r="I79" s="753">
        <f>SUM('Band Calculations 1718'!G10)</f>
        <v>0.16363636363636364</v>
      </c>
      <c r="J79" s="753">
        <f>SUM('Band Calculations 1718'!H10)</f>
        <v>5.4545454545454543E-2</v>
      </c>
      <c r="K79" s="753">
        <f>SUM('Band Calculations 1718'!I10)</f>
        <v>0</v>
      </c>
      <c r="N79" s="6"/>
      <c r="O79" s="6"/>
    </row>
    <row r="80" spans="2:15" hidden="1" x14ac:dyDescent="0.25">
      <c r="B80" s="102" t="s">
        <v>71</v>
      </c>
      <c r="D80" s="612" t="s">
        <v>686</v>
      </c>
      <c r="E80" s="755">
        <f>SUM('Band Calculations - Rebase'!V114)</f>
        <v>64.25</v>
      </c>
      <c r="F80" s="756">
        <f t="shared" ref="F80:K80" si="25">$E$80*F79</f>
        <v>12.850000000000001</v>
      </c>
      <c r="G80" s="756">
        <f t="shared" si="25"/>
        <v>36.213636363636361</v>
      </c>
      <c r="H80" s="756">
        <f t="shared" si="25"/>
        <v>1.1681818181818182</v>
      </c>
      <c r="I80" s="756">
        <f t="shared" si="25"/>
        <v>10.513636363636364</v>
      </c>
      <c r="J80" s="756">
        <f t="shared" si="25"/>
        <v>3.5045454545454544</v>
      </c>
      <c r="K80" s="756">
        <f t="shared" si="25"/>
        <v>0</v>
      </c>
      <c r="N80" s="6"/>
      <c r="O80" s="6"/>
    </row>
    <row r="81" spans="2:15" hidden="1" x14ac:dyDescent="0.25">
      <c r="D81" s="612" t="s">
        <v>687</v>
      </c>
      <c r="E81" s="755">
        <f>E80</f>
        <v>64.25</v>
      </c>
      <c r="F81" s="756">
        <f>F80</f>
        <v>12.850000000000001</v>
      </c>
      <c r="G81" s="756">
        <f>G80</f>
        <v>36.213636363636361</v>
      </c>
      <c r="H81" s="756">
        <f>H80</f>
        <v>1.1681818181818182</v>
      </c>
      <c r="I81" s="756">
        <f>I80-K81</f>
        <v>1.5136363636363637</v>
      </c>
      <c r="J81" s="756">
        <f>J80</f>
        <v>3.5045454545454544</v>
      </c>
      <c r="K81" s="755">
        <f>N34</f>
        <v>9</v>
      </c>
      <c r="N81" s="6"/>
      <c r="O81" s="6"/>
    </row>
    <row r="82" spans="2:15" hidden="1" x14ac:dyDescent="0.25">
      <c r="F82" s="222">
        <f t="shared" ref="F82:K82" si="26">F81/$E$81</f>
        <v>0.2</v>
      </c>
      <c r="G82" s="222">
        <f t="shared" si="26"/>
        <v>0.5636363636363636</v>
      </c>
      <c r="H82" s="222">
        <f t="shared" si="26"/>
        <v>1.8181818181818181E-2</v>
      </c>
      <c r="I82" s="222">
        <f t="shared" si="26"/>
        <v>2.3558542624690485E-2</v>
      </c>
      <c r="J82" s="222">
        <f t="shared" si="26"/>
        <v>5.4545454545454543E-2</v>
      </c>
      <c r="K82" s="222">
        <f t="shared" si="26"/>
        <v>0.14007782101167315</v>
      </c>
      <c r="M82" s="222">
        <f>SUM(F82:K82)</f>
        <v>1</v>
      </c>
      <c r="N82" s="6"/>
      <c r="O82" s="6"/>
    </row>
    <row r="83" spans="2:15" hidden="1" x14ac:dyDescent="0.25"/>
    <row r="84" spans="2:15" hidden="1" x14ac:dyDescent="0.25">
      <c r="F84" s="753">
        <f>'Band Calculations 1718'!D15</f>
        <v>8.4033613445378148E-3</v>
      </c>
      <c r="G84" s="753">
        <f>'Band Calculations 1718'!E15</f>
        <v>0.27731092436974791</v>
      </c>
      <c r="H84" s="753">
        <f>'Band Calculations 1718'!F15</f>
        <v>0.59663865546218486</v>
      </c>
      <c r="I84" s="753">
        <f>'Band Calculations 1718'!G15</f>
        <v>2.5210084033613446E-2</v>
      </c>
      <c r="J84" s="753">
        <f>'Band Calculations 1718'!H15</f>
        <v>9.2436974789915971E-2</v>
      </c>
      <c r="K84" s="753">
        <f>'Band Calculations 1718'!I15</f>
        <v>0</v>
      </c>
      <c r="N84" s="6"/>
      <c r="O84" s="6"/>
    </row>
    <row r="85" spans="2:15" hidden="1" x14ac:dyDescent="0.25">
      <c r="B85" s="102" t="s">
        <v>75</v>
      </c>
      <c r="D85" s="612" t="s">
        <v>686</v>
      </c>
      <c r="E85" s="755">
        <f>'Band Calculations - Rebase'!V119</f>
        <v>134.91666666666669</v>
      </c>
      <c r="F85" s="756">
        <f t="shared" ref="F85:K85" si="27">$E$85*F84</f>
        <v>1.1337535014005604</v>
      </c>
      <c r="G85" s="756">
        <f t="shared" si="27"/>
        <v>37.413865546218496</v>
      </c>
      <c r="H85" s="756">
        <f t="shared" si="27"/>
        <v>80.496498599439789</v>
      </c>
      <c r="I85" s="756">
        <f t="shared" si="27"/>
        <v>3.401260504201681</v>
      </c>
      <c r="J85" s="756">
        <f t="shared" si="27"/>
        <v>12.471288515406165</v>
      </c>
      <c r="K85" s="756">
        <f t="shared" si="27"/>
        <v>0</v>
      </c>
      <c r="N85" s="6"/>
      <c r="O85" s="6"/>
    </row>
    <row r="86" spans="2:15" hidden="1" x14ac:dyDescent="0.25">
      <c r="D86" s="612" t="s">
        <v>687</v>
      </c>
      <c r="E86" s="755">
        <f>E85</f>
        <v>134.91666666666669</v>
      </c>
      <c r="F86" s="756">
        <f>F85</f>
        <v>1.1337535014005604</v>
      </c>
      <c r="G86" s="756">
        <f>G85</f>
        <v>37.413865546218496</v>
      </c>
      <c r="H86" s="756">
        <f>H85</f>
        <v>80.496498599439789</v>
      </c>
      <c r="I86" s="756">
        <f>I85-K86</f>
        <v>2.401260504201681</v>
      </c>
      <c r="J86" s="756">
        <f>J85</f>
        <v>12.471288515406165</v>
      </c>
      <c r="K86" s="755">
        <f>N39</f>
        <v>1</v>
      </c>
      <c r="N86" s="6"/>
      <c r="O86" s="6"/>
    </row>
    <row r="87" spans="2:15" hidden="1" x14ac:dyDescent="0.25">
      <c r="F87" s="222">
        <f t="shared" ref="F87:K87" si="28">F86/$E$86</f>
        <v>8.4033613445378148E-3</v>
      </c>
      <c r="G87" s="222">
        <f t="shared" si="28"/>
        <v>0.27731092436974791</v>
      </c>
      <c r="H87" s="222">
        <f t="shared" si="28"/>
        <v>0.59663865546218486</v>
      </c>
      <c r="I87" s="222">
        <f t="shared" si="28"/>
        <v>1.7798101328239758E-2</v>
      </c>
      <c r="J87" s="222">
        <f t="shared" si="28"/>
        <v>9.2436974789915971E-2</v>
      </c>
      <c r="K87" s="222">
        <f t="shared" si="28"/>
        <v>7.4119827053736867E-3</v>
      </c>
      <c r="M87" s="222">
        <f>SUM(F87:K87)</f>
        <v>1</v>
      </c>
      <c r="N87" s="6"/>
      <c r="O87" s="6"/>
    </row>
    <row r="88" spans="2:15" hidden="1" x14ac:dyDescent="0.25"/>
    <row r="89" spans="2:15" hidden="1" x14ac:dyDescent="0.25">
      <c r="F89" s="753">
        <f>'Band Calculations 1718'!D20</f>
        <v>0.23943661971830985</v>
      </c>
      <c r="G89" s="753">
        <f>'Band Calculations 1718'!E20</f>
        <v>0.3380281690140845</v>
      </c>
      <c r="H89" s="753">
        <f>'Band Calculations 1718'!F20</f>
        <v>0</v>
      </c>
      <c r="I89" s="753">
        <f>'Band Calculations 1718'!G20</f>
        <v>0.18309859154929578</v>
      </c>
      <c r="J89" s="753">
        <f>'Band Calculations 1718'!H20</f>
        <v>0.23943661971830985</v>
      </c>
      <c r="K89" s="753">
        <f>'Band Calculations 1718'!I20</f>
        <v>0</v>
      </c>
      <c r="N89" s="6"/>
      <c r="O89" s="6"/>
    </row>
    <row r="90" spans="2:15" hidden="1" x14ac:dyDescent="0.25">
      <c r="B90" s="102" t="s">
        <v>77</v>
      </c>
      <c r="D90" s="612" t="s">
        <v>686</v>
      </c>
      <c r="E90" s="755">
        <f>'Band Calculations - Rebase'!V124</f>
        <v>75</v>
      </c>
      <c r="F90" s="756">
        <f t="shared" ref="F90:K90" si="29">$E$90*F89</f>
        <v>17.95774647887324</v>
      </c>
      <c r="G90" s="756">
        <f t="shared" si="29"/>
        <v>25.352112676056336</v>
      </c>
      <c r="H90" s="756">
        <f t="shared" si="29"/>
        <v>0</v>
      </c>
      <c r="I90" s="756">
        <f t="shared" si="29"/>
        <v>13.732394366197184</v>
      </c>
      <c r="J90" s="756">
        <f t="shared" si="29"/>
        <v>17.95774647887324</v>
      </c>
      <c r="K90" s="756">
        <f t="shared" si="29"/>
        <v>0</v>
      </c>
      <c r="N90" s="6"/>
      <c r="O90" s="6"/>
    </row>
    <row r="91" spans="2:15" hidden="1" x14ac:dyDescent="0.25">
      <c r="D91" s="612" t="s">
        <v>687</v>
      </c>
      <c r="E91" s="755">
        <f>E90</f>
        <v>75</v>
      </c>
      <c r="F91" s="756">
        <f>F90-(K91-I90)</f>
        <v>16.690140845070424</v>
      </c>
      <c r="G91" s="756">
        <f>G90</f>
        <v>25.352112676056336</v>
      </c>
      <c r="H91" s="756">
        <f>H90</f>
        <v>0</v>
      </c>
      <c r="I91" s="756">
        <v>0</v>
      </c>
      <c r="J91" s="756">
        <f>J90</f>
        <v>17.95774647887324</v>
      </c>
      <c r="K91" s="755">
        <f>N44</f>
        <v>15</v>
      </c>
      <c r="N91" s="6"/>
      <c r="O91" s="6"/>
    </row>
    <row r="92" spans="2:15" hidden="1" x14ac:dyDescent="0.25">
      <c r="F92" s="222">
        <f t="shared" ref="F92:K92" si="30">F91/$E$91</f>
        <v>0.22253521126760564</v>
      </c>
      <c r="G92" s="222">
        <f t="shared" si="30"/>
        <v>0.3380281690140845</v>
      </c>
      <c r="H92" s="222">
        <f t="shared" si="30"/>
        <v>0</v>
      </c>
      <c r="I92" s="222">
        <f t="shared" si="30"/>
        <v>0</v>
      </c>
      <c r="J92" s="222">
        <f t="shared" si="30"/>
        <v>0.23943661971830987</v>
      </c>
      <c r="K92" s="222">
        <f t="shared" si="30"/>
        <v>0.2</v>
      </c>
      <c r="M92" s="222">
        <f>SUM(F92:K92)</f>
        <v>1</v>
      </c>
      <c r="N92" s="6"/>
      <c r="O92" s="6"/>
    </row>
    <row r="93" spans="2:15" hidden="1" x14ac:dyDescent="0.25"/>
    <row r="94" spans="2:15" hidden="1" x14ac:dyDescent="0.25">
      <c r="F94" s="753">
        <f>'Band Calculations 1718'!D21</f>
        <v>0</v>
      </c>
      <c r="G94" s="753">
        <f>'Band Calculations 1718'!E21</f>
        <v>9.8591549295774641E-2</v>
      </c>
      <c r="H94" s="753">
        <f>'Band Calculations 1718'!F21</f>
        <v>0.71830985915492962</v>
      </c>
      <c r="I94" s="753">
        <f>'Band Calculations 1718'!G21</f>
        <v>4.2253521126760563E-2</v>
      </c>
      <c r="J94" s="753">
        <f>'Band Calculations 1718'!H21</f>
        <v>0.14084507042253522</v>
      </c>
      <c r="K94" s="753">
        <f>'Band Calculations 1718'!I21</f>
        <v>0</v>
      </c>
      <c r="N94" s="6"/>
      <c r="O94" s="6"/>
    </row>
    <row r="95" spans="2:15" hidden="1" x14ac:dyDescent="0.25">
      <c r="B95" s="102" t="s">
        <v>78</v>
      </c>
      <c r="D95" s="612" t="s">
        <v>686</v>
      </c>
      <c r="E95" s="755">
        <f>'Band Calculations - Rebase'!V125</f>
        <v>155.91666666666669</v>
      </c>
      <c r="F95" s="756">
        <f t="shared" ref="F95:K95" si="31">$E$95*F94</f>
        <v>0</v>
      </c>
      <c r="G95" s="756">
        <f t="shared" si="31"/>
        <v>15.372065727699532</v>
      </c>
      <c r="H95" s="756">
        <f t="shared" si="31"/>
        <v>111.99647887323945</v>
      </c>
      <c r="I95" s="756">
        <f t="shared" si="31"/>
        <v>6.5880281690140849</v>
      </c>
      <c r="J95" s="756">
        <f t="shared" si="31"/>
        <v>21.960093896713619</v>
      </c>
      <c r="K95" s="756">
        <f t="shared" si="31"/>
        <v>0</v>
      </c>
      <c r="N95" s="6"/>
      <c r="O95" s="6"/>
    </row>
    <row r="96" spans="2:15" hidden="1" x14ac:dyDescent="0.25">
      <c r="B96" s="758"/>
      <c r="D96" s="612" t="s">
        <v>687</v>
      </c>
      <c r="E96" s="755">
        <f>E95</f>
        <v>155.91666666666669</v>
      </c>
      <c r="F96" s="756">
        <f>F95</f>
        <v>0</v>
      </c>
      <c r="G96" s="756">
        <f>G95</f>
        <v>15.372065727699532</v>
      </c>
      <c r="H96" s="756">
        <f>H95</f>
        <v>111.99647887323945</v>
      </c>
      <c r="I96" s="756">
        <f>I95-K96</f>
        <v>4.5880281690140849</v>
      </c>
      <c r="J96" s="756">
        <f>J95</f>
        <v>21.960093896713619</v>
      </c>
      <c r="K96" s="755">
        <f>N45</f>
        <v>2</v>
      </c>
      <c r="N96" s="6"/>
      <c r="O96" s="6"/>
    </row>
    <row r="97" spans="2:13" s="6" customFormat="1" hidden="1" x14ac:dyDescent="0.25">
      <c r="E97" s="46"/>
      <c r="F97" s="222">
        <f t="shared" ref="F97:K97" si="32">F96/$E$96</f>
        <v>0</v>
      </c>
      <c r="G97" s="222">
        <f t="shared" si="32"/>
        <v>9.8591549295774641E-2</v>
      </c>
      <c r="H97" s="222">
        <f t="shared" si="32"/>
        <v>0.71830985915492962</v>
      </c>
      <c r="I97" s="222">
        <f t="shared" si="32"/>
        <v>2.9426156081330312E-2</v>
      </c>
      <c r="J97" s="222">
        <f t="shared" si="32"/>
        <v>0.14084507042253522</v>
      </c>
      <c r="K97" s="222">
        <f t="shared" si="32"/>
        <v>1.282736504543025E-2</v>
      </c>
      <c r="L97" s="46"/>
      <c r="M97" s="222">
        <f>SUM(F97:K97)</f>
        <v>1</v>
      </c>
    </row>
    <row r="98" spans="2:13" s="6" customFormat="1" hidden="1" x14ac:dyDescent="0.25">
      <c r="E98" s="46"/>
      <c r="F98" s="46"/>
      <c r="G98" s="46"/>
      <c r="H98" s="46"/>
      <c r="I98" s="46"/>
      <c r="J98" s="46"/>
      <c r="K98" s="46"/>
      <c r="L98" s="46"/>
      <c r="M98" s="46"/>
    </row>
    <row r="99" spans="2:13" s="6" customFormat="1" hidden="1" x14ac:dyDescent="0.25">
      <c r="E99" s="46"/>
      <c r="F99" s="753">
        <f>'Band Calculations 1718'!D22</f>
        <v>6.0483870967741937E-2</v>
      </c>
      <c r="G99" s="753">
        <f>'Band Calculations 1718'!E22</f>
        <v>0.22177419354838709</v>
      </c>
      <c r="H99" s="753">
        <f>'Band Calculations 1718'!F22</f>
        <v>0.65322580645161288</v>
      </c>
      <c r="I99" s="753">
        <f>'Band Calculations 1718'!G22</f>
        <v>0</v>
      </c>
      <c r="J99" s="753">
        <f>'Band Calculations 1718'!H22</f>
        <v>6.4516129032258063E-2</v>
      </c>
      <c r="K99" s="753">
        <f>'Band Calculations 1718'!I22</f>
        <v>0</v>
      </c>
      <c r="L99" s="46"/>
      <c r="M99" s="46"/>
    </row>
    <row r="100" spans="2:13" s="6" customFormat="1" hidden="1" x14ac:dyDescent="0.25">
      <c r="B100" s="102" t="s">
        <v>55</v>
      </c>
      <c r="D100" s="612" t="s">
        <v>686</v>
      </c>
      <c r="E100" s="755">
        <f>'Band Calculations - Rebase'!V126</f>
        <v>270.50000000000006</v>
      </c>
      <c r="F100" s="756">
        <f t="shared" ref="F100:K100" si="33">$E$100*F99</f>
        <v>16.360887096774196</v>
      </c>
      <c r="G100" s="756">
        <f t="shared" si="33"/>
        <v>59.989919354838719</v>
      </c>
      <c r="H100" s="756">
        <f t="shared" si="33"/>
        <v>176.69758064516131</v>
      </c>
      <c r="I100" s="756">
        <f t="shared" si="33"/>
        <v>0</v>
      </c>
      <c r="J100" s="756">
        <f t="shared" si="33"/>
        <v>17.451612903225811</v>
      </c>
      <c r="K100" s="756">
        <f t="shared" si="33"/>
        <v>0</v>
      </c>
      <c r="L100" s="46"/>
      <c r="M100" s="46"/>
    </row>
    <row r="101" spans="2:13" s="6" customFormat="1" hidden="1" x14ac:dyDescent="0.25">
      <c r="D101" s="612" t="s">
        <v>687</v>
      </c>
      <c r="E101" s="755">
        <f>E100</f>
        <v>270.50000000000006</v>
      </c>
      <c r="F101" s="756">
        <f>F100-(K101-I100)</f>
        <v>11.360887096774196</v>
      </c>
      <c r="G101" s="756">
        <f>G100</f>
        <v>59.989919354838719</v>
      </c>
      <c r="H101" s="756">
        <f>H100</f>
        <v>176.69758064516131</v>
      </c>
      <c r="I101" s="756">
        <f>I100-(N101-L100)</f>
        <v>0</v>
      </c>
      <c r="J101" s="756">
        <f>J100</f>
        <v>17.451612903225811</v>
      </c>
      <c r="K101" s="755">
        <f>N46</f>
        <v>5</v>
      </c>
      <c r="L101" s="46"/>
      <c r="M101" s="46"/>
    </row>
    <row r="102" spans="2:13" s="6" customFormat="1" hidden="1" x14ac:dyDescent="0.25">
      <c r="E102" s="46"/>
      <c r="F102" s="222">
        <f t="shared" ref="F102:K102" si="34">F101/$E$101</f>
        <v>4.1999582612843596E-2</v>
      </c>
      <c r="G102" s="222">
        <f t="shared" si="34"/>
        <v>0.22177419354838709</v>
      </c>
      <c r="H102" s="222">
        <f t="shared" si="34"/>
        <v>0.65322580645161288</v>
      </c>
      <c r="I102" s="222">
        <f t="shared" si="34"/>
        <v>0</v>
      </c>
      <c r="J102" s="222">
        <f t="shared" si="34"/>
        <v>6.4516129032258063E-2</v>
      </c>
      <c r="K102" s="222">
        <f t="shared" si="34"/>
        <v>1.8484288354898331E-2</v>
      </c>
      <c r="L102" s="46"/>
      <c r="M102" s="222">
        <f>SUM(F102:K102)</f>
        <v>1</v>
      </c>
    </row>
    <row r="103" spans="2:13" s="6" customFormat="1" hidden="1" x14ac:dyDescent="0.25">
      <c r="E103" s="46"/>
      <c r="F103" s="46"/>
      <c r="G103" s="46"/>
      <c r="H103" s="46"/>
      <c r="I103" s="46"/>
      <c r="J103" s="46"/>
      <c r="K103" s="46"/>
      <c r="L103" s="46"/>
      <c r="M103" s="46"/>
    </row>
    <row r="104" spans="2:13" s="6" customFormat="1" hidden="1" x14ac:dyDescent="0.25">
      <c r="E104" s="46"/>
      <c r="F104" s="753">
        <f>'Band Calculations 1718'!D23</f>
        <v>0.50370370370370365</v>
      </c>
      <c r="G104" s="753">
        <f>'Band Calculations 1718'!E23</f>
        <v>0</v>
      </c>
      <c r="H104" s="753">
        <f>'Band Calculations 1718'!F23</f>
        <v>0.28888888888888886</v>
      </c>
      <c r="I104" s="753">
        <f>'Band Calculations 1718'!G23</f>
        <v>0.2074074074074074</v>
      </c>
      <c r="J104" s="753">
        <f>'Band Calculations 1718'!H23</f>
        <v>0</v>
      </c>
      <c r="K104" s="753">
        <f>'Band Calculations 1718'!I23</f>
        <v>0</v>
      </c>
      <c r="L104" s="46"/>
      <c r="M104" s="46"/>
    </row>
    <row r="105" spans="2:13" s="6" customFormat="1" hidden="1" x14ac:dyDescent="0.25">
      <c r="B105" s="102" t="s">
        <v>80</v>
      </c>
      <c r="D105" s="612" t="s">
        <v>686</v>
      </c>
      <c r="E105" s="755">
        <f>'Band Calculations - Rebase'!V127</f>
        <v>148.33333333333334</v>
      </c>
      <c r="F105" s="756">
        <f t="shared" ref="F105:K105" si="35">$E$105*F104</f>
        <v>74.716049382716051</v>
      </c>
      <c r="G105" s="756">
        <f t="shared" si="35"/>
        <v>0</v>
      </c>
      <c r="H105" s="756">
        <f t="shared" si="35"/>
        <v>42.851851851851848</v>
      </c>
      <c r="I105" s="756">
        <f t="shared" si="35"/>
        <v>30.765432098765434</v>
      </c>
      <c r="J105" s="756">
        <f t="shared" si="35"/>
        <v>0</v>
      </c>
      <c r="K105" s="756">
        <f t="shared" si="35"/>
        <v>0</v>
      </c>
      <c r="L105" s="46"/>
      <c r="M105" s="46"/>
    </row>
    <row r="106" spans="2:13" s="6" customFormat="1" hidden="1" x14ac:dyDescent="0.25">
      <c r="D106" s="612" t="s">
        <v>687</v>
      </c>
      <c r="E106" s="755">
        <f>E105</f>
        <v>148.33333333333334</v>
      </c>
      <c r="F106" s="756">
        <f>F105-(K106-I105)</f>
        <v>67.481481481481481</v>
      </c>
      <c r="G106" s="756">
        <f>G105</f>
        <v>0</v>
      </c>
      <c r="H106" s="756">
        <f>H105</f>
        <v>42.851851851851848</v>
      </c>
      <c r="I106" s="756">
        <v>0</v>
      </c>
      <c r="J106" s="756">
        <f>J105</f>
        <v>0</v>
      </c>
      <c r="K106" s="755">
        <f>N47</f>
        <v>38</v>
      </c>
      <c r="L106" s="46"/>
      <c r="M106" s="46"/>
    </row>
    <row r="107" spans="2:13" s="6" customFormat="1" hidden="1" x14ac:dyDescent="0.25">
      <c r="E107" s="46"/>
      <c r="F107" s="222">
        <f t="shared" ref="F107:K107" si="36">F106/$E$106</f>
        <v>0.45493133583021222</v>
      </c>
      <c r="G107" s="222">
        <f t="shared" si="36"/>
        <v>0</v>
      </c>
      <c r="H107" s="222">
        <f t="shared" si="36"/>
        <v>0.28888888888888886</v>
      </c>
      <c r="I107" s="222">
        <f t="shared" si="36"/>
        <v>0</v>
      </c>
      <c r="J107" s="222">
        <f t="shared" si="36"/>
        <v>0</v>
      </c>
      <c r="K107" s="222">
        <f t="shared" si="36"/>
        <v>0.25617977528089886</v>
      </c>
      <c r="L107" s="46"/>
      <c r="M107" s="222">
        <f>SUM(F107:K107)</f>
        <v>0.99999999999999989</v>
      </c>
    </row>
    <row r="108" spans="2:13" s="6" customFormat="1" hidden="1" x14ac:dyDescent="0.25">
      <c r="E108" s="46"/>
      <c r="F108" s="222"/>
      <c r="G108" s="222"/>
      <c r="H108" s="222"/>
      <c r="I108" s="222"/>
      <c r="J108" s="222"/>
      <c r="K108" s="222"/>
      <c r="L108" s="46"/>
      <c r="M108" s="222"/>
    </row>
    <row r="109" spans="2:13" s="6" customFormat="1" hidden="1" x14ac:dyDescent="0.25">
      <c r="B109" s="612"/>
      <c r="C109" s="612"/>
      <c r="D109" s="612"/>
      <c r="E109" s="672"/>
      <c r="F109" s="790">
        <f>'Band Calculations 1718'!D14</f>
        <v>7.0866141732283464E-2</v>
      </c>
      <c r="G109" s="790">
        <f>'Band Calculations 1718'!E14</f>
        <v>0.16535433070866143</v>
      </c>
      <c r="H109" s="790">
        <f>'Band Calculations 1718'!F14</f>
        <v>0.51968503937007871</v>
      </c>
      <c r="I109" s="790">
        <f>'Band Calculations 1718'!G14</f>
        <v>3.937007874015748E-2</v>
      </c>
      <c r="J109" s="790">
        <f>'Band Calculations 1718'!H14</f>
        <v>0.20472440944881889</v>
      </c>
      <c r="K109" s="790">
        <f>'Band Calculations 1718'!I14</f>
        <v>0</v>
      </c>
      <c r="L109" s="672"/>
      <c r="M109" s="672"/>
    </row>
    <row r="110" spans="2:13" s="6" customFormat="1" hidden="1" x14ac:dyDescent="0.25">
      <c r="B110" s="791" t="s">
        <v>74</v>
      </c>
      <c r="C110" s="612"/>
      <c r="D110" s="612" t="s">
        <v>686</v>
      </c>
      <c r="E110" s="792">
        <f>'[15]Band Calculations - Rebase'!V118</f>
        <v>118.91666666666667</v>
      </c>
      <c r="F110" s="793">
        <f t="shared" ref="F110:K110" si="37">$E$110*F109</f>
        <v>8.4271653543307092</v>
      </c>
      <c r="G110" s="793">
        <f t="shared" si="37"/>
        <v>19.663385826771655</v>
      </c>
      <c r="H110" s="793">
        <f t="shared" si="37"/>
        <v>61.799212598425193</v>
      </c>
      <c r="I110" s="793">
        <f t="shared" si="37"/>
        <v>4.6817585301837275</v>
      </c>
      <c r="J110" s="793">
        <f t="shared" si="37"/>
        <v>24.34514435695538</v>
      </c>
      <c r="K110" s="793">
        <f t="shared" si="37"/>
        <v>0</v>
      </c>
      <c r="L110" s="672"/>
      <c r="M110" s="672"/>
    </row>
    <row r="111" spans="2:13" s="6" customFormat="1" hidden="1" x14ac:dyDescent="0.25">
      <c r="B111" s="794"/>
      <c r="C111" s="612"/>
      <c r="D111" s="612" t="s">
        <v>687</v>
      </c>
      <c r="E111" s="792">
        <f>E110</f>
        <v>118.91666666666667</v>
      </c>
      <c r="F111" s="793">
        <f>F110</f>
        <v>8.4271653543307092</v>
      </c>
      <c r="G111" s="793">
        <f>G110</f>
        <v>19.663385826771655</v>
      </c>
      <c r="H111" s="793">
        <f>H110</f>
        <v>61.799212598425193</v>
      </c>
      <c r="I111" s="793">
        <f>I110-K111</f>
        <v>1.6817585301837275</v>
      </c>
      <c r="J111" s="793">
        <f>J110</f>
        <v>24.34514435695538</v>
      </c>
      <c r="K111" s="792">
        <f>N38</f>
        <v>3</v>
      </c>
      <c r="L111" s="672"/>
      <c r="M111" s="672"/>
    </row>
    <row r="112" spans="2:13" s="6" customFormat="1" hidden="1" x14ac:dyDescent="0.25">
      <c r="B112" s="612"/>
      <c r="C112" s="612"/>
      <c r="D112" s="612"/>
      <c r="E112" s="672"/>
      <c r="F112" s="795">
        <f t="shared" ref="F112:K112" si="38">F111/$E$111</f>
        <v>7.0866141732283464E-2</v>
      </c>
      <c r="G112" s="795">
        <f t="shared" si="38"/>
        <v>0.16535433070866143</v>
      </c>
      <c r="H112" s="795">
        <f t="shared" si="38"/>
        <v>0.51968503937007871</v>
      </c>
      <c r="I112" s="795">
        <f t="shared" si="38"/>
        <v>1.4142328214579346E-2</v>
      </c>
      <c r="J112" s="795">
        <f t="shared" si="38"/>
        <v>0.20472440944881889</v>
      </c>
      <c r="K112" s="795">
        <f t="shared" si="38"/>
        <v>2.5227750525578133E-2</v>
      </c>
      <c r="L112" s="672"/>
      <c r="M112" s="795">
        <f>SUM(F112:K112)</f>
        <v>1</v>
      </c>
    </row>
    <row r="114" spans="1:20" x14ac:dyDescent="0.25">
      <c r="B114" s="770">
        <v>43191</v>
      </c>
      <c r="C114" s="771"/>
      <c r="D114" s="771"/>
      <c r="E114" s="771"/>
      <c r="F114" s="772"/>
      <c r="G114" s="772"/>
      <c r="H114" s="772"/>
      <c r="I114" s="772"/>
      <c r="J114" s="772"/>
      <c r="K114" s="772"/>
      <c r="L114" s="772"/>
      <c r="M114" s="772"/>
      <c r="N114" s="772"/>
      <c r="O114" s="772"/>
      <c r="P114" s="772"/>
      <c r="Q114" s="772"/>
      <c r="R114" s="772"/>
    </row>
    <row r="115" spans="1:20" x14ac:dyDescent="0.25">
      <c r="B115" s="772"/>
      <c r="C115" s="772"/>
      <c r="D115" s="772"/>
      <c r="E115" s="772"/>
      <c r="F115" s="772"/>
      <c r="G115" s="772"/>
      <c r="H115" s="772">
        <v>8</v>
      </c>
      <c r="I115" s="772">
        <v>9</v>
      </c>
      <c r="J115" s="772">
        <v>10</v>
      </c>
      <c r="K115" s="772">
        <v>11</v>
      </c>
      <c r="L115" s="772">
        <v>12</v>
      </c>
      <c r="M115" s="772">
        <v>13</v>
      </c>
      <c r="N115" s="772">
        <v>14</v>
      </c>
      <c r="O115" s="772">
        <v>15</v>
      </c>
      <c r="P115" s="772">
        <v>16</v>
      </c>
      <c r="Q115" s="772">
        <v>17</v>
      </c>
      <c r="R115" s="772">
        <v>18</v>
      </c>
    </row>
    <row r="116" spans="1:20" ht="21" x14ac:dyDescent="0.25">
      <c r="B116" s="773" t="s">
        <v>66</v>
      </c>
      <c r="C116" s="774" t="s">
        <v>51</v>
      </c>
      <c r="D116" s="775" t="s">
        <v>688</v>
      </c>
      <c r="E116" s="776" t="s">
        <v>265</v>
      </c>
      <c r="F116" s="777" t="s">
        <v>266</v>
      </c>
      <c r="G116" s="776" t="s">
        <v>267</v>
      </c>
      <c r="H116" s="777" t="s">
        <v>257</v>
      </c>
      <c r="I116" s="776" t="s">
        <v>268</v>
      </c>
      <c r="J116" s="777" t="s">
        <v>269</v>
      </c>
      <c r="K116" s="776" t="s">
        <v>270</v>
      </c>
      <c r="L116" s="777" t="s">
        <v>271</v>
      </c>
      <c r="M116" s="778" t="s">
        <v>272</v>
      </c>
      <c r="N116" s="779" t="s">
        <v>273</v>
      </c>
      <c r="O116" s="776" t="s">
        <v>689</v>
      </c>
      <c r="P116" s="777" t="s">
        <v>690</v>
      </c>
      <c r="Q116" s="778" t="s">
        <v>631</v>
      </c>
      <c r="R116" s="779" t="s">
        <v>691</v>
      </c>
    </row>
    <row r="117" spans="1:20" x14ac:dyDescent="0.25">
      <c r="A117" s="185">
        <v>9257010</v>
      </c>
      <c r="B117" s="780" t="s">
        <v>67</v>
      </c>
      <c r="C117" s="781">
        <v>3</v>
      </c>
      <c r="D117" s="782">
        <f t="shared" ref="D117:D125" si="39">E117+G117+I117+K117+M117+O117+Q117</f>
        <v>52</v>
      </c>
      <c r="E117" s="783">
        <v>6</v>
      </c>
      <c r="F117" s="784">
        <f>E117/D117</f>
        <v>0.11538461538461539</v>
      </c>
      <c r="G117" s="785">
        <v>15</v>
      </c>
      <c r="H117" s="784">
        <f>G117/D117</f>
        <v>0.28846153846153844</v>
      </c>
      <c r="I117" s="785">
        <v>3</v>
      </c>
      <c r="J117" s="784">
        <f>I117/D117</f>
        <v>5.7692307692307696E-2</v>
      </c>
      <c r="K117" s="785">
        <v>2</v>
      </c>
      <c r="L117" s="784">
        <f>K117/D117</f>
        <v>3.8461538461538464E-2</v>
      </c>
      <c r="M117" s="786">
        <v>5</v>
      </c>
      <c r="N117" s="787">
        <f>M117/D117</f>
        <v>9.6153846153846159E-2</v>
      </c>
      <c r="O117" s="785">
        <v>13</v>
      </c>
      <c r="P117" s="784">
        <f>O117/D117</f>
        <v>0.25</v>
      </c>
      <c r="Q117" s="786">
        <v>8</v>
      </c>
      <c r="R117" s="787">
        <f>Q117/D117</f>
        <v>0.15384615384615385</v>
      </c>
      <c r="T117" s="807"/>
    </row>
    <row r="118" spans="1:20" x14ac:dyDescent="0.25">
      <c r="A118" s="185">
        <v>9257005</v>
      </c>
      <c r="B118" s="780" t="s">
        <v>68</v>
      </c>
      <c r="C118" s="781">
        <v>3</v>
      </c>
      <c r="D118" s="782">
        <f t="shared" si="39"/>
        <v>75</v>
      </c>
      <c r="E118" s="783">
        <v>10</v>
      </c>
      <c r="F118" s="784">
        <f t="shared" ref="F118:F134" si="40">E118/D118</f>
        <v>0.13333333333333333</v>
      </c>
      <c r="G118" s="785">
        <v>17</v>
      </c>
      <c r="H118" s="784">
        <f t="shared" ref="H118:H134" si="41">G118/D118</f>
        <v>0.22666666666666666</v>
      </c>
      <c r="I118" s="785">
        <v>7</v>
      </c>
      <c r="J118" s="784">
        <f t="shared" ref="J118:J134" si="42">I118/D118</f>
        <v>9.3333333333333338E-2</v>
      </c>
      <c r="K118" s="785">
        <v>7</v>
      </c>
      <c r="L118" s="784">
        <f t="shared" ref="L118:L134" si="43">K118/D118</f>
        <v>9.3333333333333338E-2</v>
      </c>
      <c r="M118" s="786">
        <v>12</v>
      </c>
      <c r="N118" s="787">
        <f t="shared" ref="N118:N134" si="44">M118/D118</f>
        <v>0.16</v>
      </c>
      <c r="O118" s="785">
        <v>15</v>
      </c>
      <c r="P118" s="784">
        <f t="shared" ref="P118:P134" si="45">O118/D118</f>
        <v>0.2</v>
      </c>
      <c r="Q118" s="786">
        <v>7</v>
      </c>
      <c r="R118" s="787">
        <f t="shared" ref="R118:R134" si="46">Q118/D118</f>
        <v>9.3333333333333338E-2</v>
      </c>
      <c r="T118" s="807"/>
    </row>
    <row r="119" spans="1:20" x14ac:dyDescent="0.25">
      <c r="A119" s="185">
        <v>9257025</v>
      </c>
      <c r="B119" s="780" t="s">
        <v>69</v>
      </c>
      <c r="C119" s="781">
        <v>3</v>
      </c>
      <c r="D119" s="782">
        <f t="shared" si="39"/>
        <v>67</v>
      </c>
      <c r="E119" s="783">
        <v>3</v>
      </c>
      <c r="F119" s="784">
        <f t="shared" si="40"/>
        <v>4.4776119402985072E-2</v>
      </c>
      <c r="G119" s="785">
        <v>18</v>
      </c>
      <c r="H119" s="784">
        <f t="shared" si="41"/>
        <v>0.26865671641791045</v>
      </c>
      <c r="I119" s="785">
        <v>12</v>
      </c>
      <c r="J119" s="784">
        <f t="shared" si="42"/>
        <v>0.17910447761194029</v>
      </c>
      <c r="K119" s="785">
        <v>10</v>
      </c>
      <c r="L119" s="784">
        <f t="shared" si="43"/>
        <v>0.14925373134328357</v>
      </c>
      <c r="M119" s="786">
        <v>10</v>
      </c>
      <c r="N119" s="787">
        <f t="shared" si="44"/>
        <v>0.14925373134328357</v>
      </c>
      <c r="O119" s="785">
        <v>8</v>
      </c>
      <c r="P119" s="784">
        <f t="shared" si="45"/>
        <v>0.11940298507462686</v>
      </c>
      <c r="Q119" s="786">
        <v>6</v>
      </c>
      <c r="R119" s="787">
        <f t="shared" si="46"/>
        <v>8.9552238805970144E-2</v>
      </c>
      <c r="T119" s="807"/>
    </row>
    <row r="120" spans="1:20" x14ac:dyDescent="0.25">
      <c r="A120" s="185">
        <v>9257011</v>
      </c>
      <c r="B120" s="780" t="s">
        <v>70</v>
      </c>
      <c r="C120" s="781">
        <v>3</v>
      </c>
      <c r="D120" s="782">
        <f t="shared" si="39"/>
        <v>54</v>
      </c>
      <c r="E120" s="783">
        <v>7</v>
      </c>
      <c r="F120" s="784">
        <f t="shared" si="40"/>
        <v>0.12962962962962962</v>
      </c>
      <c r="G120" s="785">
        <v>17</v>
      </c>
      <c r="H120" s="784">
        <f t="shared" si="41"/>
        <v>0.31481481481481483</v>
      </c>
      <c r="I120" s="785">
        <v>6</v>
      </c>
      <c r="J120" s="784">
        <f t="shared" si="42"/>
        <v>0.1111111111111111</v>
      </c>
      <c r="K120" s="785">
        <v>8</v>
      </c>
      <c r="L120" s="784">
        <f t="shared" si="43"/>
        <v>0.14814814814814814</v>
      </c>
      <c r="M120" s="786">
        <v>3</v>
      </c>
      <c r="N120" s="787">
        <f t="shared" si="44"/>
        <v>5.5555555555555552E-2</v>
      </c>
      <c r="O120" s="785">
        <v>7</v>
      </c>
      <c r="P120" s="784">
        <f t="shared" si="45"/>
        <v>0.12962962962962962</v>
      </c>
      <c r="Q120" s="786">
        <v>6</v>
      </c>
      <c r="R120" s="787">
        <f t="shared" si="46"/>
        <v>0.1111111111111111</v>
      </c>
      <c r="T120" s="807"/>
    </row>
    <row r="121" spans="1:20" x14ac:dyDescent="0.25">
      <c r="A121" s="185">
        <v>9257024</v>
      </c>
      <c r="B121" s="780" t="s">
        <v>71</v>
      </c>
      <c r="C121" s="781">
        <v>3</v>
      </c>
      <c r="D121" s="782">
        <f t="shared" si="39"/>
        <v>69</v>
      </c>
      <c r="E121" s="785">
        <v>6</v>
      </c>
      <c r="F121" s="784">
        <f t="shared" si="40"/>
        <v>8.6956521739130432E-2</v>
      </c>
      <c r="G121" s="785">
        <v>24</v>
      </c>
      <c r="H121" s="784">
        <f t="shared" si="41"/>
        <v>0.34782608695652173</v>
      </c>
      <c r="I121" s="785">
        <v>8</v>
      </c>
      <c r="J121" s="784">
        <f t="shared" si="42"/>
        <v>0.11594202898550725</v>
      </c>
      <c r="K121" s="785">
        <v>11</v>
      </c>
      <c r="L121" s="784">
        <f t="shared" si="43"/>
        <v>0.15942028985507245</v>
      </c>
      <c r="M121" s="786">
        <v>4</v>
      </c>
      <c r="N121" s="787">
        <f t="shared" si="44"/>
        <v>5.7971014492753624E-2</v>
      </c>
      <c r="O121" s="785">
        <v>7</v>
      </c>
      <c r="P121" s="784">
        <f t="shared" si="45"/>
        <v>0.10144927536231885</v>
      </c>
      <c r="Q121" s="786">
        <v>9</v>
      </c>
      <c r="R121" s="787">
        <f t="shared" si="46"/>
        <v>0.13043478260869565</v>
      </c>
      <c r="T121" s="807"/>
    </row>
    <row r="122" spans="1:20" x14ac:dyDescent="0.25">
      <c r="A122" s="185">
        <v>9257031</v>
      </c>
      <c r="B122" s="780" t="s">
        <v>98</v>
      </c>
      <c r="C122" s="781">
        <v>3</v>
      </c>
      <c r="D122" s="782">
        <f t="shared" si="39"/>
        <v>0</v>
      </c>
      <c r="E122" s="785">
        <v>0</v>
      </c>
      <c r="F122" s="784">
        <v>0</v>
      </c>
      <c r="G122" s="785">
        <v>0</v>
      </c>
      <c r="H122" s="784">
        <v>0</v>
      </c>
      <c r="I122" s="785">
        <v>0</v>
      </c>
      <c r="J122" s="784">
        <v>0</v>
      </c>
      <c r="K122" s="785">
        <v>0</v>
      </c>
      <c r="L122" s="784">
        <v>0</v>
      </c>
      <c r="M122" s="786">
        <v>0</v>
      </c>
      <c r="N122" s="787">
        <v>1</v>
      </c>
      <c r="O122" s="785">
        <v>0</v>
      </c>
      <c r="P122" s="784">
        <v>0</v>
      </c>
      <c r="Q122" s="786">
        <v>0</v>
      </c>
      <c r="R122" s="787">
        <v>0</v>
      </c>
      <c r="T122" s="807"/>
    </row>
    <row r="123" spans="1:20" x14ac:dyDescent="0.25">
      <c r="A123" s="185">
        <v>9257033</v>
      </c>
      <c r="B123" s="780" t="s">
        <v>72</v>
      </c>
      <c r="C123" s="781">
        <v>3</v>
      </c>
      <c r="D123" s="782">
        <f t="shared" si="39"/>
        <v>86</v>
      </c>
      <c r="E123" s="785">
        <v>6</v>
      </c>
      <c r="F123" s="784">
        <f t="shared" si="40"/>
        <v>6.9767441860465115E-2</v>
      </c>
      <c r="G123" s="785">
        <v>17</v>
      </c>
      <c r="H123" s="784">
        <f t="shared" si="41"/>
        <v>0.19767441860465115</v>
      </c>
      <c r="I123" s="785">
        <v>27</v>
      </c>
      <c r="J123" s="784">
        <f t="shared" si="42"/>
        <v>0.31395348837209303</v>
      </c>
      <c r="K123" s="788">
        <v>9</v>
      </c>
      <c r="L123" s="784">
        <f t="shared" si="43"/>
        <v>0.10465116279069768</v>
      </c>
      <c r="M123" s="786">
        <v>19</v>
      </c>
      <c r="N123" s="787">
        <f t="shared" si="44"/>
        <v>0.22093023255813954</v>
      </c>
      <c r="O123" s="788">
        <v>8</v>
      </c>
      <c r="P123" s="784">
        <f t="shared" si="45"/>
        <v>9.3023255813953487E-2</v>
      </c>
      <c r="Q123" s="786">
        <v>0</v>
      </c>
      <c r="R123" s="787">
        <f t="shared" si="46"/>
        <v>0</v>
      </c>
      <c r="T123" s="807"/>
    </row>
    <row r="124" spans="1:20" x14ac:dyDescent="0.25">
      <c r="A124" s="185">
        <v>9257008</v>
      </c>
      <c r="B124" s="780" t="s">
        <v>73</v>
      </c>
      <c r="C124" s="781">
        <v>3</v>
      </c>
      <c r="D124" s="782">
        <f t="shared" si="39"/>
        <v>91</v>
      </c>
      <c r="E124" s="785">
        <v>2</v>
      </c>
      <c r="F124" s="784">
        <f t="shared" si="40"/>
        <v>2.197802197802198E-2</v>
      </c>
      <c r="G124" s="785">
        <v>56</v>
      </c>
      <c r="H124" s="784">
        <f t="shared" si="41"/>
        <v>0.61538461538461542</v>
      </c>
      <c r="I124" s="785">
        <v>4</v>
      </c>
      <c r="J124" s="784">
        <f t="shared" si="42"/>
        <v>4.3956043956043959E-2</v>
      </c>
      <c r="K124" s="785">
        <v>2</v>
      </c>
      <c r="L124" s="784">
        <f t="shared" si="43"/>
        <v>2.197802197802198E-2</v>
      </c>
      <c r="M124" s="789">
        <v>14</v>
      </c>
      <c r="N124" s="787">
        <f t="shared" si="44"/>
        <v>0.15384615384615385</v>
      </c>
      <c r="O124" s="785">
        <v>13</v>
      </c>
      <c r="P124" s="784">
        <f t="shared" si="45"/>
        <v>0.14285714285714285</v>
      </c>
      <c r="Q124" s="789">
        <v>0</v>
      </c>
      <c r="R124" s="787">
        <f t="shared" si="46"/>
        <v>0</v>
      </c>
      <c r="T124" s="807"/>
    </row>
    <row r="125" spans="1:20" x14ac:dyDescent="0.25">
      <c r="A125" s="185">
        <v>9257034</v>
      </c>
      <c r="B125" s="780" t="s">
        <v>74</v>
      </c>
      <c r="C125" s="781">
        <v>4</v>
      </c>
      <c r="D125" s="782">
        <f t="shared" si="39"/>
        <v>114</v>
      </c>
      <c r="E125" s="785">
        <v>5</v>
      </c>
      <c r="F125" s="784">
        <f t="shared" si="40"/>
        <v>4.3859649122807015E-2</v>
      </c>
      <c r="G125" s="785">
        <v>19</v>
      </c>
      <c r="H125" s="784">
        <f t="shared" si="41"/>
        <v>0.16666666666666666</v>
      </c>
      <c r="I125" s="785">
        <v>48</v>
      </c>
      <c r="J125" s="784">
        <f t="shared" si="42"/>
        <v>0.42105263157894735</v>
      </c>
      <c r="K125" s="785">
        <v>4</v>
      </c>
      <c r="L125" s="784">
        <f t="shared" si="43"/>
        <v>3.5087719298245612E-2</v>
      </c>
      <c r="M125" s="786">
        <v>30</v>
      </c>
      <c r="N125" s="787">
        <f t="shared" si="44"/>
        <v>0.26315789473684209</v>
      </c>
      <c r="O125" s="785">
        <v>5</v>
      </c>
      <c r="P125" s="784">
        <f t="shared" si="45"/>
        <v>4.3859649122807015E-2</v>
      </c>
      <c r="Q125" s="786">
        <v>3</v>
      </c>
      <c r="R125" s="787">
        <f t="shared" si="46"/>
        <v>2.6315789473684209E-2</v>
      </c>
      <c r="T125" s="807"/>
    </row>
    <row r="126" spans="1:20" x14ac:dyDescent="0.25">
      <c r="A126" s="185">
        <v>9257002</v>
      </c>
      <c r="B126" s="780" t="s">
        <v>75</v>
      </c>
      <c r="C126" s="781">
        <v>4</v>
      </c>
      <c r="D126" s="782">
        <f>E126+G126+I126+K126+M126+O126+Q126</f>
        <v>139</v>
      </c>
      <c r="E126" s="785">
        <v>1</v>
      </c>
      <c r="F126" s="784">
        <f t="shared" si="40"/>
        <v>7.1942446043165471E-3</v>
      </c>
      <c r="G126" s="785">
        <v>18</v>
      </c>
      <c r="H126" s="784">
        <f t="shared" si="41"/>
        <v>0.12949640287769784</v>
      </c>
      <c r="I126" s="785">
        <v>74</v>
      </c>
      <c r="J126" s="784">
        <f t="shared" si="42"/>
        <v>0.53237410071942448</v>
      </c>
      <c r="K126" s="785">
        <v>9</v>
      </c>
      <c r="L126" s="784">
        <f t="shared" si="43"/>
        <v>6.4748201438848921E-2</v>
      </c>
      <c r="M126" s="786">
        <v>26</v>
      </c>
      <c r="N126" s="787">
        <f t="shared" si="44"/>
        <v>0.18705035971223022</v>
      </c>
      <c r="O126" s="785">
        <v>10</v>
      </c>
      <c r="P126" s="784">
        <f t="shared" si="45"/>
        <v>7.1942446043165464E-2</v>
      </c>
      <c r="Q126" s="786">
        <v>1</v>
      </c>
      <c r="R126" s="787">
        <f t="shared" si="46"/>
        <v>7.1942446043165471E-3</v>
      </c>
      <c r="T126" s="807"/>
    </row>
    <row r="127" spans="1:20" x14ac:dyDescent="0.25">
      <c r="A127" s="185">
        <v>9257009</v>
      </c>
      <c r="B127" s="780" t="s">
        <v>76</v>
      </c>
      <c r="C127" s="781">
        <v>4</v>
      </c>
      <c r="D127" s="782">
        <f t="shared" ref="D127:D134" si="47">E127+G127+I127+K127+M127+O127+Q127</f>
        <v>128</v>
      </c>
      <c r="E127" s="785">
        <v>0</v>
      </c>
      <c r="F127" s="784">
        <f t="shared" si="40"/>
        <v>0</v>
      </c>
      <c r="G127" s="785">
        <v>60</v>
      </c>
      <c r="H127" s="784">
        <f t="shared" si="41"/>
        <v>0.46875</v>
      </c>
      <c r="I127" s="785">
        <v>19</v>
      </c>
      <c r="J127" s="784">
        <f t="shared" si="42"/>
        <v>0.1484375</v>
      </c>
      <c r="K127" s="785">
        <v>4</v>
      </c>
      <c r="L127" s="784">
        <f t="shared" si="43"/>
        <v>3.125E-2</v>
      </c>
      <c r="M127" s="786">
        <v>16</v>
      </c>
      <c r="N127" s="787">
        <f t="shared" si="44"/>
        <v>0.125</v>
      </c>
      <c r="O127" s="785">
        <v>29</v>
      </c>
      <c r="P127" s="784">
        <f t="shared" si="45"/>
        <v>0.2265625</v>
      </c>
      <c r="Q127" s="786">
        <v>0</v>
      </c>
      <c r="R127" s="787">
        <f t="shared" si="46"/>
        <v>0</v>
      </c>
      <c r="T127" s="807"/>
    </row>
    <row r="128" spans="1:20" x14ac:dyDescent="0.25">
      <c r="A128" s="185">
        <v>9257029</v>
      </c>
      <c r="B128" s="780" t="s">
        <v>99</v>
      </c>
      <c r="C128" s="781">
        <v>4</v>
      </c>
      <c r="D128" s="782">
        <f t="shared" si="47"/>
        <v>0</v>
      </c>
      <c r="E128" s="785">
        <v>0</v>
      </c>
      <c r="F128" s="784">
        <v>0</v>
      </c>
      <c r="G128" s="785">
        <v>0</v>
      </c>
      <c r="H128" s="784">
        <v>0</v>
      </c>
      <c r="I128" s="785">
        <v>0</v>
      </c>
      <c r="J128" s="784">
        <v>0</v>
      </c>
      <c r="K128" s="785">
        <v>0</v>
      </c>
      <c r="L128" s="784">
        <v>0</v>
      </c>
      <c r="M128" s="786">
        <v>0</v>
      </c>
      <c r="N128" s="787">
        <v>1</v>
      </c>
      <c r="O128" s="785">
        <v>0</v>
      </c>
      <c r="P128" s="784">
        <v>0</v>
      </c>
      <c r="Q128" s="786">
        <v>0</v>
      </c>
      <c r="R128" s="787">
        <v>0</v>
      </c>
      <c r="T128" s="807"/>
    </row>
    <row r="129" spans="1:20" x14ac:dyDescent="0.25">
      <c r="A129" s="185">
        <v>9257032</v>
      </c>
      <c r="B129" s="780" t="s">
        <v>100</v>
      </c>
      <c r="C129" s="781">
        <v>4</v>
      </c>
      <c r="D129" s="782">
        <f t="shared" si="47"/>
        <v>0</v>
      </c>
      <c r="E129" s="785">
        <v>0</v>
      </c>
      <c r="F129" s="784">
        <v>0</v>
      </c>
      <c r="G129" s="785">
        <v>0</v>
      </c>
      <c r="H129" s="784">
        <v>0</v>
      </c>
      <c r="I129" s="785">
        <v>0</v>
      </c>
      <c r="J129" s="784">
        <v>0</v>
      </c>
      <c r="K129" s="785">
        <v>0</v>
      </c>
      <c r="L129" s="784">
        <v>0</v>
      </c>
      <c r="M129" s="786">
        <v>0</v>
      </c>
      <c r="N129" s="787">
        <v>1</v>
      </c>
      <c r="O129" s="785">
        <v>0</v>
      </c>
      <c r="P129" s="784">
        <v>0</v>
      </c>
      <c r="Q129" s="786">
        <v>0</v>
      </c>
      <c r="R129" s="787">
        <v>0</v>
      </c>
      <c r="T129" s="807"/>
    </row>
    <row r="130" spans="1:20" x14ac:dyDescent="0.25">
      <c r="A130" s="185">
        <v>9257030</v>
      </c>
      <c r="B130" s="780" t="s">
        <v>92</v>
      </c>
      <c r="C130" s="781">
        <v>4</v>
      </c>
      <c r="D130" s="782">
        <f t="shared" si="47"/>
        <v>0</v>
      </c>
      <c r="E130" s="783">
        <v>0</v>
      </c>
      <c r="F130" s="784">
        <v>0</v>
      </c>
      <c r="G130" s="785">
        <v>0</v>
      </c>
      <c r="H130" s="784">
        <v>0</v>
      </c>
      <c r="I130" s="785">
        <v>0</v>
      </c>
      <c r="J130" s="784">
        <v>0</v>
      </c>
      <c r="K130" s="785">
        <v>0</v>
      </c>
      <c r="L130" s="784">
        <v>0</v>
      </c>
      <c r="M130" s="786">
        <v>0</v>
      </c>
      <c r="N130" s="787">
        <v>1</v>
      </c>
      <c r="O130" s="785">
        <v>0</v>
      </c>
      <c r="P130" s="784">
        <v>0</v>
      </c>
      <c r="Q130" s="786">
        <v>0</v>
      </c>
      <c r="R130" s="787">
        <v>0</v>
      </c>
      <c r="T130" s="807"/>
    </row>
    <row r="131" spans="1:20" x14ac:dyDescent="0.25">
      <c r="A131" s="185">
        <v>9257028</v>
      </c>
      <c r="B131" s="780" t="s">
        <v>77</v>
      </c>
      <c r="C131" s="781">
        <v>4</v>
      </c>
      <c r="D131" s="782">
        <f t="shared" si="47"/>
        <v>79</v>
      </c>
      <c r="E131" s="785">
        <v>8</v>
      </c>
      <c r="F131" s="784">
        <f t="shared" si="40"/>
        <v>0.10126582278481013</v>
      </c>
      <c r="G131" s="783">
        <v>23</v>
      </c>
      <c r="H131" s="784">
        <f t="shared" si="41"/>
        <v>0.29113924050632911</v>
      </c>
      <c r="I131" s="783">
        <v>5</v>
      </c>
      <c r="J131" s="784">
        <f t="shared" si="42"/>
        <v>6.3291139240506333E-2</v>
      </c>
      <c r="K131" s="783">
        <v>15</v>
      </c>
      <c r="L131" s="784">
        <f t="shared" si="43"/>
        <v>0.189873417721519</v>
      </c>
      <c r="M131" s="786">
        <v>3</v>
      </c>
      <c r="N131" s="787">
        <f t="shared" si="44"/>
        <v>3.7974683544303799E-2</v>
      </c>
      <c r="O131" s="783">
        <v>10</v>
      </c>
      <c r="P131" s="784">
        <f t="shared" si="45"/>
        <v>0.12658227848101267</v>
      </c>
      <c r="Q131" s="786">
        <v>15</v>
      </c>
      <c r="R131" s="787">
        <f t="shared" si="46"/>
        <v>0.189873417721519</v>
      </c>
      <c r="T131" s="807"/>
    </row>
    <row r="132" spans="1:20" x14ac:dyDescent="0.25">
      <c r="A132" s="185">
        <v>9257021</v>
      </c>
      <c r="B132" s="780" t="s">
        <v>78</v>
      </c>
      <c r="C132" s="781">
        <v>5</v>
      </c>
      <c r="D132" s="782">
        <f t="shared" si="47"/>
        <v>155</v>
      </c>
      <c r="E132" s="785">
        <v>6</v>
      </c>
      <c r="F132" s="784">
        <f t="shared" si="40"/>
        <v>3.870967741935484E-2</v>
      </c>
      <c r="G132" s="785">
        <v>46</v>
      </c>
      <c r="H132" s="784">
        <f t="shared" si="41"/>
        <v>0.29677419354838708</v>
      </c>
      <c r="I132" s="785">
        <v>46</v>
      </c>
      <c r="J132" s="784">
        <f t="shared" si="42"/>
        <v>0.29677419354838708</v>
      </c>
      <c r="K132" s="785">
        <v>14</v>
      </c>
      <c r="L132" s="784">
        <f t="shared" si="43"/>
        <v>9.0322580645161285E-2</v>
      </c>
      <c r="M132" s="786">
        <v>19</v>
      </c>
      <c r="N132" s="787">
        <f t="shared" si="44"/>
        <v>0.12258064516129032</v>
      </c>
      <c r="O132" s="785">
        <v>22</v>
      </c>
      <c r="P132" s="784">
        <f t="shared" si="45"/>
        <v>0.14193548387096774</v>
      </c>
      <c r="Q132" s="786">
        <v>2</v>
      </c>
      <c r="R132" s="787">
        <f t="shared" si="46"/>
        <v>1.2903225806451613E-2</v>
      </c>
      <c r="T132" s="807"/>
    </row>
    <row r="133" spans="1:20" x14ac:dyDescent="0.25">
      <c r="A133" s="185">
        <v>9257015</v>
      </c>
      <c r="B133" s="780" t="s">
        <v>55</v>
      </c>
      <c r="C133" s="781">
        <v>5</v>
      </c>
      <c r="D133" s="782">
        <f t="shared" si="47"/>
        <v>261</v>
      </c>
      <c r="E133" s="785">
        <v>10</v>
      </c>
      <c r="F133" s="784">
        <f t="shared" si="40"/>
        <v>3.8314176245210725E-2</v>
      </c>
      <c r="G133" s="785">
        <v>52</v>
      </c>
      <c r="H133" s="784">
        <f t="shared" si="41"/>
        <v>0.19923371647509577</v>
      </c>
      <c r="I133" s="785">
        <v>130</v>
      </c>
      <c r="J133" s="784">
        <f t="shared" si="42"/>
        <v>0.49808429118773945</v>
      </c>
      <c r="K133" s="785">
        <v>17</v>
      </c>
      <c r="L133" s="784">
        <f t="shared" si="43"/>
        <v>6.5134099616858232E-2</v>
      </c>
      <c r="M133" s="786">
        <v>11</v>
      </c>
      <c r="N133" s="787">
        <f t="shared" si="44"/>
        <v>4.2145593869731802E-2</v>
      </c>
      <c r="O133" s="785">
        <v>36</v>
      </c>
      <c r="P133" s="784">
        <f t="shared" si="45"/>
        <v>0.13793103448275862</v>
      </c>
      <c r="Q133" s="786">
        <v>5</v>
      </c>
      <c r="R133" s="787">
        <f t="shared" si="46"/>
        <v>1.9157088122605363E-2</v>
      </c>
      <c r="T133" s="807"/>
    </row>
    <row r="134" spans="1:20" x14ac:dyDescent="0.25">
      <c r="A134" s="185">
        <v>9257016</v>
      </c>
      <c r="B134" s="780" t="s">
        <v>80</v>
      </c>
      <c r="C134" s="781">
        <v>6</v>
      </c>
      <c r="D134" s="782">
        <f t="shared" si="47"/>
        <v>147</v>
      </c>
      <c r="E134" s="785">
        <v>24</v>
      </c>
      <c r="F134" s="784">
        <f t="shared" si="40"/>
        <v>0.16326530612244897</v>
      </c>
      <c r="G134" s="785">
        <v>10</v>
      </c>
      <c r="H134" s="784">
        <f t="shared" si="41"/>
        <v>6.8027210884353748E-2</v>
      </c>
      <c r="I134" s="785">
        <v>37</v>
      </c>
      <c r="J134" s="784">
        <f t="shared" si="42"/>
        <v>0.25170068027210885</v>
      </c>
      <c r="K134" s="785">
        <v>37</v>
      </c>
      <c r="L134" s="784">
        <f t="shared" si="43"/>
        <v>0.25170068027210885</v>
      </c>
      <c r="M134" s="786">
        <v>0</v>
      </c>
      <c r="N134" s="787">
        <f t="shared" si="44"/>
        <v>0</v>
      </c>
      <c r="O134" s="785">
        <v>1</v>
      </c>
      <c r="P134" s="784">
        <f t="shared" si="45"/>
        <v>6.8027210884353739E-3</v>
      </c>
      <c r="Q134" s="786">
        <v>38</v>
      </c>
      <c r="R134" s="787">
        <f t="shared" si="46"/>
        <v>0.25850340136054423</v>
      </c>
      <c r="T134" s="807"/>
    </row>
    <row r="136" spans="1:20" x14ac:dyDescent="0.25">
      <c r="B136" s="820" t="s">
        <v>705</v>
      </c>
    </row>
    <row r="137" spans="1:20" x14ac:dyDescent="0.25">
      <c r="F137" s="222"/>
      <c r="H137" s="222"/>
      <c r="J137" s="222"/>
      <c r="L137" s="222"/>
    </row>
    <row r="138" spans="1:20" ht="21" x14ac:dyDescent="0.25">
      <c r="B138" s="773" t="s">
        <v>66</v>
      </c>
      <c r="C138" s="774" t="s">
        <v>51</v>
      </c>
      <c r="D138" s="775" t="s">
        <v>688</v>
      </c>
      <c r="E138" s="776" t="s">
        <v>265</v>
      </c>
      <c r="F138" s="777" t="s">
        <v>266</v>
      </c>
      <c r="G138" s="776" t="s">
        <v>267</v>
      </c>
      <c r="H138" s="777" t="s">
        <v>257</v>
      </c>
      <c r="I138" s="776" t="s">
        <v>268</v>
      </c>
      <c r="J138" s="777" t="s">
        <v>269</v>
      </c>
      <c r="K138" s="776" t="s">
        <v>270</v>
      </c>
      <c r="L138" s="777" t="s">
        <v>271</v>
      </c>
      <c r="M138" s="778" t="s">
        <v>272</v>
      </c>
      <c r="N138" s="779" t="s">
        <v>273</v>
      </c>
      <c r="O138" s="776" t="s">
        <v>689</v>
      </c>
      <c r="P138" s="777" t="s">
        <v>690</v>
      </c>
      <c r="Q138" s="778" t="s">
        <v>631</v>
      </c>
      <c r="R138" s="779" t="s">
        <v>691</v>
      </c>
    </row>
    <row r="139" spans="1:20" x14ac:dyDescent="0.25">
      <c r="B139" s="780" t="s">
        <v>67</v>
      </c>
      <c r="C139" s="781">
        <v>3</v>
      </c>
      <c r="D139" s="782">
        <f t="shared" ref="D139:D155" si="48">D117-E30</f>
        <v>10</v>
      </c>
      <c r="E139" s="822">
        <f t="shared" ref="E139:L154" si="49">E117-F30</f>
        <v>-8</v>
      </c>
      <c r="F139" s="821">
        <f t="shared" ref="F139:F155" si="50">F117-G30</f>
        <v>-0.21794871794871792</v>
      </c>
      <c r="G139" s="822">
        <f t="shared" si="49"/>
        <v>3</v>
      </c>
      <c r="H139" s="821">
        <f t="shared" si="49"/>
        <v>2.7472527472527375E-3</v>
      </c>
      <c r="I139" s="822">
        <f t="shared" si="49"/>
        <v>-2</v>
      </c>
      <c r="J139" s="821">
        <f t="shared" si="49"/>
        <v>-6.1355311355311346E-2</v>
      </c>
      <c r="K139" s="822">
        <f t="shared" si="49"/>
        <v>2</v>
      </c>
      <c r="L139" s="821">
        <f t="shared" si="49"/>
        <v>3.8461538461538464E-2</v>
      </c>
      <c r="M139" s="822">
        <f>M117-P30</f>
        <v>2</v>
      </c>
      <c r="N139" s="821">
        <f>N117-Q30</f>
        <v>2.4725274725274735E-2</v>
      </c>
      <c r="O139" s="822">
        <f>O117</f>
        <v>13</v>
      </c>
      <c r="P139" s="821">
        <f>P117</f>
        <v>0.25</v>
      </c>
      <c r="Q139" s="822">
        <f>Q117-N30</f>
        <v>0</v>
      </c>
      <c r="R139" s="821">
        <f>R117-O30</f>
        <v>-3.6630036630036611E-2</v>
      </c>
    </row>
    <row r="140" spans="1:20" x14ac:dyDescent="0.25">
      <c r="B140" s="780" t="s">
        <v>68</v>
      </c>
      <c r="C140" s="781">
        <v>3</v>
      </c>
      <c r="D140" s="782">
        <f t="shared" si="48"/>
        <v>-1</v>
      </c>
      <c r="E140" s="822">
        <f t="shared" ref="E140:E155" si="51">E118-F31</f>
        <v>0</v>
      </c>
      <c r="F140" s="821">
        <f t="shared" si="50"/>
        <v>1.7543859649122862E-3</v>
      </c>
      <c r="G140" s="822">
        <f t="shared" si="49"/>
        <v>-10</v>
      </c>
      <c r="H140" s="821">
        <f t="shared" si="49"/>
        <v>-0.12859649122807018</v>
      </c>
      <c r="I140" s="822">
        <f t="shared" si="49"/>
        <v>-6</v>
      </c>
      <c r="J140" s="821">
        <f t="shared" si="49"/>
        <v>-7.7719298245614035E-2</v>
      </c>
      <c r="K140" s="822">
        <f t="shared" si="49"/>
        <v>3</v>
      </c>
      <c r="L140" s="821">
        <f t="shared" si="49"/>
        <v>4.0701754385964919E-2</v>
      </c>
      <c r="M140" s="822">
        <f t="shared" ref="M140:N155" si="52">M118-P31</f>
        <v>-3</v>
      </c>
      <c r="N140" s="821">
        <f t="shared" si="52"/>
        <v>-3.7368421052631579E-2</v>
      </c>
      <c r="O140" s="822">
        <f t="shared" ref="O140:P155" si="53">O118</f>
        <v>15</v>
      </c>
      <c r="P140" s="821">
        <f t="shared" si="53"/>
        <v>0.2</v>
      </c>
      <c r="Q140" s="822">
        <f t="shared" ref="Q140:R155" si="54">Q118-N31</f>
        <v>0</v>
      </c>
      <c r="R140" s="821">
        <f t="shared" si="54"/>
        <v>1.2280701754386059E-3</v>
      </c>
    </row>
    <row r="141" spans="1:20" x14ac:dyDescent="0.25">
      <c r="B141" s="780" t="s">
        <v>69</v>
      </c>
      <c r="C141" s="781">
        <v>3</v>
      </c>
      <c r="D141" s="782">
        <f t="shared" si="48"/>
        <v>14</v>
      </c>
      <c r="E141" s="822">
        <f t="shared" si="51"/>
        <v>-8</v>
      </c>
      <c r="F141" s="821">
        <f t="shared" si="50"/>
        <v>-0.1627710504083357</v>
      </c>
      <c r="G141" s="822">
        <f t="shared" si="49"/>
        <v>-4</v>
      </c>
      <c r="H141" s="821">
        <f t="shared" si="49"/>
        <v>-0.14643762320473108</v>
      </c>
      <c r="I141" s="822">
        <f t="shared" si="49"/>
        <v>9</v>
      </c>
      <c r="J141" s="821">
        <f t="shared" si="49"/>
        <v>0.12250070402703463</v>
      </c>
      <c r="K141" s="822">
        <f t="shared" si="49"/>
        <v>10</v>
      </c>
      <c r="L141" s="821">
        <f t="shared" si="49"/>
        <v>0.14925373134328357</v>
      </c>
      <c r="M141" s="822">
        <f t="shared" si="52"/>
        <v>-1</v>
      </c>
      <c r="N141" s="821">
        <f t="shared" si="52"/>
        <v>-5.8293438468037195E-2</v>
      </c>
      <c r="O141" s="822">
        <f t="shared" si="53"/>
        <v>8</v>
      </c>
      <c r="P141" s="821">
        <f t="shared" si="53"/>
        <v>0.11940298507462686</v>
      </c>
      <c r="Q141" s="822">
        <f t="shared" si="54"/>
        <v>0</v>
      </c>
      <c r="R141" s="821">
        <f t="shared" si="54"/>
        <v>-2.3655308363841179E-2</v>
      </c>
    </row>
    <row r="142" spans="1:20" x14ac:dyDescent="0.25">
      <c r="B142" s="780" t="s">
        <v>70</v>
      </c>
      <c r="C142" s="781">
        <v>3</v>
      </c>
      <c r="D142" s="782">
        <f t="shared" si="48"/>
        <v>9</v>
      </c>
      <c r="E142" s="822">
        <f t="shared" si="51"/>
        <v>-6</v>
      </c>
      <c r="F142" s="821">
        <f t="shared" si="50"/>
        <v>-0.15925925925925924</v>
      </c>
      <c r="G142" s="822">
        <f t="shared" si="49"/>
        <v>-2</v>
      </c>
      <c r="H142" s="821">
        <f t="shared" si="49"/>
        <v>-0.1074074074074074</v>
      </c>
      <c r="I142" s="822">
        <f t="shared" si="49"/>
        <v>6</v>
      </c>
      <c r="J142" s="821">
        <f t="shared" si="49"/>
        <v>0.1111111111111111</v>
      </c>
      <c r="K142" s="822">
        <f t="shared" si="49"/>
        <v>8</v>
      </c>
      <c r="L142" s="821">
        <f t="shared" si="49"/>
        <v>0.14814814814814814</v>
      </c>
      <c r="M142" s="822">
        <f t="shared" si="52"/>
        <v>-4</v>
      </c>
      <c r="N142" s="821">
        <f t="shared" si="52"/>
        <v>-0.1</v>
      </c>
      <c r="O142" s="822">
        <f t="shared" si="53"/>
        <v>7</v>
      </c>
      <c r="P142" s="821">
        <f t="shared" si="53"/>
        <v>0.12962962962962962</v>
      </c>
      <c r="Q142" s="822">
        <f t="shared" si="54"/>
        <v>0</v>
      </c>
      <c r="R142" s="821">
        <f t="shared" si="54"/>
        <v>-2.2222222222222227E-2</v>
      </c>
    </row>
    <row r="143" spans="1:20" x14ac:dyDescent="0.25">
      <c r="B143" s="780" t="s">
        <v>71</v>
      </c>
      <c r="C143" s="781">
        <v>3</v>
      </c>
      <c r="D143" s="782">
        <f t="shared" si="48"/>
        <v>14</v>
      </c>
      <c r="E143" s="822">
        <f t="shared" si="51"/>
        <v>-5</v>
      </c>
      <c r="F143" s="821">
        <f t="shared" si="50"/>
        <v>-0.11304347826086958</v>
      </c>
      <c r="G143" s="822">
        <f t="shared" si="49"/>
        <v>-7</v>
      </c>
      <c r="H143" s="821">
        <f t="shared" si="49"/>
        <v>-0.21581027667984187</v>
      </c>
      <c r="I143" s="822">
        <f t="shared" si="49"/>
        <v>7</v>
      </c>
      <c r="J143" s="821">
        <f t="shared" si="49"/>
        <v>9.7760210803689074E-2</v>
      </c>
      <c r="K143" s="822">
        <f t="shared" si="49"/>
        <v>11</v>
      </c>
      <c r="L143" s="821">
        <f t="shared" si="49"/>
        <v>0.15942028985507245</v>
      </c>
      <c r="M143" s="822">
        <f t="shared" si="52"/>
        <v>1</v>
      </c>
      <c r="N143" s="821">
        <f t="shared" si="52"/>
        <v>3.4255599472990811E-3</v>
      </c>
      <c r="O143" s="822">
        <f t="shared" si="53"/>
        <v>7</v>
      </c>
      <c r="P143" s="821">
        <f t="shared" si="53"/>
        <v>0.10144927536231885</v>
      </c>
      <c r="Q143" s="822">
        <f t="shared" si="54"/>
        <v>0</v>
      </c>
      <c r="R143" s="821">
        <f t="shared" si="54"/>
        <v>-3.3201581027667987E-2</v>
      </c>
    </row>
    <row r="144" spans="1:20" x14ac:dyDescent="0.25">
      <c r="B144" s="780" t="s">
        <v>98</v>
      </c>
      <c r="C144" s="781">
        <v>3</v>
      </c>
      <c r="D144" s="782">
        <f t="shared" si="48"/>
        <v>-61</v>
      </c>
      <c r="E144" s="822">
        <f t="shared" si="51"/>
        <v>0</v>
      </c>
      <c r="F144" s="821">
        <f t="shared" si="50"/>
        <v>0</v>
      </c>
      <c r="G144" s="822">
        <f t="shared" si="49"/>
        <v>0</v>
      </c>
      <c r="H144" s="821">
        <f t="shared" si="49"/>
        <v>0</v>
      </c>
      <c r="I144" s="822">
        <f t="shared" si="49"/>
        <v>0</v>
      </c>
      <c r="J144" s="821">
        <f t="shared" si="49"/>
        <v>0</v>
      </c>
      <c r="K144" s="822">
        <f t="shared" si="49"/>
        <v>0</v>
      </c>
      <c r="L144" s="821">
        <f t="shared" si="49"/>
        <v>0</v>
      </c>
      <c r="M144" s="822">
        <f t="shared" si="52"/>
        <v>-61</v>
      </c>
      <c r="N144" s="821">
        <f t="shared" si="52"/>
        <v>0</v>
      </c>
      <c r="O144" s="822">
        <f t="shared" si="53"/>
        <v>0</v>
      </c>
      <c r="P144" s="821">
        <f t="shared" si="53"/>
        <v>0</v>
      </c>
      <c r="Q144" s="822">
        <f t="shared" si="54"/>
        <v>0</v>
      </c>
      <c r="R144" s="821">
        <f t="shared" si="54"/>
        <v>0</v>
      </c>
    </row>
    <row r="145" spans="2:23" x14ac:dyDescent="0.25">
      <c r="B145" s="780" t="s">
        <v>72</v>
      </c>
      <c r="C145" s="781">
        <v>3</v>
      </c>
      <c r="D145" s="782">
        <f t="shared" si="48"/>
        <v>31</v>
      </c>
      <c r="E145" s="822">
        <f t="shared" si="51"/>
        <v>4</v>
      </c>
      <c r="F145" s="821">
        <f t="shared" si="50"/>
        <v>3.3403805496828753E-2</v>
      </c>
      <c r="G145" s="822">
        <f t="shared" si="49"/>
        <v>1</v>
      </c>
      <c r="H145" s="821">
        <f t="shared" si="49"/>
        <v>-9.3234672304439742E-2</v>
      </c>
      <c r="I145" s="822">
        <f t="shared" si="49"/>
        <v>12</v>
      </c>
      <c r="J145" s="821">
        <f t="shared" si="49"/>
        <v>4.1226215644820319E-2</v>
      </c>
      <c r="K145" s="822">
        <f t="shared" si="49"/>
        <v>6</v>
      </c>
      <c r="L145" s="821">
        <f t="shared" si="49"/>
        <v>5.0105708245243137E-2</v>
      </c>
      <c r="M145" s="822">
        <f t="shared" si="52"/>
        <v>0</v>
      </c>
      <c r="N145" s="821">
        <f t="shared" si="52"/>
        <v>-0.12452431289640592</v>
      </c>
      <c r="O145" s="822">
        <f t="shared" si="53"/>
        <v>8</v>
      </c>
      <c r="P145" s="821">
        <f t="shared" si="53"/>
        <v>9.3023255813953487E-2</v>
      </c>
      <c r="Q145" s="822">
        <f t="shared" si="54"/>
        <v>0</v>
      </c>
      <c r="R145" s="821">
        <f t="shared" si="54"/>
        <v>0</v>
      </c>
    </row>
    <row r="146" spans="2:23" x14ac:dyDescent="0.25">
      <c r="B146" s="780" t="s">
        <v>73</v>
      </c>
      <c r="C146" s="781">
        <v>3</v>
      </c>
      <c r="D146" s="782">
        <f t="shared" si="48"/>
        <v>6</v>
      </c>
      <c r="E146" s="822">
        <f t="shared" si="51"/>
        <v>2</v>
      </c>
      <c r="F146" s="821">
        <f t="shared" si="50"/>
        <v>2.197802197802198E-2</v>
      </c>
      <c r="G146" s="822">
        <f t="shared" si="49"/>
        <v>49</v>
      </c>
      <c r="H146" s="821">
        <f t="shared" si="49"/>
        <v>0.53303167420814479</v>
      </c>
      <c r="I146" s="822">
        <f t="shared" si="49"/>
        <v>-48</v>
      </c>
      <c r="J146" s="821">
        <f t="shared" si="49"/>
        <v>-0.56780866192630908</v>
      </c>
      <c r="K146" s="822">
        <f t="shared" si="49"/>
        <v>0</v>
      </c>
      <c r="L146" s="821">
        <f t="shared" si="49"/>
        <v>-1.5513897866839023E-3</v>
      </c>
      <c r="M146" s="822">
        <f t="shared" si="52"/>
        <v>-10</v>
      </c>
      <c r="N146" s="821">
        <f t="shared" si="52"/>
        <v>-0.12850678733031673</v>
      </c>
      <c r="O146" s="822">
        <f t="shared" si="53"/>
        <v>13</v>
      </c>
      <c r="P146" s="821">
        <f t="shared" si="53"/>
        <v>0.14285714285714285</v>
      </c>
      <c r="Q146" s="822">
        <f t="shared" si="54"/>
        <v>0</v>
      </c>
      <c r="R146" s="821">
        <f t="shared" si="54"/>
        <v>0</v>
      </c>
    </row>
    <row r="147" spans="2:23" x14ac:dyDescent="0.25">
      <c r="B147" s="780" t="s">
        <v>74</v>
      </c>
      <c r="C147" s="781">
        <v>4</v>
      </c>
      <c r="D147" s="782">
        <f t="shared" si="48"/>
        <v>-13</v>
      </c>
      <c r="E147" s="822">
        <f t="shared" si="51"/>
        <v>-4</v>
      </c>
      <c r="F147" s="821">
        <f t="shared" si="50"/>
        <v>-2.7006492609476448E-2</v>
      </c>
      <c r="G147" s="822">
        <f t="shared" si="49"/>
        <v>-2</v>
      </c>
      <c r="H147" s="821">
        <f t="shared" si="49"/>
        <v>1.3123359580052285E-3</v>
      </c>
      <c r="I147" s="822">
        <f t="shared" si="49"/>
        <v>-18</v>
      </c>
      <c r="J147" s="821">
        <f t="shared" si="49"/>
        <v>-9.863240779113136E-2</v>
      </c>
      <c r="K147" s="822">
        <f t="shared" si="49"/>
        <v>2</v>
      </c>
      <c r="L147" s="821">
        <f t="shared" si="49"/>
        <v>1.933968780218262E-2</v>
      </c>
      <c r="M147" s="822">
        <f t="shared" si="52"/>
        <v>4</v>
      </c>
      <c r="N147" s="821">
        <f t="shared" si="52"/>
        <v>5.8433485288023196E-2</v>
      </c>
      <c r="O147" s="822">
        <f t="shared" si="53"/>
        <v>5</v>
      </c>
      <c r="P147" s="821">
        <f t="shared" si="53"/>
        <v>4.3859649122807015E-2</v>
      </c>
      <c r="Q147" s="822">
        <f t="shared" si="54"/>
        <v>0</v>
      </c>
      <c r="R147" s="821">
        <f t="shared" si="54"/>
        <v>2.6937422295897212E-3</v>
      </c>
    </row>
    <row r="148" spans="2:23" x14ac:dyDescent="0.25">
      <c r="B148" s="780" t="s">
        <v>75</v>
      </c>
      <c r="C148" s="781">
        <v>4</v>
      </c>
      <c r="D148" s="782">
        <f t="shared" si="48"/>
        <v>20</v>
      </c>
      <c r="E148" s="822">
        <f t="shared" si="51"/>
        <v>0</v>
      </c>
      <c r="F148" s="821">
        <f t="shared" si="50"/>
        <v>-1.2091167402212676E-3</v>
      </c>
      <c r="G148" s="822">
        <f t="shared" si="49"/>
        <v>-15</v>
      </c>
      <c r="H148" s="821">
        <f t="shared" si="49"/>
        <v>-0.14781452149205007</v>
      </c>
      <c r="I148" s="822">
        <f t="shared" si="49"/>
        <v>3</v>
      </c>
      <c r="J148" s="821">
        <f t="shared" si="49"/>
        <v>-6.4264554742760382E-2</v>
      </c>
      <c r="K148" s="822">
        <f t="shared" si="49"/>
        <v>7</v>
      </c>
      <c r="L148" s="821">
        <f t="shared" si="49"/>
        <v>4.7941478749773295E-2</v>
      </c>
      <c r="M148" s="822">
        <f t="shared" si="52"/>
        <v>15</v>
      </c>
      <c r="N148" s="821">
        <f t="shared" si="52"/>
        <v>9.4613384922314248E-2</v>
      </c>
      <c r="O148" s="822">
        <f t="shared" si="53"/>
        <v>10</v>
      </c>
      <c r="P148" s="821">
        <f t="shared" si="53"/>
        <v>7.1942446043165464E-2</v>
      </c>
      <c r="Q148" s="822">
        <f t="shared" si="54"/>
        <v>0</v>
      </c>
      <c r="R148" s="821">
        <f t="shared" si="54"/>
        <v>-1.2091167402212676E-3</v>
      </c>
    </row>
    <row r="149" spans="2:23" x14ac:dyDescent="0.25">
      <c r="B149" s="780" t="s">
        <v>76</v>
      </c>
      <c r="C149" s="781">
        <v>4</v>
      </c>
      <c r="D149" s="782">
        <f t="shared" si="48"/>
        <v>-2</v>
      </c>
      <c r="E149" s="822">
        <f t="shared" si="51"/>
        <v>0</v>
      </c>
      <c r="F149" s="821">
        <f t="shared" si="50"/>
        <v>0</v>
      </c>
      <c r="G149" s="822">
        <f t="shared" si="49"/>
        <v>41</v>
      </c>
      <c r="H149" s="821">
        <f t="shared" si="49"/>
        <v>0.32259615384615381</v>
      </c>
      <c r="I149" s="822">
        <f t="shared" si="49"/>
        <v>-72</v>
      </c>
      <c r="J149" s="821">
        <f t="shared" si="49"/>
        <v>-0.55156249999999996</v>
      </c>
      <c r="K149" s="822">
        <f t="shared" si="49"/>
        <v>2</v>
      </c>
      <c r="L149" s="821">
        <f t="shared" si="49"/>
        <v>1.5865384615384615E-2</v>
      </c>
      <c r="M149" s="822">
        <f t="shared" si="52"/>
        <v>-2</v>
      </c>
      <c r="N149" s="821">
        <f t="shared" si="52"/>
        <v>-1.3461538461538469E-2</v>
      </c>
      <c r="O149" s="822">
        <f t="shared" si="53"/>
        <v>29</v>
      </c>
      <c r="P149" s="821">
        <f t="shared" si="53"/>
        <v>0.2265625</v>
      </c>
      <c r="Q149" s="822">
        <f t="shared" si="54"/>
        <v>0</v>
      </c>
      <c r="R149" s="821">
        <f t="shared" si="54"/>
        <v>0</v>
      </c>
    </row>
    <row r="150" spans="2:23" x14ac:dyDescent="0.25">
      <c r="B150" s="780" t="s">
        <v>99</v>
      </c>
      <c r="C150" s="781">
        <v>4</v>
      </c>
      <c r="D150" s="782">
        <f t="shared" si="48"/>
        <v>-57</v>
      </c>
      <c r="E150" s="822">
        <f t="shared" si="51"/>
        <v>0</v>
      </c>
      <c r="F150" s="821">
        <f t="shared" si="50"/>
        <v>0</v>
      </c>
      <c r="G150" s="822">
        <f t="shared" si="49"/>
        <v>0</v>
      </c>
      <c r="H150" s="821">
        <f t="shared" si="49"/>
        <v>0</v>
      </c>
      <c r="I150" s="822">
        <f t="shared" si="49"/>
        <v>0</v>
      </c>
      <c r="J150" s="821">
        <f t="shared" si="49"/>
        <v>0</v>
      </c>
      <c r="K150" s="822">
        <f t="shared" si="49"/>
        <v>0</v>
      </c>
      <c r="L150" s="821">
        <f t="shared" si="49"/>
        <v>0</v>
      </c>
      <c r="M150" s="822">
        <f t="shared" si="52"/>
        <v>-57</v>
      </c>
      <c r="N150" s="821">
        <f t="shared" si="52"/>
        <v>0</v>
      </c>
      <c r="O150" s="822">
        <f t="shared" si="53"/>
        <v>0</v>
      </c>
      <c r="P150" s="821">
        <f t="shared" si="53"/>
        <v>0</v>
      </c>
      <c r="Q150" s="822">
        <f t="shared" si="54"/>
        <v>0</v>
      </c>
      <c r="R150" s="821">
        <f t="shared" si="54"/>
        <v>0</v>
      </c>
    </row>
    <row r="151" spans="2:23" x14ac:dyDescent="0.25">
      <c r="B151" s="780" t="s">
        <v>100</v>
      </c>
      <c r="C151" s="781">
        <v>4</v>
      </c>
      <c r="D151" s="782">
        <f t="shared" si="48"/>
        <v>-57</v>
      </c>
      <c r="E151" s="822">
        <f t="shared" si="51"/>
        <v>0</v>
      </c>
      <c r="F151" s="821">
        <f t="shared" si="50"/>
        <v>0</v>
      </c>
      <c r="G151" s="822">
        <f t="shared" si="49"/>
        <v>0</v>
      </c>
      <c r="H151" s="821">
        <f t="shared" si="49"/>
        <v>0</v>
      </c>
      <c r="I151" s="822">
        <f t="shared" si="49"/>
        <v>0</v>
      </c>
      <c r="J151" s="821">
        <f t="shared" si="49"/>
        <v>0</v>
      </c>
      <c r="K151" s="822">
        <f t="shared" si="49"/>
        <v>0</v>
      </c>
      <c r="L151" s="821">
        <f t="shared" si="49"/>
        <v>0</v>
      </c>
      <c r="M151" s="822">
        <f t="shared" si="52"/>
        <v>-57</v>
      </c>
      <c r="N151" s="821">
        <f t="shared" si="52"/>
        <v>0</v>
      </c>
      <c r="O151" s="822">
        <f t="shared" si="53"/>
        <v>0</v>
      </c>
      <c r="P151" s="821">
        <f t="shared" si="53"/>
        <v>0</v>
      </c>
      <c r="Q151" s="822">
        <f t="shared" si="54"/>
        <v>0</v>
      </c>
      <c r="R151" s="821">
        <f t="shared" si="54"/>
        <v>0</v>
      </c>
    </row>
    <row r="152" spans="2:23" x14ac:dyDescent="0.25">
      <c r="B152" s="780" t="s">
        <v>92</v>
      </c>
      <c r="C152" s="781">
        <v>4</v>
      </c>
      <c r="D152" s="782">
        <f t="shared" si="48"/>
        <v>-49</v>
      </c>
      <c r="E152" s="822">
        <f t="shared" si="51"/>
        <v>0</v>
      </c>
      <c r="F152" s="821">
        <f t="shared" si="50"/>
        <v>0</v>
      </c>
      <c r="G152" s="822">
        <f t="shared" si="49"/>
        <v>0</v>
      </c>
      <c r="H152" s="821">
        <f t="shared" si="49"/>
        <v>0</v>
      </c>
      <c r="I152" s="822">
        <f t="shared" si="49"/>
        <v>0</v>
      </c>
      <c r="J152" s="821">
        <f t="shared" si="49"/>
        <v>0</v>
      </c>
      <c r="K152" s="822">
        <f t="shared" si="49"/>
        <v>0</v>
      </c>
      <c r="L152" s="821">
        <f t="shared" si="49"/>
        <v>0</v>
      </c>
      <c r="M152" s="822">
        <f t="shared" si="52"/>
        <v>-49</v>
      </c>
      <c r="N152" s="821">
        <f t="shared" si="52"/>
        <v>0</v>
      </c>
      <c r="O152" s="822">
        <f t="shared" si="53"/>
        <v>0</v>
      </c>
      <c r="P152" s="821">
        <f t="shared" si="53"/>
        <v>0</v>
      </c>
      <c r="Q152" s="822">
        <f t="shared" si="54"/>
        <v>0</v>
      </c>
      <c r="R152" s="821">
        <f t="shared" si="54"/>
        <v>0</v>
      </c>
    </row>
    <row r="153" spans="2:23" x14ac:dyDescent="0.25">
      <c r="B153" s="780" t="s">
        <v>77</v>
      </c>
      <c r="C153" s="781">
        <v>4</v>
      </c>
      <c r="D153" s="782">
        <f t="shared" si="48"/>
        <v>8</v>
      </c>
      <c r="E153" s="822">
        <f t="shared" si="51"/>
        <v>-7</v>
      </c>
      <c r="F153" s="821">
        <f t="shared" si="50"/>
        <v>-0.11000178284899269</v>
      </c>
      <c r="G153" s="822">
        <f t="shared" si="49"/>
        <v>-1</v>
      </c>
      <c r="H153" s="821">
        <f t="shared" si="49"/>
        <v>-4.688892850775539E-2</v>
      </c>
      <c r="I153" s="822">
        <f t="shared" si="49"/>
        <v>5</v>
      </c>
      <c r="J153" s="821">
        <f t="shared" si="49"/>
        <v>6.3291139240506333E-2</v>
      </c>
      <c r="K153" s="822">
        <f t="shared" si="49"/>
        <v>15</v>
      </c>
      <c r="L153" s="821">
        <f t="shared" si="49"/>
        <v>0.189873417721519</v>
      </c>
      <c r="M153" s="822">
        <f t="shared" si="52"/>
        <v>-14</v>
      </c>
      <c r="N153" s="821">
        <f t="shared" si="52"/>
        <v>-0.20146193617400604</v>
      </c>
      <c r="O153" s="822">
        <f t="shared" si="53"/>
        <v>10</v>
      </c>
      <c r="P153" s="821">
        <f t="shared" si="53"/>
        <v>0.12658227848101267</v>
      </c>
      <c r="Q153" s="822">
        <f t="shared" si="54"/>
        <v>0</v>
      </c>
      <c r="R153" s="821">
        <f t="shared" si="54"/>
        <v>-2.1394187912283813E-2</v>
      </c>
    </row>
    <row r="154" spans="2:23" x14ac:dyDescent="0.25">
      <c r="B154" s="780" t="s">
        <v>78</v>
      </c>
      <c r="C154" s="781">
        <v>5</v>
      </c>
      <c r="D154" s="782">
        <f t="shared" si="48"/>
        <v>13</v>
      </c>
      <c r="E154" s="822">
        <f t="shared" si="51"/>
        <v>6</v>
      </c>
      <c r="F154" s="821">
        <f t="shared" si="50"/>
        <v>3.870967741935484E-2</v>
      </c>
      <c r="G154" s="822">
        <f t="shared" si="49"/>
        <v>32</v>
      </c>
      <c r="H154" s="821">
        <f t="shared" si="49"/>
        <v>0.19818264425261245</v>
      </c>
      <c r="I154" s="822">
        <f t="shared" si="49"/>
        <v>-56</v>
      </c>
      <c r="J154" s="821">
        <f t="shared" si="49"/>
        <v>-0.42153566560654254</v>
      </c>
      <c r="K154" s="822">
        <f t="shared" si="49"/>
        <v>10</v>
      </c>
      <c r="L154" s="821">
        <f t="shared" si="49"/>
        <v>6.2153566560654239E-2</v>
      </c>
      <c r="M154" s="822">
        <f t="shared" si="52"/>
        <v>-1</v>
      </c>
      <c r="N154" s="821">
        <f t="shared" si="52"/>
        <v>-1.8264425261244902E-2</v>
      </c>
      <c r="O154" s="822">
        <f t="shared" si="53"/>
        <v>22</v>
      </c>
      <c r="P154" s="821">
        <f t="shared" si="53"/>
        <v>0.14193548387096774</v>
      </c>
      <c r="Q154" s="822">
        <f t="shared" si="54"/>
        <v>0</v>
      </c>
      <c r="R154" s="821">
        <f t="shared" si="54"/>
        <v>-1.1812812358019086E-3</v>
      </c>
    </row>
    <row r="155" spans="2:23" x14ac:dyDescent="0.25">
      <c r="B155" s="780" t="s">
        <v>55</v>
      </c>
      <c r="C155" s="781">
        <v>5</v>
      </c>
      <c r="D155" s="782">
        <f t="shared" si="48"/>
        <v>13</v>
      </c>
      <c r="E155" s="822">
        <f t="shared" si="51"/>
        <v>0</v>
      </c>
      <c r="F155" s="821">
        <f t="shared" si="50"/>
        <v>-2.0084043999505641E-3</v>
      </c>
      <c r="G155" s="822">
        <f t="shared" ref="G155:L155" si="55">G133-H46</f>
        <v>-3</v>
      </c>
      <c r="H155" s="821">
        <f t="shared" si="55"/>
        <v>-2.2540477073291321E-2</v>
      </c>
      <c r="I155" s="822">
        <f t="shared" si="55"/>
        <v>-32</v>
      </c>
      <c r="J155" s="821">
        <f t="shared" si="55"/>
        <v>-0.15514151526387343</v>
      </c>
      <c r="K155" s="822">
        <f t="shared" si="55"/>
        <v>17</v>
      </c>
      <c r="L155" s="821">
        <f t="shared" si="55"/>
        <v>6.5134099616858232E-2</v>
      </c>
      <c r="M155" s="822">
        <f t="shared" si="52"/>
        <v>-5</v>
      </c>
      <c r="N155" s="821">
        <f t="shared" si="52"/>
        <v>-2.237053516252626E-2</v>
      </c>
      <c r="O155" s="822">
        <f t="shared" si="53"/>
        <v>36</v>
      </c>
      <c r="P155" s="821">
        <f t="shared" si="53"/>
        <v>0.13793103448275862</v>
      </c>
      <c r="Q155" s="822">
        <f t="shared" si="54"/>
        <v>0</v>
      </c>
      <c r="R155" s="821">
        <f t="shared" si="54"/>
        <v>-1.004202199975282E-3</v>
      </c>
    </row>
    <row r="156" spans="2:23" x14ac:dyDescent="0.25">
      <c r="B156" s="780" t="s">
        <v>80</v>
      </c>
      <c r="C156" s="781">
        <v>6</v>
      </c>
      <c r="D156" s="782">
        <f t="shared" ref="D156:L156" si="56">D134-E47</f>
        <v>12</v>
      </c>
      <c r="E156" s="822">
        <f t="shared" si="56"/>
        <v>-34</v>
      </c>
      <c r="F156" s="821">
        <f t="shared" si="56"/>
        <v>-0.26636432350718064</v>
      </c>
      <c r="G156" s="822">
        <f t="shared" si="56"/>
        <v>10</v>
      </c>
      <c r="H156" s="821">
        <f t="shared" si="56"/>
        <v>6.8027210884353748E-2</v>
      </c>
      <c r="I156" s="822">
        <f t="shared" si="56"/>
        <v>-2</v>
      </c>
      <c r="J156" s="821">
        <f t="shared" si="56"/>
        <v>-3.7188208616780016E-2</v>
      </c>
      <c r="K156" s="822">
        <f t="shared" si="56"/>
        <v>37</v>
      </c>
      <c r="L156" s="821">
        <f t="shared" si="56"/>
        <v>0.25170068027210885</v>
      </c>
      <c r="M156" s="822">
        <f>M134-P47</f>
        <v>0</v>
      </c>
      <c r="N156" s="821">
        <f>N134-Q47</f>
        <v>0</v>
      </c>
      <c r="O156" s="822">
        <f>O134</f>
        <v>1</v>
      </c>
      <c r="P156" s="821">
        <f>P134</f>
        <v>6.8027210884353739E-3</v>
      </c>
      <c r="Q156" s="822">
        <f>Q134-N47</f>
        <v>0</v>
      </c>
      <c r="R156" s="821">
        <f>R134-O47</f>
        <v>-2.2978080120937272E-2</v>
      </c>
    </row>
    <row r="157" spans="2:23" x14ac:dyDescent="0.25">
      <c r="B157" s="505"/>
      <c r="C157" s="505"/>
      <c r="D157" s="505"/>
      <c r="E157" s="267"/>
    </row>
    <row r="158" spans="2:23" x14ac:dyDescent="0.25">
      <c r="B158" s="505"/>
      <c r="C158" s="824">
        <v>1</v>
      </c>
      <c r="D158" s="505">
        <v>2</v>
      </c>
      <c r="E158" s="267">
        <v>3</v>
      </c>
      <c r="F158" s="46">
        <v>4</v>
      </c>
      <c r="G158" s="46">
        <v>5</v>
      </c>
      <c r="I158" s="46">
        <v>1</v>
      </c>
      <c r="J158" s="46">
        <v>2</v>
      </c>
      <c r="K158" s="46">
        <v>3</v>
      </c>
      <c r="L158" s="46">
        <v>4</v>
      </c>
      <c r="M158" s="46">
        <v>5</v>
      </c>
      <c r="N158" s="672" t="s">
        <v>706</v>
      </c>
      <c r="O158" s="672" t="s">
        <v>707</v>
      </c>
      <c r="Q158" s="46">
        <v>1</v>
      </c>
      <c r="R158" s="46">
        <v>2</v>
      </c>
      <c r="S158" s="46">
        <v>3</v>
      </c>
      <c r="T158" s="46">
        <v>4</v>
      </c>
      <c r="U158" s="46">
        <v>5</v>
      </c>
      <c r="V158" s="672" t="s">
        <v>706</v>
      </c>
      <c r="W158" s="672" t="s">
        <v>707</v>
      </c>
    </row>
    <row r="159" spans="2:23" x14ac:dyDescent="0.25">
      <c r="B159" s="915" t="s">
        <v>67</v>
      </c>
      <c r="C159" s="583">
        <v>0.40476190476190477</v>
      </c>
      <c r="D159" s="583">
        <v>0.2857142857142857</v>
      </c>
      <c r="E159" s="583">
        <v>0.11904761904761904</v>
      </c>
      <c r="F159" s="583">
        <v>0.11904761904761904</v>
      </c>
      <c r="G159" s="583">
        <v>7.1428571428571425E-2</v>
      </c>
      <c r="H159" s="583"/>
      <c r="I159" s="825">
        <f>F117</f>
        <v>0.11538461538461539</v>
      </c>
      <c r="J159" s="826">
        <f>H117</f>
        <v>0.28846153846153844</v>
      </c>
      <c r="K159" s="826">
        <f>J117</f>
        <v>5.7692307692307696E-2</v>
      </c>
      <c r="L159" s="826">
        <f>L117</f>
        <v>3.8461538461538464E-2</v>
      </c>
      <c r="M159" s="826">
        <f>N117</f>
        <v>9.6153846153846159E-2</v>
      </c>
      <c r="N159" s="826">
        <f>P117</f>
        <v>0.25</v>
      </c>
      <c r="O159" s="826">
        <f>R117</f>
        <v>0.15384615384615385</v>
      </c>
      <c r="Q159" s="753">
        <f t="shared" ref="Q159:Q176" si="57">I159-C159</f>
        <v>-0.28937728937728935</v>
      </c>
      <c r="R159" s="753">
        <f t="shared" ref="R159:U174" si="58">J159-D159</f>
        <v>2.7472527472527375E-3</v>
      </c>
      <c r="S159" s="753">
        <f t="shared" si="58"/>
        <v>-6.1355311355311346E-2</v>
      </c>
      <c r="T159" s="753">
        <f t="shared" si="58"/>
        <v>-8.0586080586080577E-2</v>
      </c>
      <c r="U159" s="753">
        <f t="shared" si="58"/>
        <v>2.4725274725274735E-2</v>
      </c>
      <c r="V159" s="753">
        <f>N159-0</f>
        <v>0.25</v>
      </c>
      <c r="W159" s="753">
        <f>O159-0</f>
        <v>0.15384615384615385</v>
      </c>
    </row>
    <row r="160" spans="2:23" x14ac:dyDescent="0.25">
      <c r="B160" s="915" t="s">
        <v>68</v>
      </c>
      <c r="C160" s="583">
        <v>0.13157894736842105</v>
      </c>
      <c r="D160" s="583">
        <v>0.35526315789473684</v>
      </c>
      <c r="E160" s="583">
        <v>0.17105263157894737</v>
      </c>
      <c r="F160" s="583">
        <v>0.14473684210526316</v>
      </c>
      <c r="G160" s="583">
        <v>0.19736842105263158</v>
      </c>
      <c r="H160" s="583"/>
      <c r="I160" s="825">
        <f t="shared" ref="I160:I176" si="59">F118</f>
        <v>0.13333333333333333</v>
      </c>
      <c r="J160" s="826">
        <f t="shared" ref="J160:J176" si="60">H118</f>
        <v>0.22666666666666666</v>
      </c>
      <c r="K160" s="826">
        <f t="shared" ref="K160:K176" si="61">J118</f>
        <v>9.3333333333333338E-2</v>
      </c>
      <c r="L160" s="826">
        <f t="shared" ref="L160:L176" si="62">L118</f>
        <v>9.3333333333333338E-2</v>
      </c>
      <c r="M160" s="826">
        <f t="shared" ref="M160:M176" si="63">N118</f>
        <v>0.16</v>
      </c>
      <c r="N160" s="826">
        <f t="shared" ref="N160:N176" si="64">P118</f>
        <v>0.2</v>
      </c>
      <c r="O160" s="826">
        <f t="shared" ref="O160:O176" si="65">R118</f>
        <v>9.3333333333333338E-2</v>
      </c>
      <c r="Q160" s="753">
        <f t="shared" si="57"/>
        <v>1.7543859649122862E-3</v>
      </c>
      <c r="R160" s="753">
        <f t="shared" si="58"/>
        <v>-0.12859649122807018</v>
      </c>
      <c r="S160" s="753">
        <f t="shared" si="58"/>
        <v>-7.7719298245614035E-2</v>
      </c>
      <c r="T160" s="753">
        <f t="shared" si="58"/>
        <v>-5.1403508771929826E-2</v>
      </c>
      <c r="U160" s="753">
        <f t="shared" si="58"/>
        <v>-3.7368421052631579E-2</v>
      </c>
      <c r="V160" s="753">
        <f t="shared" ref="V160:W176" si="66">N160-0</f>
        <v>0.2</v>
      </c>
      <c r="W160" s="753">
        <f t="shared" si="66"/>
        <v>9.3333333333333338E-2</v>
      </c>
    </row>
    <row r="161" spans="2:23" x14ac:dyDescent="0.25">
      <c r="B161" s="915" t="s">
        <v>69</v>
      </c>
      <c r="C161" s="583">
        <v>0.26415094339622641</v>
      </c>
      <c r="D161" s="583">
        <v>0.41509433962264153</v>
      </c>
      <c r="E161" s="583">
        <v>5.6603773584905662E-2</v>
      </c>
      <c r="F161" s="583">
        <v>5.6603773584905662E-2</v>
      </c>
      <c r="G161" s="583">
        <v>0.20754716981132076</v>
      </c>
      <c r="H161" s="583"/>
      <c r="I161" s="825">
        <f t="shared" si="59"/>
        <v>4.4776119402985072E-2</v>
      </c>
      <c r="J161" s="826">
        <f t="shared" si="60"/>
        <v>0.26865671641791045</v>
      </c>
      <c r="K161" s="826">
        <f t="shared" si="61"/>
        <v>0.17910447761194029</v>
      </c>
      <c r="L161" s="826">
        <f t="shared" si="62"/>
        <v>0.14925373134328357</v>
      </c>
      <c r="M161" s="826">
        <f t="shared" si="63"/>
        <v>0.14925373134328357</v>
      </c>
      <c r="N161" s="826">
        <f t="shared" si="64"/>
        <v>0.11940298507462686</v>
      </c>
      <c r="O161" s="826">
        <f t="shared" si="65"/>
        <v>8.9552238805970144E-2</v>
      </c>
      <c r="Q161" s="753">
        <f t="shared" si="57"/>
        <v>-0.21937482399324135</v>
      </c>
      <c r="R161" s="753">
        <f t="shared" si="58"/>
        <v>-0.14643762320473108</v>
      </c>
      <c r="S161" s="753">
        <f t="shared" si="58"/>
        <v>0.12250070402703463</v>
      </c>
      <c r="T161" s="753">
        <f t="shared" si="58"/>
        <v>9.2649957758377907E-2</v>
      </c>
      <c r="U161" s="753">
        <f t="shared" si="58"/>
        <v>-5.8293438468037195E-2</v>
      </c>
      <c r="V161" s="753">
        <f t="shared" si="66"/>
        <v>0.11940298507462686</v>
      </c>
      <c r="W161" s="753">
        <f t="shared" si="66"/>
        <v>8.9552238805970144E-2</v>
      </c>
    </row>
    <row r="162" spans="2:23" x14ac:dyDescent="0.25">
      <c r="B162" s="915" t="s">
        <v>70</v>
      </c>
      <c r="C162" s="583">
        <v>0.4</v>
      </c>
      <c r="D162" s="583">
        <v>0.42222222222222222</v>
      </c>
      <c r="E162" s="583">
        <v>0</v>
      </c>
      <c r="F162" s="583">
        <v>2.2222222222222223E-2</v>
      </c>
      <c r="G162" s="583">
        <v>0.15555555555555556</v>
      </c>
      <c r="H162" s="583"/>
      <c r="I162" s="825">
        <f t="shared" si="59"/>
        <v>0.12962962962962962</v>
      </c>
      <c r="J162" s="826">
        <f t="shared" si="60"/>
        <v>0.31481481481481483</v>
      </c>
      <c r="K162" s="826">
        <f t="shared" si="61"/>
        <v>0.1111111111111111</v>
      </c>
      <c r="L162" s="826">
        <f t="shared" si="62"/>
        <v>0.14814814814814814</v>
      </c>
      <c r="M162" s="826">
        <f t="shared" si="63"/>
        <v>5.5555555555555552E-2</v>
      </c>
      <c r="N162" s="826">
        <f t="shared" si="64"/>
        <v>0.12962962962962962</v>
      </c>
      <c r="O162" s="826">
        <f t="shared" si="65"/>
        <v>0.1111111111111111</v>
      </c>
      <c r="Q162" s="753">
        <f t="shared" si="57"/>
        <v>-0.27037037037037037</v>
      </c>
      <c r="R162" s="753">
        <f t="shared" si="58"/>
        <v>-0.1074074074074074</v>
      </c>
      <c r="S162" s="753">
        <f t="shared" si="58"/>
        <v>0.1111111111111111</v>
      </c>
      <c r="T162" s="753">
        <f t="shared" si="58"/>
        <v>0.12592592592592591</v>
      </c>
      <c r="U162" s="753">
        <f t="shared" si="58"/>
        <v>-0.1</v>
      </c>
      <c r="V162" s="753">
        <f t="shared" si="66"/>
        <v>0.12962962962962962</v>
      </c>
      <c r="W162" s="753">
        <f t="shared" si="66"/>
        <v>0.1111111111111111</v>
      </c>
    </row>
    <row r="163" spans="2:23" x14ac:dyDescent="0.25">
      <c r="B163" s="915" t="s">
        <v>71</v>
      </c>
      <c r="C163" s="583">
        <v>0.2</v>
      </c>
      <c r="D163" s="583">
        <v>0.5636363636363636</v>
      </c>
      <c r="E163" s="583">
        <v>1.8181818181818181E-2</v>
      </c>
      <c r="F163" s="583">
        <v>0.16363636363636364</v>
      </c>
      <c r="G163" s="583">
        <v>5.4545454545454543E-2</v>
      </c>
      <c r="H163" s="583"/>
      <c r="I163" s="825">
        <f t="shared" si="59"/>
        <v>8.6956521739130432E-2</v>
      </c>
      <c r="J163" s="826">
        <f t="shared" si="60"/>
        <v>0.34782608695652173</v>
      </c>
      <c r="K163" s="826">
        <f t="shared" si="61"/>
        <v>0.11594202898550725</v>
      </c>
      <c r="L163" s="826">
        <f t="shared" si="62"/>
        <v>0.15942028985507245</v>
      </c>
      <c r="M163" s="826">
        <f t="shared" si="63"/>
        <v>5.7971014492753624E-2</v>
      </c>
      <c r="N163" s="826">
        <f t="shared" si="64"/>
        <v>0.10144927536231885</v>
      </c>
      <c r="O163" s="826">
        <f t="shared" si="65"/>
        <v>0.13043478260869565</v>
      </c>
      <c r="Q163" s="753">
        <f t="shared" si="57"/>
        <v>-0.11304347826086958</v>
      </c>
      <c r="R163" s="753">
        <f t="shared" si="58"/>
        <v>-0.21581027667984187</v>
      </c>
      <c r="S163" s="753">
        <f t="shared" si="58"/>
        <v>9.7760210803689074E-2</v>
      </c>
      <c r="T163" s="753">
        <f t="shared" si="58"/>
        <v>-4.2160737812911853E-3</v>
      </c>
      <c r="U163" s="753">
        <f t="shared" si="58"/>
        <v>3.4255599472990811E-3</v>
      </c>
      <c r="V163" s="753">
        <f t="shared" si="66"/>
        <v>0.10144927536231885</v>
      </c>
      <c r="W163" s="753">
        <f t="shared" si="66"/>
        <v>0.13043478260869565</v>
      </c>
    </row>
    <row r="164" spans="2:23" x14ac:dyDescent="0.25">
      <c r="B164" s="915" t="s">
        <v>98</v>
      </c>
      <c r="C164" s="583">
        <v>0</v>
      </c>
      <c r="D164" s="583">
        <v>0</v>
      </c>
      <c r="E164" s="583">
        <v>0</v>
      </c>
      <c r="F164" s="583">
        <v>0</v>
      </c>
      <c r="G164" s="583">
        <v>1</v>
      </c>
      <c r="H164" s="583"/>
      <c r="I164" s="825">
        <f t="shared" si="59"/>
        <v>0</v>
      </c>
      <c r="J164" s="826">
        <f t="shared" si="60"/>
        <v>0</v>
      </c>
      <c r="K164" s="826">
        <f t="shared" si="61"/>
        <v>0</v>
      </c>
      <c r="L164" s="826">
        <f t="shared" si="62"/>
        <v>0</v>
      </c>
      <c r="M164" s="826">
        <f t="shared" si="63"/>
        <v>1</v>
      </c>
      <c r="N164" s="826">
        <f t="shared" si="64"/>
        <v>0</v>
      </c>
      <c r="O164" s="826">
        <f t="shared" si="65"/>
        <v>0</v>
      </c>
      <c r="Q164" s="753">
        <f t="shared" si="57"/>
        <v>0</v>
      </c>
      <c r="R164" s="753">
        <f t="shared" si="58"/>
        <v>0</v>
      </c>
      <c r="S164" s="753">
        <f t="shared" si="58"/>
        <v>0</v>
      </c>
      <c r="T164" s="753">
        <f t="shared" si="58"/>
        <v>0</v>
      </c>
      <c r="U164" s="753">
        <f t="shared" si="58"/>
        <v>0</v>
      </c>
      <c r="V164" s="753">
        <f t="shared" si="66"/>
        <v>0</v>
      </c>
      <c r="W164" s="753">
        <f t="shared" si="66"/>
        <v>0</v>
      </c>
    </row>
    <row r="165" spans="2:23" x14ac:dyDescent="0.25">
      <c r="B165" s="915" t="s">
        <v>72</v>
      </c>
      <c r="C165" s="583">
        <v>3.6363636363636362E-2</v>
      </c>
      <c r="D165" s="583">
        <v>0.29090909090909089</v>
      </c>
      <c r="E165" s="583">
        <v>0.27272727272727271</v>
      </c>
      <c r="F165" s="583">
        <v>5.4545454545454543E-2</v>
      </c>
      <c r="G165" s="583">
        <v>0.34545454545454546</v>
      </c>
      <c r="H165" s="583"/>
      <c r="I165" s="825">
        <f t="shared" si="59"/>
        <v>6.9767441860465115E-2</v>
      </c>
      <c r="J165" s="826">
        <f t="shared" si="60"/>
        <v>0.19767441860465115</v>
      </c>
      <c r="K165" s="826">
        <f t="shared" si="61"/>
        <v>0.31395348837209303</v>
      </c>
      <c r="L165" s="826">
        <f t="shared" si="62"/>
        <v>0.10465116279069768</v>
      </c>
      <c r="M165" s="826">
        <f t="shared" si="63"/>
        <v>0.22093023255813954</v>
      </c>
      <c r="N165" s="826">
        <f t="shared" si="64"/>
        <v>9.3023255813953487E-2</v>
      </c>
      <c r="O165" s="826">
        <f t="shared" si="65"/>
        <v>0</v>
      </c>
      <c r="Q165" s="753">
        <f t="shared" si="57"/>
        <v>3.3403805496828753E-2</v>
      </c>
      <c r="R165" s="753">
        <f t="shared" si="58"/>
        <v>-9.3234672304439742E-2</v>
      </c>
      <c r="S165" s="753">
        <f t="shared" si="58"/>
        <v>4.1226215644820319E-2</v>
      </c>
      <c r="T165" s="753">
        <f t="shared" si="58"/>
        <v>5.0105708245243137E-2</v>
      </c>
      <c r="U165" s="753">
        <f t="shared" si="58"/>
        <v>-0.12452431289640592</v>
      </c>
      <c r="V165" s="753">
        <f t="shared" si="66"/>
        <v>9.3023255813953487E-2</v>
      </c>
      <c r="W165" s="753">
        <f t="shared" si="66"/>
        <v>0</v>
      </c>
    </row>
    <row r="166" spans="2:23" x14ac:dyDescent="0.25">
      <c r="B166" s="915" t="s">
        <v>73</v>
      </c>
      <c r="C166" s="583">
        <v>0</v>
      </c>
      <c r="D166" s="583">
        <v>8.2352941176470587E-2</v>
      </c>
      <c r="E166" s="583">
        <v>0.61176470588235299</v>
      </c>
      <c r="F166" s="583">
        <v>2.3529411764705882E-2</v>
      </c>
      <c r="G166" s="583">
        <v>0.28235294117647058</v>
      </c>
      <c r="H166" s="583"/>
      <c r="I166" s="825">
        <f t="shared" si="59"/>
        <v>2.197802197802198E-2</v>
      </c>
      <c r="J166" s="826">
        <f t="shared" si="60"/>
        <v>0.61538461538461542</v>
      </c>
      <c r="K166" s="826">
        <f t="shared" si="61"/>
        <v>4.3956043956043959E-2</v>
      </c>
      <c r="L166" s="826">
        <f t="shared" si="62"/>
        <v>2.197802197802198E-2</v>
      </c>
      <c r="M166" s="826">
        <f t="shared" si="63"/>
        <v>0.15384615384615385</v>
      </c>
      <c r="N166" s="826">
        <f t="shared" si="64"/>
        <v>0.14285714285714285</v>
      </c>
      <c r="O166" s="826">
        <f t="shared" si="65"/>
        <v>0</v>
      </c>
      <c r="Q166" s="753">
        <f t="shared" si="57"/>
        <v>2.197802197802198E-2</v>
      </c>
      <c r="R166" s="753">
        <f t="shared" si="58"/>
        <v>0.53303167420814479</v>
      </c>
      <c r="S166" s="753">
        <f t="shared" si="58"/>
        <v>-0.56780866192630908</v>
      </c>
      <c r="T166" s="753">
        <f t="shared" si="58"/>
        <v>-1.5513897866839023E-3</v>
      </c>
      <c r="U166" s="753">
        <f t="shared" si="58"/>
        <v>-0.12850678733031673</v>
      </c>
      <c r="V166" s="753">
        <f t="shared" si="66"/>
        <v>0.14285714285714285</v>
      </c>
      <c r="W166" s="753">
        <f t="shared" si="66"/>
        <v>0</v>
      </c>
    </row>
    <row r="167" spans="2:23" x14ac:dyDescent="0.25">
      <c r="B167" s="915" t="s">
        <v>74</v>
      </c>
      <c r="C167" s="583">
        <v>7.0866141732283464E-2</v>
      </c>
      <c r="D167" s="583">
        <v>0.16535433070866143</v>
      </c>
      <c r="E167" s="583">
        <v>0.51968503937007871</v>
      </c>
      <c r="F167" s="583">
        <v>3.937007874015748E-2</v>
      </c>
      <c r="G167" s="583">
        <v>0.20472440944881889</v>
      </c>
      <c r="H167" s="583"/>
      <c r="I167" s="825">
        <f t="shared" si="59"/>
        <v>4.3859649122807015E-2</v>
      </c>
      <c r="J167" s="826">
        <f t="shared" si="60"/>
        <v>0.16666666666666666</v>
      </c>
      <c r="K167" s="826">
        <f t="shared" si="61"/>
        <v>0.42105263157894735</v>
      </c>
      <c r="L167" s="826">
        <f t="shared" si="62"/>
        <v>3.5087719298245612E-2</v>
      </c>
      <c r="M167" s="826">
        <f t="shared" si="63"/>
        <v>0.26315789473684209</v>
      </c>
      <c r="N167" s="826">
        <f t="shared" si="64"/>
        <v>4.3859649122807015E-2</v>
      </c>
      <c r="O167" s="826">
        <f t="shared" si="65"/>
        <v>2.6315789473684209E-2</v>
      </c>
      <c r="Q167" s="753">
        <f t="shared" si="57"/>
        <v>-2.7006492609476448E-2</v>
      </c>
      <c r="R167" s="753">
        <f t="shared" si="58"/>
        <v>1.3123359580052285E-3</v>
      </c>
      <c r="S167" s="753">
        <f t="shared" si="58"/>
        <v>-9.863240779113136E-2</v>
      </c>
      <c r="T167" s="753">
        <f t="shared" si="58"/>
        <v>-4.2823594419118677E-3</v>
      </c>
      <c r="U167" s="753">
        <f t="shared" si="58"/>
        <v>5.8433485288023196E-2</v>
      </c>
      <c r="V167" s="753">
        <f t="shared" si="66"/>
        <v>4.3859649122807015E-2</v>
      </c>
      <c r="W167" s="753">
        <f t="shared" si="66"/>
        <v>2.6315789473684209E-2</v>
      </c>
    </row>
    <row r="168" spans="2:23" x14ac:dyDescent="0.25">
      <c r="B168" s="915" t="s">
        <v>75</v>
      </c>
      <c r="C168" s="583">
        <v>8.4033613445378148E-3</v>
      </c>
      <c r="D168" s="583">
        <v>0.27731092436974791</v>
      </c>
      <c r="E168" s="583">
        <v>0.59663865546218486</v>
      </c>
      <c r="F168" s="583">
        <v>2.5210084033613446E-2</v>
      </c>
      <c r="G168" s="583">
        <v>9.2436974789915971E-2</v>
      </c>
      <c r="H168" s="583"/>
      <c r="I168" s="825">
        <f t="shared" si="59"/>
        <v>7.1942446043165471E-3</v>
      </c>
      <c r="J168" s="826">
        <f t="shared" si="60"/>
        <v>0.12949640287769784</v>
      </c>
      <c r="K168" s="826">
        <f t="shared" si="61"/>
        <v>0.53237410071942448</v>
      </c>
      <c r="L168" s="826">
        <f t="shared" si="62"/>
        <v>6.4748201438848921E-2</v>
      </c>
      <c r="M168" s="826">
        <f t="shared" si="63"/>
        <v>0.18705035971223022</v>
      </c>
      <c r="N168" s="826">
        <f t="shared" si="64"/>
        <v>7.1942446043165464E-2</v>
      </c>
      <c r="O168" s="826">
        <f t="shared" si="65"/>
        <v>7.1942446043165471E-3</v>
      </c>
      <c r="Q168" s="753">
        <f t="shared" si="57"/>
        <v>-1.2091167402212676E-3</v>
      </c>
      <c r="R168" s="753">
        <f t="shared" si="58"/>
        <v>-0.14781452149205007</v>
      </c>
      <c r="S168" s="753">
        <f t="shared" si="58"/>
        <v>-6.4264554742760382E-2</v>
      </c>
      <c r="T168" s="753">
        <f t="shared" si="58"/>
        <v>3.9538117405235475E-2</v>
      </c>
      <c r="U168" s="753">
        <f t="shared" si="58"/>
        <v>9.4613384922314248E-2</v>
      </c>
      <c r="V168" s="753">
        <f t="shared" si="66"/>
        <v>7.1942446043165464E-2</v>
      </c>
      <c r="W168" s="753">
        <f t="shared" si="66"/>
        <v>7.1942446043165471E-3</v>
      </c>
    </row>
    <row r="169" spans="2:23" x14ac:dyDescent="0.25">
      <c r="B169" s="915" t="s">
        <v>76</v>
      </c>
      <c r="C169" s="583">
        <v>0</v>
      </c>
      <c r="D169" s="583">
        <v>0.14615384615384616</v>
      </c>
      <c r="E169" s="583">
        <v>0.7</v>
      </c>
      <c r="F169" s="583">
        <v>1.5384615384615385E-2</v>
      </c>
      <c r="G169" s="583">
        <v>0.13846153846153847</v>
      </c>
      <c r="H169" s="583"/>
      <c r="I169" s="825">
        <f t="shared" si="59"/>
        <v>0</v>
      </c>
      <c r="J169" s="826">
        <f t="shared" si="60"/>
        <v>0.46875</v>
      </c>
      <c r="K169" s="826">
        <f t="shared" si="61"/>
        <v>0.1484375</v>
      </c>
      <c r="L169" s="826">
        <f t="shared" si="62"/>
        <v>3.125E-2</v>
      </c>
      <c r="M169" s="826">
        <f t="shared" si="63"/>
        <v>0.125</v>
      </c>
      <c r="N169" s="826">
        <f t="shared" si="64"/>
        <v>0.2265625</v>
      </c>
      <c r="O169" s="826">
        <f t="shared" si="65"/>
        <v>0</v>
      </c>
      <c r="Q169" s="753">
        <f t="shared" si="57"/>
        <v>0</v>
      </c>
      <c r="R169" s="753">
        <f t="shared" si="58"/>
        <v>0.32259615384615381</v>
      </c>
      <c r="S169" s="753">
        <f t="shared" si="58"/>
        <v>-0.55156249999999996</v>
      </c>
      <c r="T169" s="753">
        <f t="shared" si="58"/>
        <v>1.5865384615384615E-2</v>
      </c>
      <c r="U169" s="753">
        <f t="shared" si="58"/>
        <v>-1.3461538461538469E-2</v>
      </c>
      <c r="V169" s="753">
        <f t="shared" si="66"/>
        <v>0.2265625</v>
      </c>
      <c r="W169" s="753">
        <f t="shared" si="66"/>
        <v>0</v>
      </c>
    </row>
    <row r="170" spans="2:23" x14ac:dyDescent="0.25">
      <c r="B170" s="915" t="s">
        <v>99</v>
      </c>
      <c r="C170" s="583">
        <v>0</v>
      </c>
      <c r="D170" s="583">
        <v>0</v>
      </c>
      <c r="E170" s="583">
        <v>0</v>
      </c>
      <c r="F170" s="583">
        <v>0</v>
      </c>
      <c r="G170" s="583">
        <v>1</v>
      </c>
      <c r="H170" s="583"/>
      <c r="I170" s="825">
        <f t="shared" si="59"/>
        <v>0</v>
      </c>
      <c r="J170" s="826">
        <f t="shared" si="60"/>
        <v>0</v>
      </c>
      <c r="K170" s="826">
        <f t="shared" si="61"/>
        <v>0</v>
      </c>
      <c r="L170" s="826">
        <f t="shared" si="62"/>
        <v>0</v>
      </c>
      <c r="M170" s="826">
        <f t="shared" si="63"/>
        <v>1</v>
      </c>
      <c r="N170" s="826">
        <f t="shared" si="64"/>
        <v>0</v>
      </c>
      <c r="O170" s="826">
        <f t="shared" si="65"/>
        <v>0</v>
      </c>
      <c r="Q170" s="753">
        <f t="shared" si="57"/>
        <v>0</v>
      </c>
      <c r="R170" s="753">
        <f t="shared" si="58"/>
        <v>0</v>
      </c>
      <c r="S170" s="753">
        <f t="shared" si="58"/>
        <v>0</v>
      </c>
      <c r="T170" s="753">
        <f t="shared" si="58"/>
        <v>0</v>
      </c>
      <c r="U170" s="753">
        <f t="shared" si="58"/>
        <v>0</v>
      </c>
      <c r="V170" s="753">
        <f t="shared" si="66"/>
        <v>0</v>
      </c>
      <c r="W170" s="753">
        <f t="shared" si="66"/>
        <v>0</v>
      </c>
    </row>
    <row r="171" spans="2:23" x14ac:dyDescent="0.25">
      <c r="B171" s="915" t="s">
        <v>100</v>
      </c>
      <c r="C171" s="583">
        <v>0</v>
      </c>
      <c r="D171" s="583">
        <v>0</v>
      </c>
      <c r="E171" s="583">
        <v>0</v>
      </c>
      <c r="F171" s="583">
        <v>0</v>
      </c>
      <c r="G171" s="583">
        <v>1</v>
      </c>
      <c r="H171" s="583"/>
      <c r="I171" s="825">
        <f t="shared" si="59"/>
        <v>0</v>
      </c>
      <c r="J171" s="826">
        <f t="shared" si="60"/>
        <v>0</v>
      </c>
      <c r="K171" s="826">
        <f t="shared" si="61"/>
        <v>0</v>
      </c>
      <c r="L171" s="826">
        <f t="shared" si="62"/>
        <v>0</v>
      </c>
      <c r="M171" s="826">
        <f t="shared" si="63"/>
        <v>1</v>
      </c>
      <c r="N171" s="826">
        <f t="shared" si="64"/>
        <v>0</v>
      </c>
      <c r="O171" s="826">
        <f t="shared" si="65"/>
        <v>0</v>
      </c>
      <c r="Q171" s="753">
        <f t="shared" si="57"/>
        <v>0</v>
      </c>
      <c r="R171" s="753">
        <f t="shared" si="58"/>
        <v>0</v>
      </c>
      <c r="S171" s="753">
        <f t="shared" si="58"/>
        <v>0</v>
      </c>
      <c r="T171" s="753">
        <f t="shared" si="58"/>
        <v>0</v>
      </c>
      <c r="U171" s="753">
        <f t="shared" si="58"/>
        <v>0</v>
      </c>
      <c r="V171" s="753">
        <f t="shared" si="66"/>
        <v>0</v>
      </c>
      <c r="W171" s="753">
        <f t="shared" si="66"/>
        <v>0</v>
      </c>
    </row>
    <row r="172" spans="2:23" x14ac:dyDescent="0.25">
      <c r="B172" s="915" t="s">
        <v>92</v>
      </c>
      <c r="C172" s="583">
        <v>0</v>
      </c>
      <c r="D172" s="583">
        <v>0</v>
      </c>
      <c r="E172" s="583">
        <v>0</v>
      </c>
      <c r="F172" s="583">
        <v>0</v>
      </c>
      <c r="G172" s="583">
        <v>1</v>
      </c>
      <c r="H172" s="583"/>
      <c r="I172" s="825">
        <f t="shared" si="59"/>
        <v>0</v>
      </c>
      <c r="J172" s="826">
        <f t="shared" si="60"/>
        <v>0</v>
      </c>
      <c r="K172" s="826">
        <f t="shared" si="61"/>
        <v>0</v>
      </c>
      <c r="L172" s="826">
        <f t="shared" si="62"/>
        <v>0</v>
      </c>
      <c r="M172" s="826">
        <f t="shared" si="63"/>
        <v>1</v>
      </c>
      <c r="N172" s="826">
        <f t="shared" si="64"/>
        <v>0</v>
      </c>
      <c r="O172" s="826">
        <f t="shared" si="65"/>
        <v>0</v>
      </c>
      <c r="Q172" s="753">
        <f t="shared" si="57"/>
        <v>0</v>
      </c>
      <c r="R172" s="753">
        <f t="shared" si="58"/>
        <v>0</v>
      </c>
      <c r="S172" s="753">
        <f t="shared" si="58"/>
        <v>0</v>
      </c>
      <c r="T172" s="753">
        <f t="shared" si="58"/>
        <v>0</v>
      </c>
      <c r="U172" s="753">
        <f t="shared" si="58"/>
        <v>0</v>
      </c>
      <c r="V172" s="753">
        <f t="shared" si="66"/>
        <v>0</v>
      </c>
      <c r="W172" s="753">
        <f t="shared" si="66"/>
        <v>0</v>
      </c>
    </row>
    <row r="173" spans="2:23" x14ac:dyDescent="0.25">
      <c r="B173" s="915" t="s">
        <v>77</v>
      </c>
      <c r="C173" s="583">
        <v>0.23943661971830985</v>
      </c>
      <c r="D173" s="583">
        <v>0.3380281690140845</v>
      </c>
      <c r="E173" s="583">
        <v>0</v>
      </c>
      <c r="F173" s="583">
        <v>0.18309859154929578</v>
      </c>
      <c r="G173" s="583">
        <v>0.23943661971830985</v>
      </c>
      <c r="H173" s="583"/>
      <c r="I173" s="825">
        <f t="shared" si="59"/>
        <v>0.10126582278481013</v>
      </c>
      <c r="J173" s="826">
        <f t="shared" si="60"/>
        <v>0.29113924050632911</v>
      </c>
      <c r="K173" s="826">
        <f t="shared" si="61"/>
        <v>6.3291139240506333E-2</v>
      </c>
      <c r="L173" s="826">
        <f t="shared" si="62"/>
        <v>0.189873417721519</v>
      </c>
      <c r="M173" s="826">
        <f t="shared" si="63"/>
        <v>3.7974683544303799E-2</v>
      </c>
      <c r="N173" s="826">
        <f t="shared" si="64"/>
        <v>0.12658227848101267</v>
      </c>
      <c r="O173" s="826">
        <f t="shared" si="65"/>
        <v>0.189873417721519</v>
      </c>
      <c r="Q173" s="753">
        <f t="shared" si="57"/>
        <v>-0.13817079693349971</v>
      </c>
      <c r="R173" s="753">
        <f t="shared" si="58"/>
        <v>-4.688892850775539E-2</v>
      </c>
      <c r="S173" s="753">
        <f t="shared" si="58"/>
        <v>6.3291139240506333E-2</v>
      </c>
      <c r="T173" s="753">
        <f t="shared" si="58"/>
        <v>6.7748261722232195E-3</v>
      </c>
      <c r="U173" s="753">
        <f t="shared" si="58"/>
        <v>-0.20146193617400604</v>
      </c>
      <c r="V173" s="753">
        <f t="shared" si="66"/>
        <v>0.12658227848101267</v>
      </c>
      <c r="W173" s="753">
        <f t="shared" si="66"/>
        <v>0.189873417721519</v>
      </c>
    </row>
    <row r="174" spans="2:23" x14ac:dyDescent="0.25">
      <c r="B174" s="915" t="s">
        <v>78</v>
      </c>
      <c r="C174" s="583">
        <v>0</v>
      </c>
      <c r="D174" s="583">
        <v>9.8591549295774641E-2</v>
      </c>
      <c r="E174" s="583">
        <v>0.71830985915492962</v>
      </c>
      <c r="F174" s="583">
        <v>4.2253521126760563E-2</v>
      </c>
      <c r="G174" s="583">
        <v>0.14084507042253522</v>
      </c>
      <c r="H174" s="583"/>
      <c r="I174" s="825">
        <f t="shared" si="59"/>
        <v>3.870967741935484E-2</v>
      </c>
      <c r="J174" s="826">
        <f t="shared" si="60"/>
        <v>0.29677419354838708</v>
      </c>
      <c r="K174" s="826">
        <f t="shared" si="61"/>
        <v>0.29677419354838708</v>
      </c>
      <c r="L174" s="826">
        <f t="shared" si="62"/>
        <v>9.0322580645161285E-2</v>
      </c>
      <c r="M174" s="826">
        <f t="shared" si="63"/>
        <v>0.12258064516129032</v>
      </c>
      <c r="N174" s="826">
        <f t="shared" si="64"/>
        <v>0.14193548387096774</v>
      </c>
      <c r="O174" s="826">
        <f t="shared" si="65"/>
        <v>1.2903225806451613E-2</v>
      </c>
      <c r="Q174" s="753">
        <f t="shared" si="57"/>
        <v>3.870967741935484E-2</v>
      </c>
      <c r="R174" s="753">
        <f t="shared" si="58"/>
        <v>0.19818264425261245</v>
      </c>
      <c r="S174" s="753">
        <f t="shared" si="58"/>
        <v>-0.42153566560654254</v>
      </c>
      <c r="T174" s="753">
        <f t="shared" si="58"/>
        <v>4.8069059518400722E-2</v>
      </c>
      <c r="U174" s="753">
        <f t="shared" si="58"/>
        <v>-1.8264425261244902E-2</v>
      </c>
      <c r="V174" s="753">
        <f t="shared" si="66"/>
        <v>0.14193548387096774</v>
      </c>
      <c r="W174" s="753">
        <f t="shared" si="66"/>
        <v>1.2903225806451613E-2</v>
      </c>
    </row>
    <row r="175" spans="2:23" x14ac:dyDescent="0.25">
      <c r="B175" s="915" t="s">
        <v>55</v>
      </c>
      <c r="C175" s="583">
        <v>6.0483870967741937E-2</v>
      </c>
      <c r="D175" s="583">
        <v>0.22177419354838709</v>
      </c>
      <c r="E175" s="583">
        <v>0.65322580645161288</v>
      </c>
      <c r="F175" s="583">
        <v>0</v>
      </c>
      <c r="G175" s="583">
        <v>6.4516129032258063E-2</v>
      </c>
      <c r="H175" s="583"/>
      <c r="I175" s="825">
        <f t="shared" si="59"/>
        <v>3.8314176245210725E-2</v>
      </c>
      <c r="J175" s="826">
        <f t="shared" si="60"/>
        <v>0.19923371647509577</v>
      </c>
      <c r="K175" s="826">
        <f t="shared" si="61"/>
        <v>0.49808429118773945</v>
      </c>
      <c r="L175" s="826">
        <f t="shared" si="62"/>
        <v>6.5134099616858232E-2</v>
      </c>
      <c r="M175" s="826">
        <f t="shared" si="63"/>
        <v>4.2145593869731802E-2</v>
      </c>
      <c r="N175" s="826">
        <f t="shared" si="64"/>
        <v>0.13793103448275862</v>
      </c>
      <c r="O175" s="826">
        <f t="shared" si="65"/>
        <v>1.9157088122605363E-2</v>
      </c>
      <c r="Q175" s="753">
        <f t="shared" si="57"/>
        <v>-2.2169694722531212E-2</v>
      </c>
      <c r="R175" s="753">
        <f t="shared" ref="R175:U176" si="67">J175-D175</f>
        <v>-2.2540477073291321E-2</v>
      </c>
      <c r="S175" s="753">
        <f t="shared" si="67"/>
        <v>-0.15514151526387343</v>
      </c>
      <c r="T175" s="753">
        <f t="shared" si="67"/>
        <v>6.5134099616858232E-2</v>
      </c>
      <c r="U175" s="753">
        <f t="shared" si="67"/>
        <v>-2.237053516252626E-2</v>
      </c>
      <c r="V175" s="753">
        <f t="shared" si="66"/>
        <v>0.13793103448275862</v>
      </c>
      <c r="W175" s="753">
        <f t="shared" si="66"/>
        <v>1.9157088122605363E-2</v>
      </c>
    </row>
    <row r="176" spans="2:23" x14ac:dyDescent="0.25">
      <c r="B176" s="915" t="s">
        <v>80</v>
      </c>
      <c r="C176" s="583">
        <v>0.50370370370370365</v>
      </c>
      <c r="D176" s="583">
        <v>0</v>
      </c>
      <c r="E176" s="583">
        <v>0.28888888888888886</v>
      </c>
      <c r="F176" s="583">
        <v>0.2074074074074074</v>
      </c>
      <c r="G176" s="583">
        <v>0</v>
      </c>
      <c r="H176" s="583"/>
      <c r="I176" s="825">
        <f t="shared" si="59"/>
        <v>0.16326530612244897</v>
      </c>
      <c r="J176" s="826">
        <f t="shared" si="60"/>
        <v>6.8027210884353748E-2</v>
      </c>
      <c r="K176" s="826">
        <f t="shared" si="61"/>
        <v>0.25170068027210885</v>
      </c>
      <c r="L176" s="826">
        <f t="shared" si="62"/>
        <v>0.25170068027210885</v>
      </c>
      <c r="M176" s="826">
        <f t="shared" si="63"/>
        <v>0</v>
      </c>
      <c r="N176" s="826">
        <f t="shared" si="64"/>
        <v>6.8027210884353739E-3</v>
      </c>
      <c r="O176" s="826">
        <f t="shared" si="65"/>
        <v>0.25850340136054423</v>
      </c>
      <c r="Q176" s="753">
        <f t="shared" si="57"/>
        <v>-0.34043839758125471</v>
      </c>
      <c r="R176" s="753">
        <f t="shared" si="67"/>
        <v>6.8027210884353748E-2</v>
      </c>
      <c r="S176" s="753">
        <f t="shared" si="67"/>
        <v>-3.7188208616780016E-2</v>
      </c>
      <c r="T176" s="753">
        <f t="shared" si="67"/>
        <v>4.4293272864701444E-2</v>
      </c>
      <c r="U176" s="753">
        <f t="shared" si="67"/>
        <v>0</v>
      </c>
      <c r="V176" s="753">
        <f t="shared" si="66"/>
        <v>6.8027210884353739E-3</v>
      </c>
      <c r="W176" s="753">
        <f t="shared" si="66"/>
        <v>0.25850340136054423</v>
      </c>
    </row>
    <row r="178" spans="1:18" x14ac:dyDescent="0.25">
      <c r="B178" s="770">
        <v>43556</v>
      </c>
      <c r="C178" s="771"/>
      <c r="D178" s="771"/>
      <c r="E178" s="771"/>
      <c r="F178" s="772"/>
      <c r="G178" s="772"/>
      <c r="H178" s="772"/>
      <c r="I178" s="772"/>
      <c r="J178" s="772"/>
      <c r="K178" s="772"/>
      <c r="L178" s="772"/>
      <c r="M178" s="772"/>
      <c r="N178" s="772"/>
      <c r="O178" s="772"/>
      <c r="P178" s="772"/>
      <c r="Q178" s="772"/>
      <c r="R178" s="772"/>
    </row>
    <row r="179" spans="1:18" x14ac:dyDescent="0.25">
      <c r="B179" s="772"/>
      <c r="C179" s="772"/>
      <c r="D179" s="772"/>
      <c r="E179" s="772"/>
      <c r="F179" s="772"/>
      <c r="G179" s="772"/>
      <c r="H179" s="772">
        <v>8</v>
      </c>
      <c r="I179" s="772">
        <v>9</v>
      </c>
      <c r="J179" s="772">
        <v>10</v>
      </c>
      <c r="K179" s="772">
        <v>11</v>
      </c>
      <c r="L179" s="772">
        <v>12</v>
      </c>
      <c r="M179" s="772">
        <v>13</v>
      </c>
      <c r="N179" s="772">
        <v>14</v>
      </c>
      <c r="O179" s="772">
        <v>15</v>
      </c>
      <c r="P179" s="772">
        <v>16</v>
      </c>
      <c r="Q179" s="772">
        <v>17</v>
      </c>
      <c r="R179" s="772">
        <v>18</v>
      </c>
    </row>
    <row r="180" spans="1:18" ht="21" x14ac:dyDescent="0.25">
      <c r="B180" s="773" t="s">
        <v>66</v>
      </c>
      <c r="C180" s="774" t="s">
        <v>51</v>
      </c>
      <c r="D180" s="775" t="s">
        <v>688</v>
      </c>
      <c r="E180" s="776" t="s">
        <v>839</v>
      </c>
      <c r="F180" s="777" t="s">
        <v>858</v>
      </c>
      <c r="G180" s="776" t="s">
        <v>840</v>
      </c>
      <c r="H180" s="777" t="s">
        <v>880</v>
      </c>
      <c r="I180" s="776" t="s">
        <v>841</v>
      </c>
      <c r="J180" s="777" t="s">
        <v>881</v>
      </c>
      <c r="K180" s="776" t="s">
        <v>842</v>
      </c>
      <c r="L180" s="777" t="s">
        <v>882</v>
      </c>
      <c r="M180" s="778" t="s">
        <v>843</v>
      </c>
      <c r="N180" s="779" t="s">
        <v>883</v>
      </c>
      <c r="O180" s="776" t="s">
        <v>844</v>
      </c>
      <c r="P180" s="777" t="s">
        <v>884</v>
      </c>
      <c r="Q180" s="778" t="s">
        <v>845</v>
      </c>
      <c r="R180" s="779" t="s">
        <v>885</v>
      </c>
    </row>
    <row r="181" spans="1:18" x14ac:dyDescent="0.25">
      <c r="A181" s="185">
        <v>9257010</v>
      </c>
      <c r="B181" s="962" t="s">
        <v>67</v>
      </c>
      <c r="C181" s="781">
        <v>3</v>
      </c>
      <c r="D181" s="782">
        <f t="shared" ref="D181:D189" si="68">E181+G181+I181+K181+M181+O181+Q181</f>
        <v>60</v>
      </c>
      <c r="E181" s="783">
        <v>3</v>
      </c>
      <c r="F181" s="784">
        <f>E181/D181</f>
        <v>0.05</v>
      </c>
      <c r="G181" s="785">
        <v>21</v>
      </c>
      <c r="H181" s="784">
        <f>G181/D181</f>
        <v>0.35</v>
      </c>
      <c r="I181" s="785">
        <v>4</v>
      </c>
      <c r="J181" s="784">
        <f>I181/D181</f>
        <v>6.6666666666666666E-2</v>
      </c>
      <c r="K181" s="785">
        <v>9</v>
      </c>
      <c r="L181" s="784">
        <f>K181/D181</f>
        <v>0.15</v>
      </c>
      <c r="M181" s="786">
        <v>3</v>
      </c>
      <c r="N181" s="787">
        <f>M181/D181</f>
        <v>0.05</v>
      </c>
      <c r="O181" s="785">
        <v>13</v>
      </c>
      <c r="P181" s="784">
        <f>O181/D181</f>
        <v>0.21666666666666667</v>
      </c>
      <c r="Q181" s="786">
        <v>7</v>
      </c>
      <c r="R181" s="787">
        <f>Q181/D181</f>
        <v>0.11666666666666667</v>
      </c>
    </row>
    <row r="182" spans="1:18" x14ac:dyDescent="0.25">
      <c r="A182" s="185">
        <v>9257005</v>
      </c>
      <c r="B182" s="962" t="s">
        <v>68</v>
      </c>
      <c r="C182" s="781">
        <v>3</v>
      </c>
      <c r="D182" s="782">
        <f t="shared" si="68"/>
        <v>74</v>
      </c>
      <c r="E182" s="783">
        <v>8</v>
      </c>
      <c r="F182" s="784">
        <f>E182/D182</f>
        <v>0.10810810810810811</v>
      </c>
      <c r="G182" s="785">
        <v>17</v>
      </c>
      <c r="H182" s="784">
        <f>G182/D182</f>
        <v>0.22972972972972974</v>
      </c>
      <c r="I182" s="785">
        <v>9</v>
      </c>
      <c r="J182" s="784">
        <f>I182/D182</f>
        <v>0.12162162162162163</v>
      </c>
      <c r="K182" s="785">
        <v>11</v>
      </c>
      <c r="L182" s="784">
        <f>K182/D182</f>
        <v>0.14864864864864866</v>
      </c>
      <c r="M182" s="786">
        <v>10</v>
      </c>
      <c r="N182" s="787">
        <f>M182/D182</f>
        <v>0.13513513513513514</v>
      </c>
      <c r="O182" s="785">
        <v>13</v>
      </c>
      <c r="P182" s="784">
        <f>O182/D182</f>
        <v>0.17567567567567569</v>
      </c>
      <c r="Q182" s="786">
        <v>6</v>
      </c>
      <c r="R182" s="787">
        <f>Q182/D182</f>
        <v>8.1081081081081086E-2</v>
      </c>
    </row>
    <row r="183" spans="1:18" x14ac:dyDescent="0.25">
      <c r="A183" s="185">
        <v>9257025</v>
      </c>
      <c r="B183" s="962" t="s">
        <v>69</v>
      </c>
      <c r="C183" s="781">
        <v>3</v>
      </c>
      <c r="D183" s="782">
        <f t="shared" si="68"/>
        <v>74</v>
      </c>
      <c r="E183" s="783">
        <v>17</v>
      </c>
      <c r="F183" s="784">
        <f>E183/D183</f>
        <v>0.22972972972972974</v>
      </c>
      <c r="G183" s="785">
        <v>22</v>
      </c>
      <c r="H183" s="784">
        <f>G183/D183</f>
        <v>0.29729729729729731</v>
      </c>
      <c r="I183" s="785">
        <v>9</v>
      </c>
      <c r="J183" s="784">
        <f>I183/D183</f>
        <v>0.12162162162162163</v>
      </c>
      <c r="K183" s="785">
        <v>9</v>
      </c>
      <c r="L183" s="784">
        <f>K183/D183</f>
        <v>0.12162162162162163</v>
      </c>
      <c r="M183" s="786">
        <v>6</v>
      </c>
      <c r="N183" s="787">
        <f>M183/D183</f>
        <v>8.1081081081081086E-2</v>
      </c>
      <c r="O183" s="785">
        <v>8</v>
      </c>
      <c r="P183" s="784">
        <f>O183/D183</f>
        <v>0.10810810810810811</v>
      </c>
      <c r="Q183" s="786">
        <v>3</v>
      </c>
      <c r="R183" s="787">
        <f>Q183/D183</f>
        <v>4.0540540540540543E-2</v>
      </c>
    </row>
    <row r="184" spans="1:18" x14ac:dyDescent="0.25">
      <c r="A184" s="185">
        <v>9257011</v>
      </c>
      <c r="B184" s="962" t="s">
        <v>70</v>
      </c>
      <c r="C184" s="781">
        <v>3</v>
      </c>
      <c r="D184" s="782">
        <f t="shared" si="68"/>
        <v>55</v>
      </c>
      <c r="E184" s="783">
        <v>4</v>
      </c>
      <c r="F184" s="784">
        <f>E184/D184</f>
        <v>7.2727272727272724E-2</v>
      </c>
      <c r="G184" s="785">
        <v>15</v>
      </c>
      <c r="H184" s="784">
        <f>G184/D184</f>
        <v>0.27272727272727271</v>
      </c>
      <c r="I184" s="785">
        <v>2</v>
      </c>
      <c r="J184" s="784">
        <f>I184/D184</f>
        <v>3.6363636363636362E-2</v>
      </c>
      <c r="K184" s="785">
        <v>13</v>
      </c>
      <c r="L184" s="784">
        <f>K184/D184</f>
        <v>0.23636363636363636</v>
      </c>
      <c r="M184" s="786">
        <v>8</v>
      </c>
      <c r="N184" s="787">
        <f>M184/D184</f>
        <v>0.14545454545454545</v>
      </c>
      <c r="O184" s="785">
        <v>8</v>
      </c>
      <c r="P184" s="784">
        <f>O184/D184</f>
        <v>0.14545454545454545</v>
      </c>
      <c r="Q184" s="786">
        <v>5</v>
      </c>
      <c r="R184" s="787">
        <f>Q184/D184</f>
        <v>9.0909090909090912E-2</v>
      </c>
    </row>
    <row r="185" spans="1:18" x14ac:dyDescent="0.25">
      <c r="A185" s="185">
        <v>9257024</v>
      </c>
      <c r="B185" s="962" t="s">
        <v>71</v>
      </c>
      <c r="C185" s="781">
        <v>3</v>
      </c>
      <c r="D185" s="782">
        <f t="shared" si="68"/>
        <v>82</v>
      </c>
      <c r="E185" s="785">
        <v>9</v>
      </c>
      <c r="F185" s="784">
        <f>E185/D185</f>
        <v>0.10975609756097561</v>
      </c>
      <c r="G185" s="785">
        <v>34</v>
      </c>
      <c r="H185" s="784">
        <f>G185/D185</f>
        <v>0.41463414634146339</v>
      </c>
      <c r="I185" s="785">
        <v>2</v>
      </c>
      <c r="J185" s="784">
        <f>I185/D185</f>
        <v>2.4390243902439025E-2</v>
      </c>
      <c r="K185" s="785">
        <v>11</v>
      </c>
      <c r="L185" s="784">
        <f>K185/D185</f>
        <v>0.13414634146341464</v>
      </c>
      <c r="M185" s="786">
        <v>10</v>
      </c>
      <c r="N185" s="787">
        <f>M185/D185</f>
        <v>0.12195121951219512</v>
      </c>
      <c r="O185" s="785">
        <v>6</v>
      </c>
      <c r="P185" s="784">
        <f>O185/D185</f>
        <v>7.3170731707317069E-2</v>
      </c>
      <c r="Q185" s="786">
        <v>10</v>
      </c>
      <c r="R185" s="787">
        <f>Q185/D185</f>
        <v>0.12195121951219512</v>
      </c>
    </row>
    <row r="186" spans="1:18" x14ac:dyDescent="0.25">
      <c r="A186" s="185">
        <v>9257031</v>
      </c>
      <c r="B186" s="962" t="s">
        <v>98</v>
      </c>
      <c r="C186" s="781">
        <v>3</v>
      </c>
      <c r="D186" s="782">
        <f t="shared" si="68"/>
        <v>0</v>
      </c>
      <c r="E186" s="785">
        <v>0</v>
      </c>
      <c r="F186" s="784">
        <v>0</v>
      </c>
      <c r="G186" s="785">
        <v>0</v>
      </c>
      <c r="H186" s="784">
        <v>0</v>
      </c>
      <c r="I186" s="785">
        <v>0</v>
      </c>
      <c r="J186" s="784">
        <v>1</v>
      </c>
      <c r="K186" s="785">
        <v>0</v>
      </c>
      <c r="L186" s="784">
        <v>0</v>
      </c>
      <c r="M186" s="786">
        <v>0</v>
      </c>
      <c r="N186" s="787">
        <v>0</v>
      </c>
      <c r="O186" s="785">
        <v>0</v>
      </c>
      <c r="P186" s="784">
        <v>0</v>
      </c>
      <c r="Q186" s="786">
        <v>0</v>
      </c>
      <c r="R186" s="787">
        <v>0</v>
      </c>
    </row>
    <row r="187" spans="1:18" x14ac:dyDescent="0.25">
      <c r="A187" s="185">
        <v>9257033</v>
      </c>
      <c r="B187" s="962" t="s">
        <v>72</v>
      </c>
      <c r="C187" s="781">
        <v>3</v>
      </c>
      <c r="D187" s="782">
        <f t="shared" si="68"/>
        <v>88</v>
      </c>
      <c r="E187" s="785">
        <v>18</v>
      </c>
      <c r="F187" s="784">
        <f>E187/D187</f>
        <v>0.20454545454545456</v>
      </c>
      <c r="G187" s="785">
        <v>25</v>
      </c>
      <c r="H187" s="784">
        <f>G187/D187</f>
        <v>0.28409090909090912</v>
      </c>
      <c r="I187" s="785">
        <v>17</v>
      </c>
      <c r="J187" s="784">
        <f>I187/D187</f>
        <v>0.19318181818181818</v>
      </c>
      <c r="K187" s="788">
        <v>15</v>
      </c>
      <c r="L187" s="784">
        <f>K187/D187</f>
        <v>0.17045454545454544</v>
      </c>
      <c r="M187" s="786">
        <v>7</v>
      </c>
      <c r="N187" s="787">
        <f>M187/D187</f>
        <v>7.9545454545454544E-2</v>
      </c>
      <c r="O187" s="788">
        <v>6</v>
      </c>
      <c r="P187" s="784">
        <f>O187/D187</f>
        <v>6.8181818181818177E-2</v>
      </c>
      <c r="Q187" s="786">
        <v>0</v>
      </c>
      <c r="R187" s="787">
        <f>Q187/D187</f>
        <v>0</v>
      </c>
    </row>
    <row r="188" spans="1:18" x14ac:dyDescent="0.25">
      <c r="A188" s="185">
        <v>9257008</v>
      </c>
      <c r="B188" s="962" t="s">
        <v>73</v>
      </c>
      <c r="C188" s="781">
        <v>3</v>
      </c>
      <c r="D188" s="782">
        <f t="shared" si="68"/>
        <v>95</v>
      </c>
      <c r="E188" s="785">
        <v>6</v>
      </c>
      <c r="F188" s="784">
        <f>E188/D188</f>
        <v>6.3157894736842107E-2</v>
      </c>
      <c r="G188" s="785">
        <v>55</v>
      </c>
      <c r="H188" s="784">
        <f>G188/D188</f>
        <v>0.57894736842105265</v>
      </c>
      <c r="I188" s="785">
        <v>10</v>
      </c>
      <c r="J188" s="784">
        <f>I188/D188</f>
        <v>0.10526315789473684</v>
      </c>
      <c r="K188" s="785">
        <v>5</v>
      </c>
      <c r="L188" s="784">
        <f>K188/D188</f>
        <v>5.2631578947368418E-2</v>
      </c>
      <c r="M188" s="789">
        <v>1</v>
      </c>
      <c r="N188" s="787">
        <f>M188/D188</f>
        <v>1.0526315789473684E-2</v>
      </c>
      <c r="O188" s="785">
        <v>18</v>
      </c>
      <c r="P188" s="784">
        <f>O188/D188</f>
        <v>0.18947368421052632</v>
      </c>
      <c r="Q188" s="789">
        <v>0</v>
      </c>
      <c r="R188" s="787">
        <f>Q188/D188</f>
        <v>0</v>
      </c>
    </row>
    <row r="189" spans="1:18" x14ac:dyDescent="0.25">
      <c r="A189" s="185">
        <v>9257034</v>
      </c>
      <c r="B189" s="962" t="s">
        <v>74</v>
      </c>
      <c r="C189" s="781">
        <v>4</v>
      </c>
      <c r="D189" s="782">
        <f t="shared" si="68"/>
        <v>112</v>
      </c>
      <c r="E189" s="785">
        <v>47</v>
      </c>
      <c r="F189" s="784">
        <f>E189/D189</f>
        <v>0.41964285714285715</v>
      </c>
      <c r="G189" s="785">
        <v>30</v>
      </c>
      <c r="H189" s="784">
        <f>G189/D189</f>
        <v>0.26785714285714285</v>
      </c>
      <c r="I189" s="785">
        <v>20</v>
      </c>
      <c r="J189" s="784">
        <f>I189/D189</f>
        <v>0.17857142857142858</v>
      </c>
      <c r="K189" s="785">
        <v>5</v>
      </c>
      <c r="L189" s="784">
        <f>K189/D189</f>
        <v>4.4642857142857144E-2</v>
      </c>
      <c r="M189" s="786">
        <v>4</v>
      </c>
      <c r="N189" s="787">
        <f>M189/D189</f>
        <v>3.5714285714285712E-2</v>
      </c>
      <c r="O189" s="785">
        <v>5</v>
      </c>
      <c r="P189" s="784">
        <f>O189/D189</f>
        <v>4.4642857142857144E-2</v>
      </c>
      <c r="Q189" s="786">
        <v>1</v>
      </c>
      <c r="R189" s="787">
        <f>Q189/D189</f>
        <v>8.9285714285714281E-3</v>
      </c>
    </row>
    <row r="190" spans="1:18" x14ac:dyDescent="0.25">
      <c r="A190" s="185">
        <v>9257002</v>
      </c>
      <c r="B190" s="962" t="s">
        <v>75</v>
      </c>
      <c r="C190" s="781">
        <v>4</v>
      </c>
      <c r="D190" s="782">
        <f>E190+G190+I190+K190+M190+O190+Q190</f>
        <v>144</v>
      </c>
      <c r="E190" s="785">
        <v>67</v>
      </c>
      <c r="F190" s="784">
        <f>E190/D190</f>
        <v>0.46527777777777779</v>
      </c>
      <c r="G190" s="785">
        <v>24</v>
      </c>
      <c r="H190" s="784">
        <f>G190/D190</f>
        <v>0.16666666666666666</v>
      </c>
      <c r="I190" s="785">
        <v>27</v>
      </c>
      <c r="J190" s="784">
        <f>I190/D190</f>
        <v>0.1875</v>
      </c>
      <c r="K190" s="785">
        <v>2</v>
      </c>
      <c r="L190" s="784">
        <f>K190/D190</f>
        <v>1.3888888888888888E-2</v>
      </c>
      <c r="M190" s="786">
        <v>7</v>
      </c>
      <c r="N190" s="787">
        <f>M190/D190</f>
        <v>4.8611111111111112E-2</v>
      </c>
      <c r="O190" s="785">
        <v>16</v>
      </c>
      <c r="P190" s="784">
        <f>O190/D190</f>
        <v>0.1111111111111111</v>
      </c>
      <c r="Q190" s="786">
        <v>1</v>
      </c>
      <c r="R190" s="787">
        <f>Q190/D190</f>
        <v>6.9444444444444441E-3</v>
      </c>
    </row>
    <row r="191" spans="1:18" x14ac:dyDescent="0.25">
      <c r="A191" s="185">
        <v>9257009</v>
      </c>
      <c r="B191" s="962" t="s">
        <v>76</v>
      </c>
      <c r="C191" s="781">
        <v>4</v>
      </c>
      <c r="D191" s="782">
        <f t="shared" ref="D191:D198" si="69">E191+G191+I191+K191+M191+O191+Q191</f>
        <v>134</v>
      </c>
      <c r="E191" s="785">
        <v>24</v>
      </c>
      <c r="F191" s="784">
        <f>E191/D191</f>
        <v>0.17910447761194029</v>
      </c>
      <c r="G191" s="785">
        <v>68</v>
      </c>
      <c r="H191" s="784">
        <f>G191/D191</f>
        <v>0.5074626865671642</v>
      </c>
      <c r="I191" s="785">
        <v>16</v>
      </c>
      <c r="J191" s="784">
        <f>I191/D191</f>
        <v>0.11940298507462686</v>
      </c>
      <c r="K191" s="785">
        <v>2</v>
      </c>
      <c r="L191" s="784">
        <f>K191/D191</f>
        <v>1.4925373134328358E-2</v>
      </c>
      <c r="M191" s="786">
        <v>5</v>
      </c>
      <c r="N191" s="787">
        <f>M191/D191</f>
        <v>3.7313432835820892E-2</v>
      </c>
      <c r="O191" s="785">
        <v>19</v>
      </c>
      <c r="P191" s="784">
        <f>O191/D191</f>
        <v>0.1417910447761194</v>
      </c>
      <c r="Q191" s="786">
        <v>0</v>
      </c>
      <c r="R191" s="787">
        <f>Q191/D191</f>
        <v>0</v>
      </c>
    </row>
    <row r="192" spans="1:18" x14ac:dyDescent="0.25">
      <c r="A192" s="185">
        <v>9257029</v>
      </c>
      <c r="B192" s="962" t="s">
        <v>848</v>
      </c>
      <c r="C192" s="781">
        <v>4</v>
      </c>
      <c r="D192" s="782">
        <f t="shared" si="69"/>
        <v>0</v>
      </c>
      <c r="E192" s="785">
        <v>0</v>
      </c>
      <c r="F192" s="784">
        <v>0</v>
      </c>
      <c r="G192" s="785">
        <v>0</v>
      </c>
      <c r="H192" s="784">
        <v>0</v>
      </c>
      <c r="I192" s="785">
        <v>0</v>
      </c>
      <c r="J192" s="784">
        <v>1</v>
      </c>
      <c r="K192" s="785">
        <v>0</v>
      </c>
      <c r="L192" s="784">
        <v>0</v>
      </c>
      <c r="M192" s="786">
        <v>0</v>
      </c>
      <c r="N192" s="787">
        <v>0</v>
      </c>
      <c r="O192" s="785">
        <v>0</v>
      </c>
      <c r="P192" s="784">
        <v>0</v>
      </c>
      <c r="Q192" s="786">
        <v>0</v>
      </c>
      <c r="R192" s="787">
        <v>0</v>
      </c>
    </row>
    <row r="193" spans="1:18" x14ac:dyDescent="0.25">
      <c r="A193" s="185">
        <v>9257032</v>
      </c>
      <c r="B193" s="962" t="s">
        <v>770</v>
      </c>
      <c r="C193" s="781">
        <v>4</v>
      </c>
      <c r="D193" s="782">
        <f t="shared" si="69"/>
        <v>0</v>
      </c>
      <c r="E193" s="785">
        <v>0</v>
      </c>
      <c r="F193" s="784">
        <v>0</v>
      </c>
      <c r="G193" s="785">
        <v>0</v>
      </c>
      <c r="H193" s="784">
        <v>0</v>
      </c>
      <c r="I193" s="785">
        <v>0</v>
      </c>
      <c r="J193" s="784">
        <v>1</v>
      </c>
      <c r="K193" s="785">
        <v>0</v>
      </c>
      <c r="L193" s="784">
        <v>0</v>
      </c>
      <c r="M193" s="786">
        <v>0</v>
      </c>
      <c r="N193" s="787">
        <v>0</v>
      </c>
      <c r="O193" s="785">
        <v>0</v>
      </c>
      <c r="P193" s="784">
        <v>0</v>
      </c>
      <c r="Q193" s="786">
        <v>0</v>
      </c>
      <c r="R193" s="787">
        <v>0</v>
      </c>
    </row>
    <row r="194" spans="1:18" x14ac:dyDescent="0.25">
      <c r="A194" s="185">
        <v>9257030</v>
      </c>
      <c r="B194" s="962" t="s">
        <v>771</v>
      </c>
      <c r="C194" s="781">
        <v>4</v>
      </c>
      <c r="D194" s="782">
        <f t="shared" si="69"/>
        <v>0</v>
      </c>
      <c r="E194" s="783">
        <v>0</v>
      </c>
      <c r="F194" s="784">
        <v>0</v>
      </c>
      <c r="G194" s="785">
        <v>0</v>
      </c>
      <c r="H194" s="784">
        <v>0</v>
      </c>
      <c r="I194" s="785">
        <v>0</v>
      </c>
      <c r="J194" s="784">
        <v>1</v>
      </c>
      <c r="K194" s="785">
        <v>0</v>
      </c>
      <c r="L194" s="784">
        <v>0</v>
      </c>
      <c r="M194" s="786">
        <v>0</v>
      </c>
      <c r="N194" s="787">
        <v>0</v>
      </c>
      <c r="O194" s="785">
        <v>0</v>
      </c>
      <c r="P194" s="784">
        <v>0</v>
      </c>
      <c r="Q194" s="786">
        <v>0</v>
      </c>
      <c r="R194" s="787">
        <v>0</v>
      </c>
    </row>
    <row r="195" spans="1:18" x14ac:dyDescent="0.25">
      <c r="A195" s="185">
        <v>9257028</v>
      </c>
      <c r="B195" s="962" t="s">
        <v>77</v>
      </c>
      <c r="C195" s="781">
        <v>4</v>
      </c>
      <c r="D195" s="782">
        <f t="shared" si="69"/>
        <v>86</v>
      </c>
      <c r="E195" s="785">
        <v>6</v>
      </c>
      <c r="F195" s="784">
        <f>E195/D195</f>
        <v>6.9767441860465115E-2</v>
      </c>
      <c r="G195" s="783">
        <v>24</v>
      </c>
      <c r="H195" s="784">
        <f>G195/D195</f>
        <v>0.27906976744186046</v>
      </c>
      <c r="I195" s="783">
        <v>3</v>
      </c>
      <c r="J195" s="784">
        <f>I195/D195</f>
        <v>3.4883720930232558E-2</v>
      </c>
      <c r="K195" s="783">
        <v>11</v>
      </c>
      <c r="L195" s="784">
        <f>K195/D195</f>
        <v>0.12790697674418605</v>
      </c>
      <c r="M195" s="786">
        <v>16</v>
      </c>
      <c r="N195" s="787">
        <f>M195/D195</f>
        <v>0.18604651162790697</v>
      </c>
      <c r="O195" s="783">
        <v>14</v>
      </c>
      <c r="P195" s="784">
        <f>O195/D195</f>
        <v>0.16279069767441862</v>
      </c>
      <c r="Q195" s="786">
        <v>12</v>
      </c>
      <c r="R195" s="787">
        <f>Q195/D195</f>
        <v>0.13953488372093023</v>
      </c>
    </row>
    <row r="196" spans="1:18" x14ac:dyDescent="0.25">
      <c r="A196" s="185">
        <v>9257021</v>
      </c>
      <c r="B196" s="962" t="s">
        <v>78</v>
      </c>
      <c r="C196" s="781">
        <v>5</v>
      </c>
      <c r="D196" s="782">
        <f t="shared" si="69"/>
        <v>162</v>
      </c>
      <c r="E196" s="785">
        <v>45</v>
      </c>
      <c r="F196" s="784">
        <f>E196/D196</f>
        <v>0.27777777777777779</v>
      </c>
      <c r="G196" s="785">
        <v>57</v>
      </c>
      <c r="H196" s="784">
        <f>G196/D196</f>
        <v>0.35185185185185186</v>
      </c>
      <c r="I196" s="785">
        <v>16</v>
      </c>
      <c r="J196" s="784">
        <f>I196/D196</f>
        <v>9.8765432098765427E-2</v>
      </c>
      <c r="K196" s="785">
        <v>7</v>
      </c>
      <c r="L196" s="784">
        <f>K196/D196</f>
        <v>4.3209876543209874E-2</v>
      </c>
      <c r="M196" s="786">
        <v>12</v>
      </c>
      <c r="N196" s="787">
        <f>M196/D196</f>
        <v>7.407407407407407E-2</v>
      </c>
      <c r="O196" s="785">
        <v>24</v>
      </c>
      <c r="P196" s="784">
        <f>O196/D196</f>
        <v>0.14814814814814814</v>
      </c>
      <c r="Q196" s="786">
        <v>1</v>
      </c>
      <c r="R196" s="787">
        <f>Q196/D196</f>
        <v>6.1728395061728392E-3</v>
      </c>
    </row>
    <row r="197" spans="1:18" x14ac:dyDescent="0.25">
      <c r="A197" s="185">
        <v>9257015</v>
      </c>
      <c r="B197" s="962" t="s">
        <v>55</v>
      </c>
      <c r="C197" s="781">
        <v>5</v>
      </c>
      <c r="D197" s="782">
        <f t="shared" si="69"/>
        <v>237</v>
      </c>
      <c r="E197" s="785">
        <v>102</v>
      </c>
      <c r="F197" s="784">
        <f>E197/D197</f>
        <v>0.43037974683544306</v>
      </c>
      <c r="G197" s="785">
        <v>64</v>
      </c>
      <c r="H197" s="784">
        <f>G197/D197</f>
        <v>0.27004219409282698</v>
      </c>
      <c r="I197" s="785">
        <v>7</v>
      </c>
      <c r="J197" s="784">
        <f>I197/D197</f>
        <v>2.9535864978902954E-2</v>
      </c>
      <c r="K197" s="785">
        <v>15</v>
      </c>
      <c r="L197" s="784">
        <f>K197/D197</f>
        <v>6.3291139240506333E-2</v>
      </c>
      <c r="M197" s="786">
        <v>14</v>
      </c>
      <c r="N197" s="787">
        <f>M197/D197</f>
        <v>5.9071729957805907E-2</v>
      </c>
      <c r="O197" s="785">
        <v>33</v>
      </c>
      <c r="P197" s="784">
        <f>O197/D197</f>
        <v>0.13924050632911392</v>
      </c>
      <c r="Q197" s="786">
        <v>2</v>
      </c>
      <c r="R197" s="787">
        <f>Q197/D197</f>
        <v>8.4388185654008432E-3</v>
      </c>
    </row>
    <row r="198" spans="1:18" x14ac:dyDescent="0.25">
      <c r="A198" s="185">
        <v>9257016</v>
      </c>
      <c r="B198" s="962" t="s">
        <v>80</v>
      </c>
      <c r="C198" s="781">
        <v>6</v>
      </c>
      <c r="D198" s="782">
        <f t="shared" si="69"/>
        <v>136</v>
      </c>
      <c r="E198" s="785">
        <v>23</v>
      </c>
      <c r="F198" s="784">
        <f>E198/D198</f>
        <v>0.16911764705882354</v>
      </c>
      <c r="G198" s="785">
        <v>16</v>
      </c>
      <c r="H198" s="784">
        <f>G198/D198</f>
        <v>0.11764705882352941</v>
      </c>
      <c r="I198" s="785">
        <v>1</v>
      </c>
      <c r="J198" s="784">
        <f>I198/D198</f>
        <v>7.3529411764705881E-3</v>
      </c>
      <c r="K198" s="785">
        <v>28</v>
      </c>
      <c r="L198" s="784">
        <f>K198/D198</f>
        <v>0.20588235294117646</v>
      </c>
      <c r="M198" s="786">
        <v>32</v>
      </c>
      <c r="N198" s="787">
        <f>M198/D198</f>
        <v>0.23529411764705882</v>
      </c>
      <c r="O198" s="785">
        <v>1</v>
      </c>
      <c r="P198" s="784">
        <f>O198/D198</f>
        <v>7.3529411764705881E-3</v>
      </c>
      <c r="Q198" s="786">
        <v>35</v>
      </c>
      <c r="R198" s="787">
        <f>Q198/D198</f>
        <v>0.25735294117647056</v>
      </c>
    </row>
    <row r="200" spans="1:18" x14ac:dyDescent="0.25">
      <c r="B200" s="820" t="s">
        <v>887</v>
      </c>
    </row>
    <row r="201" spans="1:18" x14ac:dyDescent="0.25">
      <c r="F201" s="222"/>
      <c r="H201" s="222"/>
      <c r="J201" s="222"/>
      <c r="L201" s="222"/>
    </row>
    <row r="202" spans="1:18" ht="21" x14ac:dyDescent="0.25">
      <c r="B202" s="773" t="s">
        <v>66</v>
      </c>
      <c r="C202" s="774" t="s">
        <v>51</v>
      </c>
      <c r="D202" s="775" t="s">
        <v>688</v>
      </c>
      <c r="E202" s="776" t="s">
        <v>839</v>
      </c>
      <c r="F202" s="777" t="s">
        <v>858</v>
      </c>
      <c r="G202" s="776" t="s">
        <v>840</v>
      </c>
      <c r="H202" s="777" t="s">
        <v>880</v>
      </c>
      <c r="I202" s="776" t="s">
        <v>841</v>
      </c>
      <c r="J202" s="777" t="s">
        <v>881</v>
      </c>
      <c r="K202" s="776" t="s">
        <v>842</v>
      </c>
      <c r="L202" s="777" t="s">
        <v>882</v>
      </c>
      <c r="M202" s="778" t="s">
        <v>843</v>
      </c>
      <c r="N202" s="779" t="s">
        <v>883</v>
      </c>
      <c r="O202" s="776" t="s">
        <v>844</v>
      </c>
      <c r="P202" s="777" t="s">
        <v>884</v>
      </c>
      <c r="Q202" s="778" t="s">
        <v>845</v>
      </c>
      <c r="R202" s="779" t="s">
        <v>885</v>
      </c>
    </row>
    <row r="203" spans="1:18" x14ac:dyDescent="0.25">
      <c r="B203" s="780" t="s">
        <v>67</v>
      </c>
      <c r="C203" s="781">
        <v>3</v>
      </c>
      <c r="D203" s="782">
        <f>D181-D117</f>
        <v>8</v>
      </c>
      <c r="E203" s="822">
        <f>E181-I117</f>
        <v>0</v>
      </c>
      <c r="F203" s="821">
        <f>F181-J117</f>
        <v>-7.6923076923076927E-3</v>
      </c>
      <c r="G203" s="822">
        <f>G181-G117</f>
        <v>6</v>
      </c>
      <c r="H203" s="821">
        <f>H181-H117</f>
        <v>6.1538461538461542E-2</v>
      </c>
      <c r="I203" s="822">
        <f>I181-M117</f>
        <v>-1</v>
      </c>
      <c r="J203" s="821">
        <f>J181-N117</f>
        <v>-2.9487179487179493E-2</v>
      </c>
      <c r="K203" s="822">
        <f>K181-E117</f>
        <v>3</v>
      </c>
      <c r="L203" s="821">
        <f>L181-F117</f>
        <v>3.4615384615384603E-2</v>
      </c>
      <c r="M203" s="822">
        <f>M181-K117</f>
        <v>1</v>
      </c>
      <c r="N203" s="821">
        <f>N181-L117</f>
        <v>1.1538461538461539E-2</v>
      </c>
      <c r="O203" s="822">
        <f>O181-O117</f>
        <v>0</v>
      </c>
      <c r="P203" s="821">
        <f>P181-P117</f>
        <v>-3.3333333333333326E-2</v>
      </c>
      <c r="Q203" s="822">
        <f>Q181-Q117</f>
        <v>-1</v>
      </c>
      <c r="R203" s="821">
        <f>R181-R117</f>
        <v>-3.7179487179487186E-2</v>
      </c>
    </row>
    <row r="204" spans="1:18" x14ac:dyDescent="0.25">
      <c r="B204" s="780" t="s">
        <v>68</v>
      </c>
      <c r="C204" s="781">
        <v>3</v>
      </c>
      <c r="D204" s="782">
        <f t="shared" ref="D204:D220" si="70">D182-D118</f>
        <v>-1</v>
      </c>
      <c r="E204" s="822">
        <f t="shared" ref="E204:E220" si="71">E182-I118</f>
        <v>1</v>
      </c>
      <c r="F204" s="821">
        <f t="shared" ref="F204:F220" si="72">F182-J118</f>
        <v>1.4774774774774777E-2</v>
      </c>
      <c r="G204" s="822">
        <f t="shared" ref="G204:H220" si="73">G182-G118</f>
        <v>0</v>
      </c>
      <c r="H204" s="821">
        <f t="shared" si="73"/>
        <v>3.0630630630630873E-3</v>
      </c>
      <c r="I204" s="822">
        <f t="shared" ref="I204:I220" si="74">I182-M118</f>
        <v>-3</v>
      </c>
      <c r="J204" s="821">
        <f t="shared" ref="J204:J220" si="75">J182-N118</f>
        <v>-3.8378378378378375E-2</v>
      </c>
      <c r="K204" s="822">
        <f t="shared" ref="K204:K220" si="76">K182-E118</f>
        <v>1</v>
      </c>
      <c r="L204" s="821">
        <f t="shared" ref="L204:L220" si="77">L182-F118</f>
        <v>1.5315315315315325E-2</v>
      </c>
      <c r="M204" s="822">
        <f t="shared" ref="M204:M220" si="78">M182-K118</f>
        <v>3</v>
      </c>
      <c r="N204" s="821">
        <f t="shared" ref="N204:N220" si="79">N182-L118</f>
        <v>4.1801801801801805E-2</v>
      </c>
      <c r="O204" s="822">
        <f t="shared" ref="O204:R220" si="80">O182-O118</f>
        <v>-2</v>
      </c>
      <c r="P204" s="821">
        <f t="shared" si="80"/>
        <v>-2.4324324324324326E-2</v>
      </c>
      <c r="Q204" s="822">
        <f t="shared" si="80"/>
        <v>-1</v>
      </c>
      <c r="R204" s="821">
        <f t="shared" si="80"/>
        <v>-1.2252252252252252E-2</v>
      </c>
    </row>
    <row r="205" spans="1:18" x14ac:dyDescent="0.25">
      <c r="B205" s="780" t="s">
        <v>69</v>
      </c>
      <c r="C205" s="781">
        <v>3</v>
      </c>
      <c r="D205" s="782">
        <f t="shared" si="70"/>
        <v>7</v>
      </c>
      <c r="E205" s="822">
        <f t="shared" si="71"/>
        <v>5</v>
      </c>
      <c r="F205" s="821">
        <f t="shared" si="72"/>
        <v>5.0625252117789454E-2</v>
      </c>
      <c r="G205" s="822">
        <f t="shared" si="73"/>
        <v>4</v>
      </c>
      <c r="H205" s="821">
        <f t="shared" si="73"/>
        <v>2.8640580879386868E-2</v>
      </c>
      <c r="I205" s="822">
        <f t="shared" si="74"/>
        <v>-1</v>
      </c>
      <c r="J205" s="821">
        <f t="shared" si="75"/>
        <v>-2.763210972166194E-2</v>
      </c>
      <c r="K205" s="822">
        <f t="shared" si="76"/>
        <v>6</v>
      </c>
      <c r="L205" s="821">
        <f t="shared" si="77"/>
        <v>7.6845502218636563E-2</v>
      </c>
      <c r="M205" s="822">
        <f t="shared" si="78"/>
        <v>-4</v>
      </c>
      <c r="N205" s="821">
        <f t="shared" si="79"/>
        <v>-6.8172650262202483E-2</v>
      </c>
      <c r="O205" s="822">
        <f t="shared" si="80"/>
        <v>0</v>
      </c>
      <c r="P205" s="821">
        <f t="shared" si="80"/>
        <v>-1.1294876966518749E-2</v>
      </c>
      <c r="Q205" s="822">
        <f t="shared" si="80"/>
        <v>-3</v>
      </c>
      <c r="R205" s="821">
        <f t="shared" si="80"/>
        <v>-4.9011698265429601E-2</v>
      </c>
    </row>
    <row r="206" spans="1:18" x14ac:dyDescent="0.25">
      <c r="B206" s="780" t="s">
        <v>70</v>
      </c>
      <c r="C206" s="781">
        <v>3</v>
      </c>
      <c r="D206" s="782">
        <f t="shared" si="70"/>
        <v>1</v>
      </c>
      <c r="E206" s="822">
        <f t="shared" si="71"/>
        <v>-2</v>
      </c>
      <c r="F206" s="821">
        <f t="shared" si="72"/>
        <v>-3.8383838383838381E-2</v>
      </c>
      <c r="G206" s="822">
        <f t="shared" si="73"/>
        <v>-2</v>
      </c>
      <c r="H206" s="821">
        <f t="shared" si="73"/>
        <v>-4.2087542087542118E-2</v>
      </c>
      <c r="I206" s="822">
        <f t="shared" si="74"/>
        <v>-1</v>
      </c>
      <c r="J206" s="821">
        <f t="shared" si="75"/>
        <v>-1.9191919191919191E-2</v>
      </c>
      <c r="K206" s="822">
        <f t="shared" si="76"/>
        <v>6</v>
      </c>
      <c r="L206" s="821">
        <f t="shared" si="77"/>
        <v>0.10673400673400674</v>
      </c>
      <c r="M206" s="822">
        <f t="shared" si="78"/>
        <v>0</v>
      </c>
      <c r="N206" s="821">
        <f t="shared" si="79"/>
        <v>-2.6936026936026924E-3</v>
      </c>
      <c r="O206" s="822">
        <f t="shared" si="80"/>
        <v>1</v>
      </c>
      <c r="P206" s="821">
        <f t="shared" si="80"/>
        <v>1.5824915824915825E-2</v>
      </c>
      <c r="Q206" s="822">
        <f t="shared" si="80"/>
        <v>-1</v>
      </c>
      <c r="R206" s="821">
        <f t="shared" si="80"/>
        <v>-2.0202020202020193E-2</v>
      </c>
    </row>
    <row r="207" spans="1:18" x14ac:dyDescent="0.25">
      <c r="B207" s="780" t="s">
        <v>71</v>
      </c>
      <c r="C207" s="781">
        <v>3</v>
      </c>
      <c r="D207" s="782">
        <f t="shared" si="70"/>
        <v>13</v>
      </c>
      <c r="E207" s="822">
        <f t="shared" si="71"/>
        <v>1</v>
      </c>
      <c r="F207" s="821">
        <f t="shared" si="72"/>
        <v>-6.1859314245316377E-3</v>
      </c>
      <c r="G207" s="822">
        <f t="shared" si="73"/>
        <v>10</v>
      </c>
      <c r="H207" s="821">
        <f t="shared" si="73"/>
        <v>6.6808059384941665E-2</v>
      </c>
      <c r="I207" s="822">
        <f t="shared" si="74"/>
        <v>-2</v>
      </c>
      <c r="J207" s="821">
        <f t="shared" si="75"/>
        <v>-3.3580770590314599E-2</v>
      </c>
      <c r="K207" s="822">
        <f t="shared" si="76"/>
        <v>5</v>
      </c>
      <c r="L207" s="821">
        <f t="shared" si="77"/>
        <v>4.718981972428421E-2</v>
      </c>
      <c r="M207" s="822">
        <f t="shared" si="78"/>
        <v>-1</v>
      </c>
      <c r="N207" s="821">
        <f t="shared" si="79"/>
        <v>-3.7469070342877331E-2</v>
      </c>
      <c r="O207" s="822">
        <f t="shared" si="80"/>
        <v>-1</v>
      </c>
      <c r="P207" s="821">
        <f t="shared" si="80"/>
        <v>-2.8278543655001778E-2</v>
      </c>
      <c r="Q207" s="822">
        <f t="shared" si="80"/>
        <v>1</v>
      </c>
      <c r="R207" s="821">
        <f t="shared" si="80"/>
        <v>-8.4835630965005293E-3</v>
      </c>
    </row>
    <row r="208" spans="1:18" x14ac:dyDescent="0.25">
      <c r="B208" s="780" t="s">
        <v>98</v>
      </c>
      <c r="C208" s="781">
        <v>3</v>
      </c>
      <c r="D208" s="782">
        <f t="shared" si="70"/>
        <v>0</v>
      </c>
      <c r="E208" s="822">
        <f t="shared" si="71"/>
        <v>0</v>
      </c>
      <c r="F208" s="821">
        <f t="shared" si="72"/>
        <v>0</v>
      </c>
      <c r="G208" s="822">
        <f t="shared" si="73"/>
        <v>0</v>
      </c>
      <c r="H208" s="821">
        <f t="shared" si="73"/>
        <v>0</v>
      </c>
      <c r="I208" s="822">
        <f t="shared" si="74"/>
        <v>0</v>
      </c>
      <c r="J208" s="821">
        <f t="shared" si="75"/>
        <v>0</v>
      </c>
      <c r="K208" s="822">
        <f t="shared" si="76"/>
        <v>0</v>
      </c>
      <c r="L208" s="821">
        <f t="shared" si="77"/>
        <v>0</v>
      </c>
      <c r="M208" s="822">
        <f t="shared" si="78"/>
        <v>0</v>
      </c>
      <c r="N208" s="821">
        <f t="shared" si="79"/>
        <v>0</v>
      </c>
      <c r="O208" s="822">
        <f t="shared" si="80"/>
        <v>0</v>
      </c>
      <c r="P208" s="821">
        <f t="shared" si="80"/>
        <v>0</v>
      </c>
      <c r="Q208" s="822">
        <f t="shared" si="80"/>
        <v>0</v>
      </c>
      <c r="R208" s="821">
        <f t="shared" si="80"/>
        <v>0</v>
      </c>
    </row>
    <row r="209" spans="2:18" x14ac:dyDescent="0.25">
      <c r="B209" s="780" t="s">
        <v>72</v>
      </c>
      <c r="C209" s="781">
        <v>3</v>
      </c>
      <c r="D209" s="782">
        <f t="shared" si="70"/>
        <v>2</v>
      </c>
      <c r="E209" s="822">
        <f t="shared" si="71"/>
        <v>-9</v>
      </c>
      <c r="F209" s="821">
        <f t="shared" si="72"/>
        <v>-0.10940803382663847</v>
      </c>
      <c r="G209" s="822">
        <f t="shared" si="73"/>
        <v>8</v>
      </c>
      <c r="H209" s="821">
        <f t="shared" si="73"/>
        <v>8.6416490486257963E-2</v>
      </c>
      <c r="I209" s="822">
        <f t="shared" si="74"/>
        <v>-2</v>
      </c>
      <c r="J209" s="821">
        <f t="shared" si="75"/>
        <v>-2.7748414376321362E-2</v>
      </c>
      <c r="K209" s="822">
        <f t="shared" si="76"/>
        <v>9</v>
      </c>
      <c r="L209" s="821">
        <f t="shared" si="77"/>
        <v>0.10068710359408033</v>
      </c>
      <c r="M209" s="822">
        <f t="shared" si="78"/>
        <v>-2</v>
      </c>
      <c r="N209" s="821">
        <f t="shared" si="79"/>
        <v>-2.5105708245243136E-2</v>
      </c>
      <c r="O209" s="822">
        <f t="shared" si="80"/>
        <v>-2</v>
      </c>
      <c r="P209" s="821">
        <f t="shared" si="80"/>
        <v>-2.484143763213531E-2</v>
      </c>
      <c r="Q209" s="822">
        <f t="shared" si="80"/>
        <v>0</v>
      </c>
      <c r="R209" s="821">
        <f t="shared" si="80"/>
        <v>0</v>
      </c>
    </row>
    <row r="210" spans="2:18" x14ac:dyDescent="0.25">
      <c r="B210" s="780" t="s">
        <v>73</v>
      </c>
      <c r="C210" s="781">
        <v>3</v>
      </c>
      <c r="D210" s="782">
        <f t="shared" si="70"/>
        <v>4</v>
      </c>
      <c r="E210" s="822">
        <f t="shared" si="71"/>
        <v>2</v>
      </c>
      <c r="F210" s="821">
        <f t="shared" si="72"/>
        <v>1.9201850780798148E-2</v>
      </c>
      <c r="G210" s="822">
        <f t="shared" si="73"/>
        <v>-1</v>
      </c>
      <c r="H210" s="821">
        <f t="shared" si="73"/>
        <v>-3.6437246963562764E-2</v>
      </c>
      <c r="I210" s="822">
        <f t="shared" si="74"/>
        <v>-4</v>
      </c>
      <c r="J210" s="821">
        <f t="shared" si="75"/>
        <v>-4.8582995951417018E-2</v>
      </c>
      <c r="K210" s="822">
        <f t="shared" si="76"/>
        <v>3</v>
      </c>
      <c r="L210" s="821">
        <f t="shared" si="77"/>
        <v>3.0653556969346438E-2</v>
      </c>
      <c r="M210" s="822">
        <f t="shared" si="78"/>
        <v>-1</v>
      </c>
      <c r="N210" s="821">
        <f t="shared" si="79"/>
        <v>-1.1451706188548296E-2</v>
      </c>
      <c r="O210" s="822">
        <f t="shared" si="80"/>
        <v>5</v>
      </c>
      <c r="P210" s="821">
        <f t="shared" si="80"/>
        <v>4.6616541353383473E-2</v>
      </c>
      <c r="Q210" s="822">
        <f t="shared" si="80"/>
        <v>0</v>
      </c>
      <c r="R210" s="821">
        <f t="shared" si="80"/>
        <v>0</v>
      </c>
    </row>
    <row r="211" spans="2:18" x14ac:dyDescent="0.25">
      <c r="B211" s="780" t="s">
        <v>74</v>
      </c>
      <c r="C211" s="781">
        <v>4</v>
      </c>
      <c r="D211" s="782">
        <f t="shared" si="70"/>
        <v>-2</v>
      </c>
      <c r="E211" s="822">
        <f t="shared" si="71"/>
        <v>-1</v>
      </c>
      <c r="F211" s="821">
        <f t="shared" si="72"/>
        <v>-1.4097744360901943E-3</v>
      </c>
      <c r="G211" s="822">
        <f t="shared" si="73"/>
        <v>11</v>
      </c>
      <c r="H211" s="821">
        <f t="shared" si="73"/>
        <v>0.10119047619047619</v>
      </c>
      <c r="I211" s="822">
        <f t="shared" si="74"/>
        <v>-10</v>
      </c>
      <c r="J211" s="821">
        <f t="shared" si="75"/>
        <v>-8.4586466165413515E-2</v>
      </c>
      <c r="K211" s="822">
        <f t="shared" si="76"/>
        <v>0</v>
      </c>
      <c r="L211" s="821">
        <f t="shared" si="77"/>
        <v>7.8320802005012874E-4</v>
      </c>
      <c r="M211" s="822">
        <f t="shared" si="78"/>
        <v>0</v>
      </c>
      <c r="N211" s="821">
        <f t="shared" si="79"/>
        <v>6.2656641604010022E-4</v>
      </c>
      <c r="O211" s="822">
        <f t="shared" si="80"/>
        <v>0</v>
      </c>
      <c r="P211" s="821">
        <f t="shared" si="80"/>
        <v>7.8320802005012874E-4</v>
      </c>
      <c r="Q211" s="822">
        <f t="shared" si="80"/>
        <v>-2</v>
      </c>
      <c r="R211" s="821">
        <f t="shared" si="80"/>
        <v>-1.7387218045112781E-2</v>
      </c>
    </row>
    <row r="212" spans="2:18" x14ac:dyDescent="0.25">
      <c r="B212" s="780" t="s">
        <v>75</v>
      </c>
      <c r="C212" s="781">
        <v>4</v>
      </c>
      <c r="D212" s="782">
        <f t="shared" si="70"/>
        <v>5</v>
      </c>
      <c r="E212" s="822">
        <f t="shared" si="71"/>
        <v>-7</v>
      </c>
      <c r="F212" s="821">
        <f t="shared" si="72"/>
        <v>-6.7096322941646691E-2</v>
      </c>
      <c r="G212" s="822">
        <f t="shared" si="73"/>
        <v>6</v>
      </c>
      <c r="H212" s="821">
        <f t="shared" si="73"/>
        <v>3.7170263788968816E-2</v>
      </c>
      <c r="I212" s="822">
        <f t="shared" si="74"/>
        <v>1</v>
      </c>
      <c r="J212" s="821">
        <f t="shared" si="75"/>
        <v>4.4964028776978138E-4</v>
      </c>
      <c r="K212" s="822">
        <f t="shared" si="76"/>
        <v>1</v>
      </c>
      <c r="L212" s="821">
        <f t="shared" si="77"/>
        <v>6.694644284572341E-3</v>
      </c>
      <c r="M212" s="822">
        <f t="shared" si="78"/>
        <v>-2</v>
      </c>
      <c r="N212" s="821">
        <f t="shared" si="79"/>
        <v>-1.6137090327737809E-2</v>
      </c>
      <c r="O212" s="822">
        <f t="shared" si="80"/>
        <v>6</v>
      </c>
      <c r="P212" s="821">
        <f t="shared" si="80"/>
        <v>3.9168665067945641E-2</v>
      </c>
      <c r="Q212" s="822">
        <f t="shared" si="80"/>
        <v>0</v>
      </c>
      <c r="R212" s="821">
        <f t="shared" si="80"/>
        <v>-2.4980015987210308E-4</v>
      </c>
    </row>
    <row r="213" spans="2:18" x14ac:dyDescent="0.25">
      <c r="B213" s="780" t="s">
        <v>76</v>
      </c>
      <c r="C213" s="781">
        <v>4</v>
      </c>
      <c r="D213" s="782">
        <f t="shared" si="70"/>
        <v>6</v>
      </c>
      <c r="E213" s="822">
        <f t="shared" si="71"/>
        <v>5</v>
      </c>
      <c r="F213" s="821">
        <f t="shared" si="72"/>
        <v>3.0666977611940288E-2</v>
      </c>
      <c r="G213" s="822">
        <f t="shared" si="73"/>
        <v>8</v>
      </c>
      <c r="H213" s="821">
        <f t="shared" si="73"/>
        <v>3.8712686567164201E-2</v>
      </c>
      <c r="I213" s="822">
        <f t="shared" si="74"/>
        <v>0</v>
      </c>
      <c r="J213" s="821">
        <f t="shared" si="75"/>
        <v>-5.5970149253731366E-3</v>
      </c>
      <c r="K213" s="822">
        <f t="shared" si="76"/>
        <v>2</v>
      </c>
      <c r="L213" s="821">
        <f t="shared" si="77"/>
        <v>1.4925373134328358E-2</v>
      </c>
      <c r="M213" s="822">
        <f t="shared" si="78"/>
        <v>1</v>
      </c>
      <c r="N213" s="821">
        <f t="shared" si="79"/>
        <v>6.0634328358208922E-3</v>
      </c>
      <c r="O213" s="822">
        <f t="shared" si="80"/>
        <v>-10</v>
      </c>
      <c r="P213" s="821">
        <f t="shared" si="80"/>
        <v>-8.4771455223880604E-2</v>
      </c>
      <c r="Q213" s="822">
        <f t="shared" si="80"/>
        <v>0</v>
      </c>
      <c r="R213" s="821">
        <f t="shared" si="80"/>
        <v>0</v>
      </c>
    </row>
    <row r="214" spans="2:18" x14ac:dyDescent="0.25">
      <c r="B214" s="780" t="s">
        <v>99</v>
      </c>
      <c r="C214" s="781">
        <v>4</v>
      </c>
      <c r="D214" s="782">
        <f t="shared" si="70"/>
        <v>0</v>
      </c>
      <c r="E214" s="822">
        <f t="shared" si="71"/>
        <v>0</v>
      </c>
      <c r="F214" s="821">
        <f t="shared" si="72"/>
        <v>0</v>
      </c>
      <c r="G214" s="822">
        <f t="shared" si="73"/>
        <v>0</v>
      </c>
      <c r="H214" s="821">
        <f t="shared" si="73"/>
        <v>0</v>
      </c>
      <c r="I214" s="822">
        <f t="shared" si="74"/>
        <v>0</v>
      </c>
      <c r="J214" s="821">
        <f t="shared" si="75"/>
        <v>0</v>
      </c>
      <c r="K214" s="822">
        <f t="shared" si="76"/>
        <v>0</v>
      </c>
      <c r="L214" s="821">
        <f t="shared" si="77"/>
        <v>0</v>
      </c>
      <c r="M214" s="822">
        <f t="shared" si="78"/>
        <v>0</v>
      </c>
      <c r="N214" s="821">
        <f t="shared" si="79"/>
        <v>0</v>
      </c>
      <c r="O214" s="822">
        <f t="shared" si="80"/>
        <v>0</v>
      </c>
      <c r="P214" s="821">
        <f t="shared" si="80"/>
        <v>0</v>
      </c>
      <c r="Q214" s="822">
        <f t="shared" si="80"/>
        <v>0</v>
      </c>
      <c r="R214" s="821">
        <f t="shared" si="80"/>
        <v>0</v>
      </c>
    </row>
    <row r="215" spans="2:18" x14ac:dyDescent="0.25">
      <c r="B215" s="780" t="s">
        <v>100</v>
      </c>
      <c r="C215" s="781">
        <v>4</v>
      </c>
      <c r="D215" s="782">
        <f t="shared" si="70"/>
        <v>0</v>
      </c>
      <c r="E215" s="822">
        <f t="shared" si="71"/>
        <v>0</v>
      </c>
      <c r="F215" s="821">
        <f t="shared" si="72"/>
        <v>0</v>
      </c>
      <c r="G215" s="822">
        <f t="shared" si="73"/>
        <v>0</v>
      </c>
      <c r="H215" s="821">
        <f t="shared" si="73"/>
        <v>0</v>
      </c>
      <c r="I215" s="822">
        <f t="shared" si="74"/>
        <v>0</v>
      </c>
      <c r="J215" s="821">
        <f t="shared" si="75"/>
        <v>0</v>
      </c>
      <c r="K215" s="822">
        <f t="shared" si="76"/>
        <v>0</v>
      </c>
      <c r="L215" s="821">
        <f t="shared" si="77"/>
        <v>0</v>
      </c>
      <c r="M215" s="822">
        <f t="shared" si="78"/>
        <v>0</v>
      </c>
      <c r="N215" s="821">
        <f t="shared" si="79"/>
        <v>0</v>
      </c>
      <c r="O215" s="822">
        <f t="shared" si="80"/>
        <v>0</v>
      </c>
      <c r="P215" s="821">
        <f t="shared" si="80"/>
        <v>0</v>
      </c>
      <c r="Q215" s="822">
        <f t="shared" si="80"/>
        <v>0</v>
      </c>
      <c r="R215" s="821">
        <f t="shared" si="80"/>
        <v>0</v>
      </c>
    </row>
    <row r="216" spans="2:18" x14ac:dyDescent="0.25">
      <c r="B216" s="780" t="s">
        <v>92</v>
      </c>
      <c r="C216" s="781">
        <v>4</v>
      </c>
      <c r="D216" s="782">
        <f t="shared" si="70"/>
        <v>0</v>
      </c>
      <c r="E216" s="822">
        <f t="shared" si="71"/>
        <v>0</v>
      </c>
      <c r="F216" s="821">
        <f t="shared" si="72"/>
        <v>0</v>
      </c>
      <c r="G216" s="822">
        <f t="shared" si="73"/>
        <v>0</v>
      </c>
      <c r="H216" s="821">
        <f t="shared" si="73"/>
        <v>0</v>
      </c>
      <c r="I216" s="822">
        <f t="shared" si="74"/>
        <v>0</v>
      </c>
      <c r="J216" s="821">
        <f t="shared" si="75"/>
        <v>0</v>
      </c>
      <c r="K216" s="822">
        <f t="shared" si="76"/>
        <v>0</v>
      </c>
      <c r="L216" s="821">
        <f t="shared" si="77"/>
        <v>0</v>
      </c>
      <c r="M216" s="822">
        <f t="shared" si="78"/>
        <v>0</v>
      </c>
      <c r="N216" s="821">
        <f t="shared" si="79"/>
        <v>0</v>
      </c>
      <c r="O216" s="822">
        <f t="shared" si="80"/>
        <v>0</v>
      </c>
      <c r="P216" s="821">
        <f t="shared" si="80"/>
        <v>0</v>
      </c>
      <c r="Q216" s="822">
        <f t="shared" si="80"/>
        <v>0</v>
      </c>
      <c r="R216" s="821">
        <f t="shared" si="80"/>
        <v>0</v>
      </c>
    </row>
    <row r="217" spans="2:18" x14ac:dyDescent="0.25">
      <c r="B217" s="780" t="s">
        <v>77</v>
      </c>
      <c r="C217" s="781">
        <v>4</v>
      </c>
      <c r="D217" s="782">
        <f t="shared" si="70"/>
        <v>7</v>
      </c>
      <c r="E217" s="822">
        <f t="shared" si="71"/>
        <v>1</v>
      </c>
      <c r="F217" s="821">
        <f t="shared" si="72"/>
        <v>6.476302619958782E-3</v>
      </c>
      <c r="G217" s="822">
        <f t="shared" si="73"/>
        <v>1</v>
      </c>
      <c r="H217" s="821">
        <f t="shared" si="73"/>
        <v>-1.206947306446865E-2</v>
      </c>
      <c r="I217" s="822">
        <f t="shared" si="74"/>
        <v>0</v>
      </c>
      <c r="J217" s="821">
        <f t="shared" si="75"/>
        <v>-3.090962614071241E-3</v>
      </c>
      <c r="K217" s="822">
        <f t="shared" si="76"/>
        <v>3</v>
      </c>
      <c r="L217" s="821">
        <f t="shared" si="77"/>
        <v>2.6641153959375927E-2</v>
      </c>
      <c r="M217" s="822">
        <f t="shared" si="78"/>
        <v>1</v>
      </c>
      <c r="N217" s="821">
        <f t="shared" si="79"/>
        <v>-3.8269060936120258E-3</v>
      </c>
      <c r="O217" s="822">
        <f t="shared" si="80"/>
        <v>4</v>
      </c>
      <c r="P217" s="821">
        <f t="shared" si="80"/>
        <v>3.620841919340595E-2</v>
      </c>
      <c r="Q217" s="822">
        <f t="shared" si="80"/>
        <v>-3</v>
      </c>
      <c r="R217" s="821">
        <f t="shared" si="80"/>
        <v>-5.0338534000588769E-2</v>
      </c>
    </row>
    <row r="218" spans="2:18" x14ac:dyDescent="0.25">
      <c r="B218" s="780" t="s">
        <v>78</v>
      </c>
      <c r="C218" s="781">
        <v>5</v>
      </c>
      <c r="D218" s="782">
        <f t="shared" si="70"/>
        <v>7</v>
      </c>
      <c r="E218" s="822">
        <f t="shared" si="71"/>
        <v>-1</v>
      </c>
      <c r="F218" s="821">
        <f t="shared" si="72"/>
        <v>-1.8996415770609287E-2</v>
      </c>
      <c r="G218" s="822">
        <f t="shared" si="73"/>
        <v>11</v>
      </c>
      <c r="H218" s="821">
        <f t="shared" si="73"/>
        <v>5.5077658303464783E-2</v>
      </c>
      <c r="I218" s="822">
        <f t="shared" si="74"/>
        <v>-3</v>
      </c>
      <c r="J218" s="821">
        <f t="shared" si="75"/>
        <v>-2.381521306252489E-2</v>
      </c>
      <c r="K218" s="822">
        <f t="shared" si="76"/>
        <v>1</v>
      </c>
      <c r="L218" s="821">
        <f t="shared" si="77"/>
        <v>4.5001991238550337E-3</v>
      </c>
      <c r="M218" s="822">
        <f t="shared" si="78"/>
        <v>-2</v>
      </c>
      <c r="N218" s="821">
        <f t="shared" si="79"/>
        <v>-1.6248506571087215E-2</v>
      </c>
      <c r="O218" s="822">
        <f t="shared" si="80"/>
        <v>2</v>
      </c>
      <c r="P218" s="821">
        <f t="shared" si="80"/>
        <v>6.2126642771803964E-3</v>
      </c>
      <c r="Q218" s="822">
        <f t="shared" si="80"/>
        <v>-1</v>
      </c>
      <c r="R218" s="821">
        <f t="shared" si="80"/>
        <v>-6.7303863002787737E-3</v>
      </c>
    </row>
    <row r="219" spans="2:18" x14ac:dyDescent="0.25">
      <c r="B219" s="780" t="s">
        <v>55</v>
      </c>
      <c r="C219" s="781">
        <v>5</v>
      </c>
      <c r="D219" s="782">
        <f t="shared" si="70"/>
        <v>-24</v>
      </c>
      <c r="E219" s="822">
        <f t="shared" si="71"/>
        <v>-28</v>
      </c>
      <c r="F219" s="821">
        <f t="shared" si="72"/>
        <v>-6.7704544352296392E-2</v>
      </c>
      <c r="G219" s="822">
        <f t="shared" si="73"/>
        <v>12</v>
      </c>
      <c r="H219" s="821">
        <f t="shared" si="73"/>
        <v>7.0808477617731208E-2</v>
      </c>
      <c r="I219" s="822">
        <f t="shared" si="74"/>
        <v>-4</v>
      </c>
      <c r="J219" s="821">
        <f t="shared" si="75"/>
        <v>-1.2609728890828849E-2</v>
      </c>
      <c r="K219" s="822">
        <f t="shared" si="76"/>
        <v>5</v>
      </c>
      <c r="L219" s="821">
        <f t="shared" si="77"/>
        <v>2.4976962995295608E-2</v>
      </c>
      <c r="M219" s="822">
        <f t="shared" si="78"/>
        <v>-3</v>
      </c>
      <c r="N219" s="821">
        <f t="shared" si="79"/>
        <v>-6.0623696590523246E-3</v>
      </c>
      <c r="O219" s="822">
        <f t="shared" si="80"/>
        <v>-3</v>
      </c>
      <c r="P219" s="821">
        <f t="shared" si="80"/>
        <v>1.3094718463552979E-3</v>
      </c>
      <c r="Q219" s="822">
        <f t="shared" si="80"/>
        <v>-3</v>
      </c>
      <c r="R219" s="821">
        <f t="shared" si="80"/>
        <v>-1.0718269557204519E-2</v>
      </c>
    </row>
    <row r="220" spans="2:18" x14ac:dyDescent="0.25">
      <c r="B220" s="780" t="s">
        <v>80</v>
      </c>
      <c r="C220" s="781">
        <v>6</v>
      </c>
      <c r="D220" s="782">
        <f t="shared" si="70"/>
        <v>-11</v>
      </c>
      <c r="E220" s="822">
        <f t="shared" si="71"/>
        <v>-14</v>
      </c>
      <c r="F220" s="821">
        <f t="shared" si="72"/>
        <v>-8.2583033213285306E-2</v>
      </c>
      <c r="G220" s="822">
        <f t="shared" si="73"/>
        <v>6</v>
      </c>
      <c r="H220" s="821">
        <f t="shared" si="73"/>
        <v>4.9619847939175662E-2</v>
      </c>
      <c r="I220" s="822">
        <f t="shared" si="74"/>
        <v>1</v>
      </c>
      <c r="J220" s="821">
        <f t="shared" si="75"/>
        <v>7.3529411764705881E-3</v>
      </c>
      <c r="K220" s="822">
        <f t="shared" si="76"/>
        <v>4</v>
      </c>
      <c r="L220" s="821">
        <f t="shared" si="77"/>
        <v>4.2617046818727494E-2</v>
      </c>
      <c r="M220" s="822">
        <f t="shared" si="78"/>
        <v>-5</v>
      </c>
      <c r="N220" s="821">
        <f t="shared" si="79"/>
        <v>-1.6406562625050025E-2</v>
      </c>
      <c r="O220" s="822">
        <f t="shared" si="80"/>
        <v>0</v>
      </c>
      <c r="P220" s="821">
        <f t="shared" si="80"/>
        <v>5.5022008803521424E-4</v>
      </c>
      <c r="Q220" s="822">
        <f t="shared" si="80"/>
        <v>-3</v>
      </c>
      <c r="R220" s="821">
        <f t="shared" si="80"/>
        <v>-1.150460184073665E-3</v>
      </c>
    </row>
    <row r="222" spans="2:18" x14ac:dyDescent="0.25">
      <c r="E222" s="755">
        <f>SUM(E203:E221)</f>
        <v>-47</v>
      </c>
      <c r="F222" s="755"/>
      <c r="G222" s="755">
        <f t="shared" ref="G222:Q222" si="81">SUM(G203:G221)</f>
        <v>80</v>
      </c>
      <c r="H222" s="755"/>
      <c r="I222" s="755">
        <f t="shared" si="81"/>
        <v>-29</v>
      </c>
      <c r="J222" s="755"/>
      <c r="K222" s="755">
        <f t="shared" si="81"/>
        <v>49</v>
      </c>
      <c r="L222" s="755"/>
      <c r="M222" s="755">
        <f t="shared" si="81"/>
        <v>-14</v>
      </c>
      <c r="N222" s="755"/>
      <c r="O222" s="755">
        <f t="shared" si="81"/>
        <v>0</v>
      </c>
      <c r="P222" s="755"/>
      <c r="Q222" s="755">
        <f t="shared" si="81"/>
        <v>-17</v>
      </c>
      <c r="R222" s="755"/>
    </row>
  </sheetData>
  <mergeCells count="1">
    <mergeCell ref="B52:E52"/>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J67"/>
  <sheetViews>
    <sheetView topLeftCell="AT1" workbookViewId="0">
      <selection activeCell="BE13" sqref="BE13"/>
    </sheetView>
  </sheetViews>
  <sheetFormatPr defaultColWidth="9.1796875" defaultRowHeight="15.5" x14ac:dyDescent="0.35"/>
  <cols>
    <col min="1" max="1" width="10.54296875" style="188" bestFit="1" customWidth="1"/>
    <col min="2" max="5" width="9.1796875" style="187"/>
    <col min="6" max="6" width="10.26953125" style="187" customWidth="1"/>
    <col min="7" max="8" width="9.1796875" style="187" customWidth="1"/>
    <col min="9" max="9" width="10.7265625" style="187" customWidth="1"/>
    <col min="10" max="12" width="10.7265625" style="188" customWidth="1"/>
    <col min="13" max="14" width="10.7265625" style="189" customWidth="1"/>
    <col min="15" max="19" width="10.7265625" style="187" customWidth="1"/>
    <col min="20" max="20" width="3.26953125" style="187" customWidth="1"/>
    <col min="21" max="23" width="10.7265625" style="187" customWidth="1"/>
    <col min="24" max="24" width="9.1796875" style="187" customWidth="1"/>
    <col min="25" max="25" width="10.81640625" style="188" customWidth="1"/>
    <col min="26" max="28" width="9.1796875" style="187" customWidth="1"/>
    <col min="29" max="29" width="11.26953125" style="189" customWidth="1"/>
    <col min="30" max="30" width="11.1796875" style="189" customWidth="1"/>
    <col min="31" max="31" width="14.453125" style="189" customWidth="1"/>
    <col min="32" max="32" width="9.1796875" style="189"/>
    <col min="33" max="33" width="8.81640625" style="189" bestFit="1" customWidth="1"/>
    <col min="34" max="36" width="9.1796875" style="189"/>
    <col min="37" max="37" width="10.453125" style="189" customWidth="1"/>
    <col min="38" max="38" width="13.453125" style="189" customWidth="1"/>
    <col min="39" max="43" width="9.1796875" style="189"/>
    <col min="44" max="44" width="11.1796875" style="189" customWidth="1"/>
    <col min="45" max="45" width="14.26953125" style="189" customWidth="1"/>
    <col min="46" max="50" width="9.1796875" style="189"/>
    <col min="51" max="51" width="10.1796875" style="189" bestFit="1" customWidth="1"/>
    <col min="52" max="52" width="14.26953125" style="189" customWidth="1"/>
    <col min="53" max="55" width="9.1796875" style="189"/>
    <col min="56" max="57" width="10.1796875" style="189" bestFit="1" customWidth="1"/>
    <col min="58" max="60" width="9.1796875" style="189"/>
    <col min="61" max="61" width="9.81640625" style="189" bestFit="1" customWidth="1"/>
    <col min="62" max="62" width="12.26953125" style="189" customWidth="1"/>
    <col min="63" max="16384" width="9.1796875" style="189"/>
  </cols>
  <sheetData>
    <row r="2" spans="1:62" ht="12" customHeight="1" x14ac:dyDescent="0.35">
      <c r="B2" s="186" t="s">
        <v>219</v>
      </c>
      <c r="V2" s="1903" t="s">
        <v>280</v>
      </c>
    </row>
    <row r="3" spans="1:62" ht="12" customHeight="1" x14ac:dyDescent="0.35">
      <c r="V3" s="1904"/>
      <c r="X3" s="209" t="s">
        <v>250</v>
      </c>
    </row>
    <row r="4" spans="1:62" s="190" customFormat="1" ht="12" customHeight="1" x14ac:dyDescent="0.3">
      <c r="A4" s="188"/>
      <c r="B4" s="187"/>
      <c r="C4" s="187"/>
      <c r="D4" s="187"/>
      <c r="E4" s="187"/>
      <c r="F4" s="1905" t="s">
        <v>206</v>
      </c>
      <c r="G4" s="1905" t="s">
        <v>207</v>
      </c>
      <c r="H4" s="1905" t="s">
        <v>218</v>
      </c>
      <c r="I4" s="1906" t="s">
        <v>274</v>
      </c>
      <c r="J4" s="1907" t="s">
        <v>208</v>
      </c>
      <c r="K4" s="1907" t="s">
        <v>275</v>
      </c>
      <c r="L4" s="1907" t="s">
        <v>276</v>
      </c>
      <c r="M4" s="1907" t="s">
        <v>209</v>
      </c>
      <c r="N4" s="1907" t="s">
        <v>210</v>
      </c>
      <c r="O4" s="1907" t="s">
        <v>211</v>
      </c>
      <c r="P4" s="1907" t="s">
        <v>222</v>
      </c>
      <c r="Q4" s="1907" t="s">
        <v>277</v>
      </c>
      <c r="R4" s="1907" t="s">
        <v>228</v>
      </c>
      <c r="S4" s="1907" t="s">
        <v>229</v>
      </c>
      <c r="T4" s="209"/>
      <c r="U4" s="1907" t="s">
        <v>278</v>
      </c>
      <c r="V4" s="1910" t="s">
        <v>279</v>
      </c>
      <c r="W4" s="209"/>
      <c r="X4" s="1907" t="s">
        <v>249</v>
      </c>
      <c r="Y4" s="1907" t="s">
        <v>281</v>
      </c>
      <c r="Z4" s="1906" t="s">
        <v>430</v>
      </c>
      <c r="AA4" s="1907" t="s">
        <v>431</v>
      </c>
      <c r="AB4" s="1907" t="s">
        <v>432</v>
      </c>
      <c r="AC4" s="1910" t="s">
        <v>433</v>
      </c>
      <c r="AD4" s="1907" t="s">
        <v>434</v>
      </c>
      <c r="AE4" s="1907" t="s">
        <v>435</v>
      </c>
      <c r="AG4" s="1928" t="s">
        <v>541</v>
      </c>
      <c r="AH4" s="1926" t="s">
        <v>542</v>
      </c>
      <c r="AI4" s="1926" t="s">
        <v>543</v>
      </c>
      <c r="AJ4" s="1929" t="s">
        <v>544</v>
      </c>
      <c r="AK4" s="1926" t="s">
        <v>545</v>
      </c>
      <c r="AL4" s="1907" t="s">
        <v>435</v>
      </c>
      <c r="AN4" s="1928" t="s">
        <v>609</v>
      </c>
      <c r="AO4" s="1926" t="s">
        <v>610</v>
      </c>
      <c r="AP4" s="1926" t="s">
        <v>611</v>
      </c>
      <c r="AQ4" s="1929" t="s">
        <v>612</v>
      </c>
      <c r="AR4" s="1926" t="s">
        <v>613</v>
      </c>
      <c r="AS4" s="1907" t="s">
        <v>435</v>
      </c>
      <c r="AU4" s="1928" t="s">
        <v>807</v>
      </c>
      <c r="AV4" s="1926" t="s">
        <v>808</v>
      </c>
      <c r="AW4" s="1926" t="s">
        <v>809</v>
      </c>
      <c r="AX4" s="1929" t="s">
        <v>810</v>
      </c>
      <c r="AY4" s="1926" t="s">
        <v>811</v>
      </c>
      <c r="AZ4" s="1907" t="s">
        <v>435</v>
      </c>
      <c r="BB4" s="1928" t="s">
        <v>877</v>
      </c>
      <c r="BC4" s="1926" t="s">
        <v>878</v>
      </c>
      <c r="BD4" s="1926" t="s">
        <v>879</v>
      </c>
      <c r="BE4" s="1907" t="s">
        <v>435</v>
      </c>
      <c r="BG4" s="1928" t="s">
        <v>922</v>
      </c>
      <c r="BH4" s="1926" t="s">
        <v>923</v>
      </c>
      <c r="BI4" s="1926" t="s">
        <v>924</v>
      </c>
      <c r="BJ4" s="1907" t="s">
        <v>435</v>
      </c>
    </row>
    <row r="5" spans="1:62" s="190" customFormat="1" ht="12" customHeight="1" x14ac:dyDescent="0.3">
      <c r="A5" s="188"/>
      <c r="B5" s="187"/>
      <c r="C5" s="187"/>
      <c r="D5" s="187"/>
      <c r="E5" s="187"/>
      <c r="F5" s="1905"/>
      <c r="G5" s="1905"/>
      <c r="H5" s="1905"/>
      <c r="I5" s="1906"/>
      <c r="J5" s="1907"/>
      <c r="K5" s="1907"/>
      <c r="L5" s="1907"/>
      <c r="M5" s="1907"/>
      <c r="N5" s="1907"/>
      <c r="O5" s="1907"/>
      <c r="P5" s="1907"/>
      <c r="Q5" s="1907"/>
      <c r="R5" s="1907"/>
      <c r="S5" s="1907"/>
      <c r="T5" s="209"/>
      <c r="U5" s="1907"/>
      <c r="V5" s="1911"/>
      <c r="W5" s="209"/>
      <c r="X5" s="1907"/>
      <c r="Y5" s="1907"/>
      <c r="Z5" s="1906"/>
      <c r="AA5" s="1907"/>
      <c r="AB5" s="1907"/>
      <c r="AC5" s="1911"/>
      <c r="AD5" s="1907"/>
      <c r="AE5" s="1907"/>
      <c r="AG5" s="1906"/>
      <c r="AH5" s="1907"/>
      <c r="AI5" s="1907"/>
      <c r="AJ5" s="1911"/>
      <c r="AK5" s="1907"/>
      <c r="AL5" s="1907"/>
      <c r="AN5" s="1906"/>
      <c r="AO5" s="1907"/>
      <c r="AP5" s="1907"/>
      <c r="AQ5" s="1911"/>
      <c r="AR5" s="1907"/>
      <c r="AS5" s="1907"/>
      <c r="AU5" s="1906"/>
      <c r="AV5" s="1907"/>
      <c r="AW5" s="1907"/>
      <c r="AX5" s="1911"/>
      <c r="AY5" s="1907"/>
      <c r="AZ5" s="1907"/>
      <c r="BB5" s="1906"/>
      <c r="BC5" s="1907"/>
      <c r="BD5" s="1907"/>
      <c r="BE5" s="1907"/>
      <c r="BG5" s="1906"/>
      <c r="BH5" s="1907"/>
      <c r="BI5" s="1907"/>
      <c r="BJ5" s="1907"/>
    </row>
    <row r="6" spans="1:62" s="190" customFormat="1" ht="12" customHeight="1" x14ac:dyDescent="0.3">
      <c r="A6" s="188"/>
      <c r="B6" s="1913" t="s">
        <v>158</v>
      </c>
      <c r="C6" s="1914"/>
      <c r="D6" s="1914"/>
      <c r="E6" s="1915"/>
      <c r="F6" s="1905"/>
      <c r="G6" s="1905"/>
      <c r="H6" s="1905"/>
      <c r="I6" s="1906"/>
      <c r="J6" s="1907"/>
      <c r="K6" s="1907"/>
      <c r="L6" s="1907"/>
      <c r="M6" s="1907"/>
      <c r="N6" s="1907"/>
      <c r="O6" s="1907"/>
      <c r="P6" s="1907"/>
      <c r="Q6" s="1907"/>
      <c r="R6" s="1907"/>
      <c r="S6" s="1907"/>
      <c r="T6" s="209"/>
      <c r="U6" s="1907"/>
      <c r="V6" s="1912"/>
      <c r="W6" s="209"/>
      <c r="X6" s="1907"/>
      <c r="Y6" s="1907"/>
      <c r="Z6" s="1906"/>
      <c r="AA6" s="1907"/>
      <c r="AB6" s="1907"/>
      <c r="AC6" s="1912"/>
      <c r="AD6" s="1907"/>
      <c r="AE6" s="1907"/>
      <c r="AG6" s="1906"/>
      <c r="AH6" s="1907"/>
      <c r="AI6" s="1907"/>
      <c r="AJ6" s="1912"/>
      <c r="AK6" s="1907"/>
      <c r="AL6" s="1907"/>
      <c r="AN6" s="1906"/>
      <c r="AO6" s="1907"/>
      <c r="AP6" s="1907"/>
      <c r="AQ6" s="1912"/>
      <c r="AR6" s="1907"/>
      <c r="AS6" s="1907"/>
      <c r="AU6" s="1906"/>
      <c r="AV6" s="1907"/>
      <c r="AW6" s="1907"/>
      <c r="AX6" s="1912"/>
      <c r="AY6" s="1907"/>
      <c r="AZ6" s="1907"/>
      <c r="BB6" s="1906"/>
      <c r="BC6" s="1907"/>
      <c r="BD6" s="1907"/>
      <c r="BE6" s="1907"/>
      <c r="BG6" s="1906"/>
      <c r="BH6" s="1907"/>
      <c r="BI6" s="1907"/>
      <c r="BJ6" s="1907"/>
    </row>
    <row r="7" spans="1:62" ht="12" customHeight="1" x14ac:dyDescent="0.35">
      <c r="A7" s="220">
        <v>9257010</v>
      </c>
      <c r="B7" s="1916" t="s">
        <v>86</v>
      </c>
      <c r="C7" s="1917"/>
      <c r="D7" s="1917"/>
      <c r="E7" s="1917"/>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c r="BB7" s="955">
        <v>35258</v>
      </c>
      <c r="BC7" s="194"/>
      <c r="BD7" s="194"/>
      <c r="BE7" s="194">
        <f t="shared" ref="BE7:BE26" si="0">SUM(BB7:BD7)</f>
        <v>35258</v>
      </c>
      <c r="BG7" s="955">
        <v>35258</v>
      </c>
      <c r="BH7" s="194"/>
      <c r="BI7" s="194"/>
      <c r="BJ7" s="194">
        <f t="shared" ref="BJ7:BJ26" si="1">SUM(BG7:BI7)</f>
        <v>35258</v>
      </c>
    </row>
    <row r="8" spans="1:62" ht="12" customHeight="1" x14ac:dyDescent="0.35">
      <c r="A8" s="220">
        <v>9257030</v>
      </c>
      <c r="B8" s="1908" t="s">
        <v>161</v>
      </c>
      <c r="C8" s="1909"/>
      <c r="D8" s="1909"/>
      <c r="E8" s="1909"/>
      <c r="F8" s="194"/>
      <c r="G8" s="194"/>
      <c r="H8" s="194"/>
      <c r="I8" s="194"/>
      <c r="J8" s="191"/>
      <c r="K8" s="191"/>
      <c r="L8" s="191"/>
      <c r="M8" s="193">
        <v>0</v>
      </c>
      <c r="N8" s="192"/>
      <c r="O8" s="191"/>
      <c r="P8" s="191"/>
      <c r="Q8" s="191"/>
      <c r="R8" s="209"/>
      <c r="S8" s="209"/>
      <c r="T8" s="209"/>
      <c r="U8" s="209"/>
      <c r="V8" s="194"/>
      <c r="W8" s="209"/>
      <c r="X8" s="194"/>
      <c r="Y8" s="212">
        <f t="shared" ref="Y8:Y25" si="2">I8+L8+Q8+U8+V8</f>
        <v>0</v>
      </c>
      <c r="Z8" s="194"/>
      <c r="AA8" s="194"/>
      <c r="AB8" s="194"/>
      <c r="AC8" s="367"/>
      <c r="AD8" s="194"/>
      <c r="AE8" s="194">
        <f t="shared" ref="AE8:AE26" si="3">SUM(Z8:AD8)</f>
        <v>0</v>
      </c>
      <c r="AG8" s="194"/>
      <c r="AH8" s="194"/>
      <c r="AI8" s="194"/>
      <c r="AJ8" s="367"/>
      <c r="AK8" s="194"/>
      <c r="AL8" s="194">
        <f t="shared" ref="AL8:AL26" si="4">SUM(AG8:AK8)</f>
        <v>0</v>
      </c>
      <c r="AN8" s="194"/>
      <c r="AO8" s="194"/>
      <c r="AP8" s="194"/>
      <c r="AQ8" s="367"/>
      <c r="AR8" s="194"/>
      <c r="AS8" s="194">
        <f t="shared" ref="AS8:AS26" si="5">SUM(AN8:AR8)</f>
        <v>0</v>
      </c>
      <c r="AU8" s="194"/>
      <c r="AV8" s="194"/>
      <c r="AW8" s="194"/>
      <c r="AX8" s="367"/>
      <c r="AY8" s="194"/>
      <c r="AZ8" s="194">
        <f t="shared" ref="AZ8:AZ26" si="6">SUM(AU8:AY8)</f>
        <v>0</v>
      </c>
      <c r="BB8" s="955"/>
      <c r="BC8" s="194"/>
      <c r="BD8" s="194"/>
      <c r="BE8" s="194">
        <f t="shared" si="0"/>
        <v>0</v>
      </c>
      <c r="BG8" s="955"/>
      <c r="BH8" s="194"/>
      <c r="BI8" s="194"/>
      <c r="BJ8" s="194">
        <f t="shared" si="1"/>
        <v>0</v>
      </c>
    </row>
    <row r="9" spans="1:62" ht="12" customHeight="1" x14ac:dyDescent="0.35">
      <c r="A9" s="220">
        <v>9257031</v>
      </c>
      <c r="B9" s="1908" t="s">
        <v>162</v>
      </c>
      <c r="C9" s="1909"/>
      <c r="D9" s="1909"/>
      <c r="E9" s="1909"/>
      <c r="F9" s="194"/>
      <c r="G9" s="194"/>
      <c r="H9" s="194"/>
      <c r="I9" s="194"/>
      <c r="J9" s="191"/>
      <c r="K9" s="191"/>
      <c r="L9" s="191"/>
      <c r="M9" s="193">
        <v>0</v>
      </c>
      <c r="N9" s="192"/>
      <c r="O9" s="191"/>
      <c r="P9" s="191"/>
      <c r="Q9" s="191"/>
      <c r="R9" s="209"/>
      <c r="S9" s="209"/>
      <c r="T9" s="209"/>
      <c r="U9" s="209"/>
      <c r="V9" s="194"/>
      <c r="W9" s="209"/>
      <c r="X9" s="194"/>
      <c r="Y9" s="212">
        <f t="shared" si="2"/>
        <v>0</v>
      </c>
      <c r="Z9" s="194"/>
      <c r="AA9" s="194"/>
      <c r="AB9" s="194"/>
      <c r="AC9" s="367"/>
      <c r="AD9" s="194"/>
      <c r="AE9" s="194">
        <f t="shared" si="3"/>
        <v>0</v>
      </c>
      <c r="AG9" s="194"/>
      <c r="AH9" s="194"/>
      <c r="AI9" s="194"/>
      <c r="AJ9" s="367"/>
      <c r="AK9" s="194"/>
      <c r="AL9" s="194">
        <f t="shared" si="4"/>
        <v>0</v>
      </c>
      <c r="AN9" s="194"/>
      <c r="AO9" s="194"/>
      <c r="AP9" s="194"/>
      <c r="AQ9" s="367"/>
      <c r="AR9" s="194"/>
      <c r="AS9" s="194">
        <f t="shared" si="5"/>
        <v>0</v>
      </c>
      <c r="AU9" s="194"/>
      <c r="AV9" s="194"/>
      <c r="AW9" s="194"/>
      <c r="AX9" s="367"/>
      <c r="AY9" s="194"/>
      <c r="AZ9" s="194">
        <f t="shared" si="6"/>
        <v>0</v>
      </c>
      <c r="BB9" s="955"/>
      <c r="BC9" s="194"/>
      <c r="BD9" s="194"/>
      <c r="BE9" s="194">
        <f t="shared" si="0"/>
        <v>0</v>
      </c>
      <c r="BG9" s="955"/>
      <c r="BH9" s="194"/>
      <c r="BI9" s="194"/>
      <c r="BJ9" s="194">
        <f t="shared" si="1"/>
        <v>0</v>
      </c>
    </row>
    <row r="10" spans="1:62" ht="12" customHeight="1" x14ac:dyDescent="0.35">
      <c r="A10" s="220">
        <v>9257008</v>
      </c>
      <c r="B10" s="1916" t="s">
        <v>87</v>
      </c>
      <c r="C10" s="1917"/>
      <c r="D10" s="1917"/>
      <c r="E10" s="1917"/>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2"/>
        <v>51500</v>
      </c>
      <c r="Z10" s="194"/>
      <c r="AA10" s="194"/>
      <c r="AB10" s="194">
        <f>Q10*(5/12)</f>
        <v>21458.333333333336</v>
      </c>
      <c r="AC10" s="194">
        <f>51500*(5/12)</f>
        <v>21458.333333333336</v>
      </c>
      <c r="AD10" s="194"/>
      <c r="AE10" s="194">
        <f t="shared" si="3"/>
        <v>42916.666666666672</v>
      </c>
      <c r="AG10" s="194"/>
      <c r="AH10" s="194"/>
      <c r="AI10" s="194">
        <v>617500</v>
      </c>
      <c r="AJ10" s="194">
        <v>0</v>
      </c>
      <c r="AK10" s="194"/>
      <c r="AL10" s="194">
        <f t="shared" si="4"/>
        <v>617500</v>
      </c>
      <c r="AN10" s="194"/>
      <c r="AO10" s="194"/>
      <c r="AP10" s="194">
        <v>617500</v>
      </c>
      <c r="AQ10" s="194">
        <v>0</v>
      </c>
      <c r="AR10" s="194"/>
      <c r="AS10" s="194">
        <f t="shared" si="5"/>
        <v>617500</v>
      </c>
      <c r="AU10" s="194"/>
      <c r="AV10" s="194"/>
      <c r="AW10" s="194">
        <v>617500</v>
      </c>
      <c r="AX10" s="194">
        <v>0</v>
      </c>
      <c r="AY10" s="194"/>
      <c r="AZ10" s="194">
        <f t="shared" si="6"/>
        <v>617500</v>
      </c>
      <c r="BB10" s="955"/>
      <c r="BC10" s="954">
        <v>617500</v>
      </c>
      <c r="BD10" s="194"/>
      <c r="BE10" s="194">
        <f t="shared" si="0"/>
        <v>617500</v>
      </c>
      <c r="BG10" s="955"/>
      <c r="BH10" s="954">
        <v>617500</v>
      </c>
      <c r="BI10" s="194"/>
      <c r="BJ10" s="194">
        <f t="shared" si="1"/>
        <v>617500</v>
      </c>
    </row>
    <row r="11" spans="1:62" ht="12" customHeight="1" x14ac:dyDescent="0.35">
      <c r="A11" s="220">
        <v>9257002</v>
      </c>
      <c r="B11" s="1916" t="s">
        <v>53</v>
      </c>
      <c r="C11" s="1917"/>
      <c r="D11" s="1917"/>
      <c r="E11" s="1917"/>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2"/>
        <v>60000</v>
      </c>
      <c r="Z11" s="194"/>
      <c r="AA11" s="194"/>
      <c r="AB11" s="194"/>
      <c r="AC11" s="367"/>
      <c r="AD11" s="194"/>
      <c r="AE11" s="194">
        <f t="shared" si="3"/>
        <v>0</v>
      </c>
      <c r="AG11" s="194"/>
      <c r="AH11" s="194"/>
      <c r="AI11" s="194"/>
      <c r="AJ11" s="367"/>
      <c r="AK11" s="194"/>
      <c r="AL11" s="194">
        <f t="shared" si="4"/>
        <v>0</v>
      </c>
      <c r="AN11" s="194"/>
      <c r="AO11" s="194"/>
      <c r="AP11" s="194"/>
      <c r="AQ11" s="367"/>
      <c r="AR11" s="194"/>
      <c r="AS11" s="194">
        <f t="shared" si="5"/>
        <v>0</v>
      </c>
      <c r="AU11" s="194"/>
      <c r="AV11" s="194"/>
      <c r="AW11" s="194"/>
      <c r="AX11" s="367"/>
      <c r="AY11" s="194"/>
      <c r="AZ11" s="194">
        <f t="shared" si="6"/>
        <v>0</v>
      </c>
      <c r="BB11" s="955"/>
      <c r="BC11" s="194"/>
      <c r="BD11" s="194"/>
      <c r="BE11" s="194">
        <f t="shared" si="0"/>
        <v>0</v>
      </c>
      <c r="BG11" s="955"/>
      <c r="BH11" s="194"/>
      <c r="BI11" s="194"/>
      <c r="BJ11" s="194">
        <f t="shared" si="1"/>
        <v>0</v>
      </c>
    </row>
    <row r="12" spans="1:62" ht="12" customHeight="1" x14ac:dyDescent="0.35">
      <c r="A12" s="220">
        <v>9257005</v>
      </c>
      <c r="B12" s="1916" t="s">
        <v>88</v>
      </c>
      <c r="C12" s="1917"/>
      <c r="D12" s="1917"/>
      <c r="E12" s="1917"/>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2"/>
        <v>35258</v>
      </c>
      <c r="Z12" s="194">
        <f>I12</f>
        <v>35258</v>
      </c>
      <c r="AA12" s="194"/>
      <c r="AB12" s="194"/>
      <c r="AC12" s="367"/>
      <c r="AD12" s="194"/>
      <c r="AE12" s="194">
        <f t="shared" si="3"/>
        <v>35258</v>
      </c>
      <c r="AG12" s="194">
        <v>35258</v>
      </c>
      <c r="AH12" s="194"/>
      <c r="AI12" s="194"/>
      <c r="AJ12" s="367"/>
      <c r="AK12" s="194"/>
      <c r="AL12" s="194">
        <f t="shared" si="4"/>
        <v>35258</v>
      </c>
      <c r="AN12" s="194">
        <v>26443.5</v>
      </c>
      <c r="AO12" s="194"/>
      <c r="AP12" s="194"/>
      <c r="AQ12" s="367"/>
      <c r="AR12" s="194"/>
      <c r="AS12" s="194">
        <f t="shared" si="5"/>
        <v>26443.5</v>
      </c>
      <c r="AU12" s="194">
        <v>35258</v>
      </c>
      <c r="AV12" s="194"/>
      <c r="AW12" s="194"/>
      <c r="AX12" s="367"/>
      <c r="AY12" s="194"/>
      <c r="AZ12" s="194">
        <f t="shared" si="6"/>
        <v>35258</v>
      </c>
      <c r="BB12" s="955">
        <v>35258</v>
      </c>
      <c r="BC12" s="194"/>
      <c r="BD12" s="194"/>
      <c r="BE12" s="194">
        <f t="shared" si="0"/>
        <v>35258</v>
      </c>
      <c r="BG12" s="955">
        <v>35258</v>
      </c>
      <c r="BH12" s="194"/>
      <c r="BI12" s="194"/>
      <c r="BJ12" s="194">
        <f t="shared" si="1"/>
        <v>35258</v>
      </c>
    </row>
    <row r="13" spans="1:62" ht="12" customHeight="1" x14ac:dyDescent="0.35">
      <c r="A13" s="220">
        <v>9257034</v>
      </c>
      <c r="B13" s="1916" t="s">
        <v>163</v>
      </c>
      <c r="C13" s="1917"/>
      <c r="D13" s="1917"/>
      <c r="E13" s="1917"/>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2"/>
        <v>0</v>
      </c>
      <c r="Z13" s="194"/>
      <c r="AA13" s="194"/>
      <c r="AB13" s="194"/>
      <c r="AC13" s="367"/>
      <c r="AD13" s="194"/>
      <c r="AE13" s="194">
        <f t="shared" si="3"/>
        <v>0</v>
      </c>
      <c r="AG13" s="194"/>
      <c r="AH13" s="194"/>
      <c r="AI13" s="194"/>
      <c r="AJ13" s="367"/>
      <c r="AK13" s="194"/>
      <c r="AL13" s="194">
        <f t="shared" si="4"/>
        <v>0</v>
      </c>
      <c r="AN13" s="194"/>
      <c r="AO13" s="194"/>
      <c r="AP13" s="194"/>
      <c r="AQ13" s="367"/>
      <c r="AR13" s="194"/>
      <c r="AS13" s="194">
        <f t="shared" si="5"/>
        <v>0</v>
      </c>
      <c r="AU13" s="194"/>
      <c r="AV13" s="194"/>
      <c r="AW13" s="194"/>
      <c r="AX13" s="367"/>
      <c r="AY13" s="194"/>
      <c r="AZ13" s="194">
        <f t="shared" si="6"/>
        <v>0</v>
      </c>
      <c r="BB13" s="955"/>
      <c r="BC13" s="194"/>
      <c r="BD13" s="194"/>
      <c r="BE13" s="194">
        <f t="shared" si="0"/>
        <v>0</v>
      </c>
      <c r="BG13" s="955"/>
      <c r="BH13" s="194"/>
      <c r="BI13" s="194"/>
      <c r="BJ13" s="194">
        <f t="shared" si="1"/>
        <v>0</v>
      </c>
    </row>
    <row r="14" spans="1:62" ht="12" customHeight="1" x14ac:dyDescent="0.35">
      <c r="A14" s="220">
        <v>9257021</v>
      </c>
      <c r="B14" s="1916" t="s">
        <v>56</v>
      </c>
      <c r="C14" s="1917"/>
      <c r="D14" s="1917"/>
      <c r="E14" s="1917"/>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2"/>
        <v>35258</v>
      </c>
      <c r="Z14" s="194">
        <f>I14</f>
        <v>35258</v>
      </c>
      <c r="AA14" s="194"/>
      <c r="AB14" s="194"/>
      <c r="AC14" s="367"/>
      <c r="AD14" s="194"/>
      <c r="AE14" s="194">
        <f t="shared" si="3"/>
        <v>35258</v>
      </c>
      <c r="AG14" s="194">
        <v>35258</v>
      </c>
      <c r="AH14" s="194"/>
      <c r="AI14" s="194"/>
      <c r="AJ14" s="367"/>
      <c r="AK14" s="565"/>
      <c r="AL14" s="194">
        <f t="shared" si="4"/>
        <v>35258</v>
      </c>
      <c r="AN14" s="194">
        <v>26443.5</v>
      </c>
      <c r="AO14" s="194"/>
      <c r="AP14" s="194"/>
      <c r="AQ14" s="367"/>
      <c r="AR14" s="565"/>
      <c r="AS14" s="194">
        <f t="shared" si="5"/>
        <v>26443.5</v>
      </c>
      <c r="AU14" s="194">
        <v>35258</v>
      </c>
      <c r="AV14" s="194"/>
      <c r="AW14" s="194"/>
      <c r="AX14" s="367"/>
      <c r="AY14" s="565"/>
      <c r="AZ14" s="194">
        <f t="shared" si="6"/>
        <v>35258</v>
      </c>
      <c r="BB14" s="955">
        <v>35258</v>
      </c>
      <c r="BC14" s="194"/>
      <c r="BD14" s="565"/>
      <c r="BE14" s="194">
        <f t="shared" si="0"/>
        <v>35258</v>
      </c>
      <c r="BG14" s="955">
        <v>35258</v>
      </c>
      <c r="BH14" s="194"/>
      <c r="BI14" s="565"/>
      <c r="BJ14" s="194">
        <f t="shared" si="1"/>
        <v>35258</v>
      </c>
    </row>
    <row r="15" spans="1:62" s="187" customFormat="1" ht="12" customHeight="1" x14ac:dyDescent="0.3">
      <c r="A15" s="220">
        <v>9257033</v>
      </c>
      <c r="B15" s="1916" t="s">
        <v>164</v>
      </c>
      <c r="C15" s="1917"/>
      <c r="D15" s="1917"/>
      <c r="E15" s="1917"/>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2"/>
        <v>73883</v>
      </c>
      <c r="Z15" s="194">
        <f>I15</f>
        <v>35258</v>
      </c>
      <c r="AA15" s="194"/>
      <c r="AB15" s="194"/>
      <c r="AC15" s="194">
        <f>51500*(5/12)</f>
        <v>21458.333333333336</v>
      </c>
      <c r="AD15" s="194"/>
      <c r="AE15" s="194">
        <f t="shared" si="3"/>
        <v>56716.333333333336</v>
      </c>
      <c r="AG15" s="194">
        <v>35258</v>
      </c>
      <c r="AH15" s="194"/>
      <c r="AI15" s="194"/>
      <c r="AJ15" s="194">
        <v>0</v>
      </c>
      <c r="AK15" s="194"/>
      <c r="AL15" s="194">
        <f t="shared" si="4"/>
        <v>35258</v>
      </c>
      <c r="AN15" s="194">
        <v>26443.5</v>
      </c>
      <c r="AO15" s="194"/>
      <c r="AP15" s="194"/>
      <c r="AQ15" s="194">
        <v>0</v>
      </c>
      <c r="AR15" s="194"/>
      <c r="AS15" s="194">
        <f t="shared" si="5"/>
        <v>26443.5</v>
      </c>
      <c r="AU15" s="194">
        <v>35258</v>
      </c>
      <c r="AV15" s="194"/>
      <c r="AW15" s="194"/>
      <c r="AX15" s="194">
        <v>0</v>
      </c>
      <c r="AY15" s="194"/>
      <c r="AZ15" s="194">
        <f t="shared" si="6"/>
        <v>35258</v>
      </c>
      <c r="BB15" s="955">
        <v>35258</v>
      </c>
      <c r="BC15" s="194"/>
      <c r="BD15" s="194"/>
      <c r="BE15" s="194">
        <f t="shared" si="0"/>
        <v>35258</v>
      </c>
      <c r="BG15" s="955"/>
      <c r="BH15" s="194"/>
      <c r="BI15" s="194"/>
      <c r="BJ15" s="194">
        <f t="shared" si="1"/>
        <v>0</v>
      </c>
    </row>
    <row r="16" spans="1:62" s="187" customFormat="1" ht="12" customHeight="1" x14ac:dyDescent="0.3">
      <c r="A16" s="220">
        <v>9257017</v>
      </c>
      <c r="B16" s="1916" t="s">
        <v>54</v>
      </c>
      <c r="C16" s="1917"/>
      <c r="D16" s="1917"/>
      <c r="E16" s="1917"/>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2"/>
        <v>0</v>
      </c>
      <c r="Z16" s="194"/>
      <c r="AA16" s="194"/>
      <c r="AB16" s="194"/>
      <c r="AC16" s="194"/>
      <c r="AD16" s="194"/>
      <c r="AE16" s="194">
        <f t="shared" si="3"/>
        <v>0</v>
      </c>
      <c r="AG16" s="194"/>
      <c r="AH16" s="194"/>
      <c r="AI16" s="194"/>
      <c r="AJ16" s="194"/>
      <c r="AK16" s="194"/>
      <c r="AL16" s="194">
        <f t="shared" si="4"/>
        <v>0</v>
      </c>
      <c r="AN16" s="194"/>
      <c r="AO16" s="194"/>
      <c r="AP16" s="194"/>
      <c r="AQ16" s="194"/>
      <c r="AR16" s="194"/>
      <c r="AS16" s="194">
        <f t="shared" si="5"/>
        <v>0</v>
      </c>
      <c r="AU16" s="194"/>
      <c r="AV16" s="194"/>
      <c r="AW16" s="194"/>
      <c r="AX16" s="194"/>
      <c r="AY16" s="194"/>
      <c r="AZ16" s="194">
        <f t="shared" si="6"/>
        <v>0</v>
      </c>
      <c r="BB16" s="955"/>
      <c r="BC16" s="194"/>
      <c r="BD16" s="194"/>
      <c r="BE16" s="194">
        <f t="shared" si="0"/>
        <v>0</v>
      </c>
      <c r="BG16" s="955"/>
      <c r="BH16" s="194"/>
      <c r="BI16" s="194"/>
      <c r="BJ16" s="194">
        <f t="shared" si="1"/>
        <v>0</v>
      </c>
    </row>
    <row r="17" spans="1:62" ht="12" customHeight="1" x14ac:dyDescent="0.35">
      <c r="A17" s="220">
        <v>9257015</v>
      </c>
      <c r="B17" s="1916" t="s">
        <v>94</v>
      </c>
      <c r="C17" s="1917"/>
      <c r="D17" s="1917"/>
      <c r="E17" s="1917"/>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2"/>
        <v>86758</v>
      </c>
      <c r="Z17" s="194">
        <f>I17</f>
        <v>35258</v>
      </c>
      <c r="AA17" s="194"/>
      <c r="AB17" s="194">
        <f>Q17*(5/12)</f>
        <v>21458.333333333336</v>
      </c>
      <c r="AC17" s="367"/>
      <c r="AD17" s="194"/>
      <c r="AE17" s="194">
        <f t="shared" si="3"/>
        <v>56716.333333333336</v>
      </c>
      <c r="AG17" s="194">
        <v>35258</v>
      </c>
      <c r="AH17" s="194"/>
      <c r="AI17" s="194">
        <v>0</v>
      </c>
      <c r="AJ17" s="367"/>
      <c r="AK17" s="194"/>
      <c r="AL17" s="194">
        <f t="shared" si="4"/>
        <v>35258</v>
      </c>
      <c r="AN17" s="194">
        <v>26443.5</v>
      </c>
      <c r="AO17" s="194"/>
      <c r="AP17" s="194">
        <v>0</v>
      </c>
      <c r="AQ17" s="367"/>
      <c r="AR17" s="194"/>
      <c r="AS17" s="194">
        <f t="shared" si="5"/>
        <v>26443.5</v>
      </c>
      <c r="AU17" s="194">
        <v>35258</v>
      </c>
      <c r="AV17" s="194"/>
      <c r="AW17" s="194">
        <v>0</v>
      </c>
      <c r="AX17" s="367"/>
      <c r="AY17" s="194"/>
      <c r="AZ17" s="194">
        <f t="shared" si="6"/>
        <v>35258</v>
      </c>
      <c r="BB17" s="955">
        <v>35258</v>
      </c>
      <c r="BC17" s="194"/>
      <c r="BD17" s="194"/>
      <c r="BE17" s="194">
        <f t="shared" si="0"/>
        <v>35258</v>
      </c>
      <c r="BG17" s="955">
        <f>35258+8333</f>
        <v>43591</v>
      </c>
      <c r="BH17" s="194"/>
      <c r="BI17" s="194"/>
      <c r="BJ17" s="194">
        <f t="shared" si="1"/>
        <v>43591</v>
      </c>
    </row>
    <row r="18" spans="1:62" ht="12" customHeight="1" x14ac:dyDescent="0.35">
      <c r="A18" s="220">
        <v>9257016</v>
      </c>
      <c r="B18" s="1916" t="s">
        <v>95</v>
      </c>
      <c r="C18" s="1917"/>
      <c r="D18" s="1917"/>
      <c r="E18" s="1917"/>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2"/>
        <v>731504</v>
      </c>
      <c r="Z18" s="194"/>
      <c r="AA18" s="194">
        <f>L18*(5/12)</f>
        <v>25000</v>
      </c>
      <c r="AB18" s="194">
        <f>Q18*(5/12)</f>
        <v>37056.666666666672</v>
      </c>
      <c r="AC18" s="367"/>
      <c r="AD18" s="194">
        <f>U18</f>
        <v>582568</v>
      </c>
      <c r="AE18" s="194">
        <f t="shared" si="3"/>
        <v>644624.66666666663</v>
      </c>
      <c r="AG18" s="194"/>
      <c r="AH18" s="194">
        <v>0</v>
      </c>
      <c r="AI18" s="194">
        <v>140436</v>
      </c>
      <c r="AJ18" s="367"/>
      <c r="AK18" s="194">
        <v>582568</v>
      </c>
      <c r="AL18" s="194">
        <f t="shared" si="4"/>
        <v>723004</v>
      </c>
      <c r="AN18" s="194"/>
      <c r="AO18" s="194">
        <v>0</v>
      </c>
      <c r="AP18" s="194">
        <v>140436</v>
      </c>
      <c r="AQ18" s="367"/>
      <c r="AR18" s="194">
        <v>582568</v>
      </c>
      <c r="AS18" s="194">
        <f t="shared" si="5"/>
        <v>723004</v>
      </c>
      <c r="AU18" s="194"/>
      <c r="AV18" s="194">
        <v>0</v>
      </c>
      <c r="AW18" s="194">
        <v>140436</v>
      </c>
      <c r="AX18" s="367"/>
      <c r="AY18" s="194">
        <v>582568</v>
      </c>
      <c r="AZ18" s="194">
        <f t="shared" si="6"/>
        <v>723004</v>
      </c>
      <c r="BB18" s="955"/>
      <c r="BC18" s="954">
        <v>140436</v>
      </c>
      <c r="BD18" s="194">
        <v>582568</v>
      </c>
      <c r="BE18" s="194">
        <f t="shared" si="0"/>
        <v>723004</v>
      </c>
      <c r="BG18" s="955"/>
      <c r="BH18" s="954">
        <v>140436</v>
      </c>
      <c r="BI18" s="194">
        <v>582568</v>
      </c>
      <c r="BJ18" s="194">
        <f t="shared" si="1"/>
        <v>723004</v>
      </c>
    </row>
    <row r="19" spans="1:62" ht="12" customHeight="1" x14ac:dyDescent="0.35">
      <c r="A19" s="220">
        <v>9257032</v>
      </c>
      <c r="B19" s="1918" t="s">
        <v>165</v>
      </c>
      <c r="C19" s="1919"/>
      <c r="D19" s="1919"/>
      <c r="E19" s="1920"/>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2"/>
        <v>60000</v>
      </c>
      <c r="Z19" s="194"/>
      <c r="AA19" s="194">
        <f>L19*(5/12)</f>
        <v>25000</v>
      </c>
      <c r="AB19" s="194"/>
      <c r="AC19" s="367"/>
      <c r="AD19" s="194"/>
      <c r="AE19" s="194">
        <f t="shared" si="3"/>
        <v>25000</v>
      </c>
      <c r="AG19" s="194"/>
      <c r="AH19" s="194">
        <v>0</v>
      </c>
      <c r="AI19" s="194"/>
      <c r="AJ19" s="367"/>
      <c r="AK19" s="194"/>
      <c r="AL19" s="194">
        <f t="shared" si="4"/>
        <v>0</v>
      </c>
      <c r="AN19" s="194"/>
      <c r="AO19" s="194">
        <v>0</v>
      </c>
      <c r="AP19" s="194"/>
      <c r="AQ19" s="367"/>
      <c r="AR19" s="194"/>
      <c r="AS19" s="194">
        <f t="shared" si="5"/>
        <v>0</v>
      </c>
      <c r="AU19" s="194"/>
      <c r="AV19" s="194">
        <v>0</v>
      </c>
      <c r="AW19" s="194"/>
      <c r="AX19" s="367"/>
      <c r="AY19" s="194"/>
      <c r="AZ19" s="194">
        <f t="shared" si="6"/>
        <v>0</v>
      </c>
      <c r="BB19" s="955"/>
      <c r="BC19" s="194"/>
      <c r="BD19" s="194"/>
      <c r="BE19" s="194">
        <f t="shared" si="0"/>
        <v>0</v>
      </c>
      <c r="BG19" s="955"/>
      <c r="BH19" s="194"/>
      <c r="BI19" s="194"/>
      <c r="BJ19" s="194">
        <f t="shared" si="1"/>
        <v>0</v>
      </c>
    </row>
    <row r="20" spans="1:62" ht="12" customHeight="1" x14ac:dyDescent="0.35">
      <c r="A20" s="220">
        <v>9257025</v>
      </c>
      <c r="B20" s="1916" t="s">
        <v>52</v>
      </c>
      <c r="C20" s="1917"/>
      <c r="D20" s="1917"/>
      <c r="E20" s="1917"/>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2"/>
        <v>401527</v>
      </c>
      <c r="Z20" s="194">
        <f>I20</f>
        <v>35258</v>
      </c>
      <c r="AA20" s="194"/>
      <c r="AB20" s="194"/>
      <c r="AC20" s="194">
        <f>51500*(5/12)</f>
        <v>21458.333333333336</v>
      </c>
      <c r="AD20" s="194">
        <f>U20</f>
        <v>327644</v>
      </c>
      <c r="AE20" s="194">
        <f t="shared" si="3"/>
        <v>384360.33333333331</v>
      </c>
      <c r="AG20" s="194">
        <v>35258</v>
      </c>
      <c r="AH20" s="194"/>
      <c r="AI20" s="194"/>
      <c r="AJ20" s="194">
        <v>0</v>
      </c>
      <c r="AK20" s="194">
        <f>327644+209307</f>
        <v>536951</v>
      </c>
      <c r="AL20" s="194">
        <f t="shared" si="4"/>
        <v>572209</v>
      </c>
      <c r="AN20" s="194">
        <v>26443.5</v>
      </c>
      <c r="AO20" s="194"/>
      <c r="AP20" s="194"/>
      <c r="AQ20" s="194">
        <v>0</v>
      </c>
      <c r="AR20" s="194">
        <f>327644+209307</f>
        <v>536951</v>
      </c>
      <c r="AS20" s="194">
        <f t="shared" si="5"/>
        <v>563394.5</v>
      </c>
      <c r="AU20" s="194">
        <v>35258</v>
      </c>
      <c r="AV20" s="194"/>
      <c r="AW20" s="194"/>
      <c r="AX20" s="194">
        <v>0</v>
      </c>
      <c r="AY20" s="194">
        <f>327644+209307</f>
        <v>536951</v>
      </c>
      <c r="AZ20" s="194">
        <f t="shared" si="6"/>
        <v>572209</v>
      </c>
      <c r="BB20" s="955">
        <v>35258</v>
      </c>
      <c r="BC20" s="194"/>
      <c r="BD20" s="194">
        <f>327644+209307</f>
        <v>536951</v>
      </c>
      <c r="BE20" s="194">
        <f t="shared" si="0"/>
        <v>572209</v>
      </c>
      <c r="BG20" s="955">
        <f>35258*2</f>
        <v>70516</v>
      </c>
      <c r="BH20" s="194"/>
      <c r="BI20" s="194">
        <f>327644+209307</f>
        <v>536951</v>
      </c>
      <c r="BJ20" s="194">
        <f t="shared" si="1"/>
        <v>607467</v>
      </c>
    </row>
    <row r="21" spans="1:62" ht="12" customHeight="1" x14ac:dyDescent="0.35">
      <c r="A21" s="220">
        <v>9257011</v>
      </c>
      <c r="B21" s="1916" t="s">
        <v>89</v>
      </c>
      <c r="C21" s="1917"/>
      <c r="D21" s="1917"/>
      <c r="E21" s="1917"/>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2"/>
        <v>54570.5</v>
      </c>
      <c r="Z21" s="194">
        <f>I21</f>
        <v>35258</v>
      </c>
      <c r="AA21" s="194"/>
      <c r="AB21" s="194"/>
      <c r="AC21" s="194">
        <f>(51500)*(5/12)</f>
        <v>21458.333333333336</v>
      </c>
      <c r="AD21" s="194"/>
      <c r="AE21" s="194">
        <f t="shared" si="3"/>
        <v>56716.333333333336</v>
      </c>
      <c r="AG21" s="194">
        <v>35258</v>
      </c>
      <c r="AH21" s="194"/>
      <c r="AI21" s="194"/>
      <c r="AJ21" s="194">
        <v>0</v>
      </c>
      <c r="AK21" s="194"/>
      <c r="AL21" s="194">
        <f t="shared" si="4"/>
        <v>35258</v>
      </c>
      <c r="AN21" s="194">
        <v>26443.5</v>
      </c>
      <c r="AO21" s="194"/>
      <c r="AP21" s="194"/>
      <c r="AQ21" s="194">
        <v>0</v>
      </c>
      <c r="AR21" s="194"/>
      <c r="AS21" s="194">
        <f t="shared" si="5"/>
        <v>26443.5</v>
      </c>
      <c r="AU21" s="194">
        <v>35258</v>
      </c>
      <c r="AV21" s="194"/>
      <c r="AW21" s="194"/>
      <c r="AX21" s="194">
        <v>0</v>
      </c>
      <c r="AY21" s="194"/>
      <c r="AZ21" s="194">
        <f t="shared" si="6"/>
        <v>35258</v>
      </c>
      <c r="BB21" s="955">
        <v>35258</v>
      </c>
      <c r="BC21" s="194"/>
      <c r="BD21" s="194"/>
      <c r="BE21" s="194">
        <f t="shared" si="0"/>
        <v>35258</v>
      </c>
      <c r="BG21" s="955">
        <v>35258</v>
      </c>
      <c r="BH21" s="194"/>
      <c r="BI21" s="194"/>
      <c r="BJ21" s="194">
        <f t="shared" si="1"/>
        <v>35258</v>
      </c>
    </row>
    <row r="22" spans="1:62" ht="12" customHeight="1" x14ac:dyDescent="0.35">
      <c r="A22" s="220">
        <v>9257009</v>
      </c>
      <c r="B22" s="1916" t="s">
        <v>93</v>
      </c>
      <c r="C22" s="1917"/>
      <c r="D22" s="1917"/>
      <c r="E22" s="1917"/>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2"/>
        <v>19312.5</v>
      </c>
      <c r="Z22" s="194"/>
      <c r="AA22" s="194"/>
      <c r="AB22" s="194"/>
      <c r="AC22" s="194">
        <f>(51500)*(5/12)</f>
        <v>21458.333333333336</v>
      </c>
      <c r="AD22" s="194"/>
      <c r="AE22" s="194">
        <f t="shared" si="3"/>
        <v>21458.333333333336</v>
      </c>
      <c r="AG22" s="194"/>
      <c r="AH22" s="194"/>
      <c r="AI22" s="194"/>
      <c r="AJ22" s="194">
        <v>0</v>
      </c>
      <c r="AK22" s="194"/>
      <c r="AL22" s="194">
        <f t="shared" si="4"/>
        <v>0</v>
      </c>
      <c r="AN22" s="194"/>
      <c r="AO22" s="194"/>
      <c r="AP22" s="194"/>
      <c r="AQ22" s="194">
        <v>0</v>
      </c>
      <c r="AR22" s="194"/>
      <c r="AS22" s="194">
        <f t="shared" si="5"/>
        <v>0</v>
      </c>
      <c r="AU22" s="194"/>
      <c r="AV22" s="194"/>
      <c r="AW22" s="194"/>
      <c r="AX22" s="194">
        <v>0</v>
      </c>
      <c r="AY22" s="194"/>
      <c r="AZ22" s="194">
        <f t="shared" si="6"/>
        <v>0</v>
      </c>
      <c r="BB22" s="955"/>
      <c r="BC22" s="194"/>
      <c r="BD22" s="194"/>
      <c r="BE22" s="194">
        <f t="shared" si="0"/>
        <v>0</v>
      </c>
      <c r="BG22" s="955"/>
      <c r="BH22" s="194"/>
      <c r="BI22" s="194"/>
      <c r="BJ22" s="194">
        <f t="shared" si="1"/>
        <v>0</v>
      </c>
    </row>
    <row r="23" spans="1:62" ht="12" customHeight="1" x14ac:dyDescent="0.35">
      <c r="A23" s="220">
        <v>9257024</v>
      </c>
      <c r="B23" s="1916" t="s">
        <v>90</v>
      </c>
      <c r="C23" s="1917"/>
      <c r="D23" s="1917"/>
      <c r="E23" s="1917"/>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2"/>
        <v>95258</v>
      </c>
      <c r="Z23" s="194">
        <f>I23</f>
        <v>35258</v>
      </c>
      <c r="AA23" s="194">
        <f>L23*(5/12)</f>
        <v>25000</v>
      </c>
      <c r="AB23" s="194"/>
      <c r="AC23" s="367"/>
      <c r="AD23" s="194"/>
      <c r="AE23" s="194">
        <f t="shared" si="3"/>
        <v>60258</v>
      </c>
      <c r="AG23" s="194">
        <v>35258</v>
      </c>
      <c r="AH23" s="194">
        <v>0</v>
      </c>
      <c r="AI23" s="194"/>
      <c r="AJ23" s="367"/>
      <c r="AK23" s="194"/>
      <c r="AL23" s="194">
        <f t="shared" si="4"/>
        <v>35258</v>
      </c>
      <c r="AN23" s="194">
        <v>26443.5</v>
      </c>
      <c r="AO23" s="194">
        <v>0</v>
      </c>
      <c r="AP23" s="194"/>
      <c r="AQ23" s="367"/>
      <c r="AR23" s="194"/>
      <c r="AS23" s="194">
        <f t="shared" si="5"/>
        <v>26443.5</v>
      </c>
      <c r="AU23" s="194">
        <v>35258</v>
      </c>
      <c r="AV23" s="194">
        <v>0</v>
      </c>
      <c r="AW23" s="194"/>
      <c r="AX23" s="367"/>
      <c r="AY23" s="194"/>
      <c r="AZ23" s="194">
        <f t="shared" si="6"/>
        <v>35258</v>
      </c>
      <c r="BB23" s="955">
        <v>35258</v>
      </c>
      <c r="BC23" s="194"/>
      <c r="BD23" s="194"/>
      <c r="BE23" s="194">
        <f t="shared" si="0"/>
        <v>35258</v>
      </c>
      <c r="BG23" s="955">
        <v>35258</v>
      </c>
      <c r="BH23" s="194"/>
      <c r="BI23" s="194"/>
      <c r="BJ23" s="194">
        <f t="shared" si="1"/>
        <v>35258</v>
      </c>
    </row>
    <row r="24" spans="1:62" ht="12" customHeight="1" x14ac:dyDescent="0.35">
      <c r="A24" s="220">
        <v>9257028</v>
      </c>
      <c r="B24" s="1916" t="s">
        <v>135</v>
      </c>
      <c r="C24" s="1917"/>
      <c r="D24" s="1917"/>
      <c r="E24" s="1917"/>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2"/>
        <v>95258</v>
      </c>
      <c r="Z24" s="194">
        <f>I24</f>
        <v>35258</v>
      </c>
      <c r="AA24" s="194"/>
      <c r="AB24" s="194"/>
      <c r="AC24" s="367"/>
      <c r="AD24" s="194"/>
      <c r="AE24" s="194">
        <f t="shared" si="3"/>
        <v>35258</v>
      </c>
      <c r="AG24" s="194">
        <v>35258</v>
      </c>
      <c r="AH24" s="194"/>
      <c r="AI24" s="194"/>
      <c r="AJ24" s="367"/>
      <c r="AK24" s="194"/>
      <c r="AL24" s="194">
        <f t="shared" si="4"/>
        <v>35258</v>
      </c>
      <c r="AN24" s="194">
        <v>26443.5</v>
      </c>
      <c r="AO24" s="194"/>
      <c r="AP24" s="194"/>
      <c r="AQ24" s="367"/>
      <c r="AR24" s="194"/>
      <c r="AS24" s="194">
        <f t="shared" si="5"/>
        <v>26443.5</v>
      </c>
      <c r="AU24" s="194">
        <v>35258</v>
      </c>
      <c r="AV24" s="194"/>
      <c r="AW24" s="194"/>
      <c r="AX24" s="367"/>
      <c r="AY24" s="194"/>
      <c r="AZ24" s="194">
        <f t="shared" si="6"/>
        <v>35258</v>
      </c>
      <c r="BB24" s="955">
        <v>35258</v>
      </c>
      <c r="BC24" s="194"/>
      <c r="BD24" s="194"/>
      <c r="BE24" s="194">
        <f t="shared" si="0"/>
        <v>35258</v>
      </c>
      <c r="BG24" s="955">
        <v>35258</v>
      </c>
      <c r="BH24" s="194"/>
      <c r="BI24" s="194"/>
      <c r="BJ24" s="194">
        <f t="shared" si="1"/>
        <v>35258</v>
      </c>
    </row>
    <row r="25" spans="1:62" ht="12" customHeight="1" x14ac:dyDescent="0.35">
      <c r="A25" s="220">
        <v>9257029</v>
      </c>
      <c r="B25" s="2013" t="s">
        <v>849</v>
      </c>
      <c r="C25" s="1922"/>
      <c r="D25" s="1922"/>
      <c r="E25" s="1923"/>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2"/>
        <v>60000</v>
      </c>
      <c r="Z25" s="194"/>
      <c r="AA25" s="194">
        <f>L25*(5/12)</f>
        <v>25000</v>
      </c>
      <c r="AB25" s="194"/>
      <c r="AC25" s="367"/>
      <c r="AD25" s="194"/>
      <c r="AE25" s="194">
        <f t="shared" si="3"/>
        <v>25000</v>
      </c>
      <c r="AG25" s="194"/>
      <c r="AH25" s="194">
        <v>0</v>
      </c>
      <c r="AI25" s="194"/>
      <c r="AJ25" s="367"/>
      <c r="AK25" s="194"/>
      <c r="AL25" s="194">
        <f t="shared" si="4"/>
        <v>0</v>
      </c>
      <c r="AN25" s="194"/>
      <c r="AO25" s="194">
        <v>0</v>
      </c>
      <c r="AP25" s="194"/>
      <c r="AQ25" s="367"/>
      <c r="AR25" s="194"/>
      <c r="AS25" s="194">
        <f t="shared" si="5"/>
        <v>0</v>
      </c>
      <c r="AU25" s="194"/>
      <c r="AV25" s="194">
        <v>0</v>
      </c>
      <c r="AW25" s="194"/>
      <c r="AX25" s="367"/>
      <c r="AY25" s="194"/>
      <c r="AZ25" s="194">
        <f t="shared" si="6"/>
        <v>0</v>
      </c>
      <c r="BB25" s="194"/>
      <c r="BC25" s="194"/>
      <c r="BD25" s="194"/>
      <c r="BE25" s="194">
        <f t="shared" si="0"/>
        <v>0</v>
      </c>
      <c r="BG25" s="194"/>
      <c r="BH25" s="194"/>
      <c r="BI25" s="194"/>
      <c r="BJ25" s="194">
        <f t="shared" si="1"/>
        <v>0</v>
      </c>
    </row>
    <row r="26" spans="1:62" ht="12" customHeight="1" x14ac:dyDescent="0.35">
      <c r="B26" s="1924" t="s">
        <v>62</v>
      </c>
      <c r="C26" s="1924"/>
      <c r="D26" s="1924"/>
      <c r="E26" s="1924"/>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3"/>
        <v>1536257.3333333335</v>
      </c>
      <c r="AG26" s="194">
        <f>SUM(AG7:AG25)</f>
        <v>317322</v>
      </c>
      <c r="AH26" s="194">
        <f>SUM(AH7:AH25)</f>
        <v>0</v>
      </c>
      <c r="AI26" s="194">
        <f>SUM(AI7:AI25)</f>
        <v>757936</v>
      </c>
      <c r="AJ26" s="194">
        <f>SUM(AJ7:AJ25)</f>
        <v>0</v>
      </c>
      <c r="AK26" s="194">
        <f>SUM(AK7:AK25)</f>
        <v>1119519</v>
      </c>
      <c r="AL26" s="194">
        <f t="shared" si="4"/>
        <v>2194777</v>
      </c>
      <c r="AN26" s="194">
        <f>SUM(AN7:AN25)</f>
        <v>237991.5</v>
      </c>
      <c r="AO26" s="194">
        <f>SUM(AO7:AO25)</f>
        <v>0</v>
      </c>
      <c r="AP26" s="194">
        <f>SUM(AP7:AP25)</f>
        <v>757936</v>
      </c>
      <c r="AQ26" s="194">
        <f>SUM(AQ7:AQ25)</f>
        <v>0</v>
      </c>
      <c r="AR26" s="194">
        <f>SUM(AR7:AR25)</f>
        <v>1119519</v>
      </c>
      <c r="AS26" s="194">
        <f t="shared" si="5"/>
        <v>2115446.5</v>
      </c>
      <c r="AU26" s="194">
        <f>SUM(AU7:AU25)</f>
        <v>317322</v>
      </c>
      <c r="AV26" s="194">
        <f>SUM(AV7:AV25)</f>
        <v>0</v>
      </c>
      <c r="AW26" s="194">
        <f>SUM(AW7:AW25)</f>
        <v>757936</v>
      </c>
      <c r="AX26" s="194">
        <f>SUM(AX7:AX25)</f>
        <v>0</v>
      </c>
      <c r="AY26" s="194">
        <f>SUM(AY7:AY25)</f>
        <v>1119519</v>
      </c>
      <c r="AZ26" s="194">
        <f t="shared" si="6"/>
        <v>2194777</v>
      </c>
      <c r="BB26" s="194">
        <f>SUM(BB7:BB25)</f>
        <v>317322</v>
      </c>
      <c r="BC26" s="194">
        <f>SUM(BC7:BC25)</f>
        <v>757936</v>
      </c>
      <c r="BD26" s="194">
        <f>SUM(BD7:BD25)</f>
        <v>1119519</v>
      </c>
      <c r="BE26" s="194">
        <f t="shared" si="0"/>
        <v>2194777</v>
      </c>
      <c r="BG26" s="194">
        <f>SUM(BG7:BG25)</f>
        <v>325655</v>
      </c>
      <c r="BH26" s="194">
        <f>SUM(BH7:BH25)</f>
        <v>757936</v>
      </c>
      <c r="BI26" s="194">
        <f>SUM(BI7:BI25)</f>
        <v>1119519</v>
      </c>
      <c r="BJ26" s="194">
        <f t="shared" si="1"/>
        <v>2203110</v>
      </c>
    </row>
    <row r="27" spans="1:62" ht="15" customHeight="1" x14ac:dyDescent="0.35"/>
    <row r="28" spans="1:62" ht="15" hidden="1" customHeight="1" x14ac:dyDescent="0.35">
      <c r="B28" s="199" t="s">
        <v>115</v>
      </c>
    </row>
    <row r="29" spans="1:62" ht="15" hidden="1" customHeight="1" x14ac:dyDescent="0.35">
      <c r="B29" s="200" t="s">
        <v>213</v>
      </c>
    </row>
    <row r="30" spans="1:62" ht="15" hidden="1" customHeight="1" x14ac:dyDescent="0.35">
      <c r="B30" s="1930" t="s">
        <v>223</v>
      </c>
      <c r="C30" s="1930"/>
      <c r="D30" s="1930"/>
      <c r="E30" s="1930"/>
      <c r="F30" s="1930"/>
      <c r="G30" s="1930"/>
      <c r="H30" s="1930"/>
      <c r="I30" s="1930"/>
      <c r="J30" s="1930"/>
      <c r="K30" s="1930"/>
      <c r="L30" s="1930"/>
      <c r="M30" s="1930"/>
      <c r="N30" s="1930"/>
      <c r="O30" s="1930"/>
      <c r="P30" s="1930"/>
      <c r="Q30" s="1930"/>
      <c r="R30" s="1930"/>
      <c r="S30" s="1930"/>
      <c r="T30" s="1930"/>
      <c r="U30" s="1930"/>
      <c r="V30" s="1930"/>
    </row>
    <row r="31" spans="1:62" ht="15" hidden="1" customHeight="1" x14ac:dyDescent="0.35">
      <c r="B31" s="1930"/>
      <c r="C31" s="1930"/>
      <c r="D31" s="1930"/>
      <c r="E31" s="1930"/>
      <c r="F31" s="1930"/>
      <c r="G31" s="1930"/>
      <c r="H31" s="1930"/>
      <c r="I31" s="1930"/>
      <c r="J31" s="1930"/>
      <c r="K31" s="1930"/>
      <c r="L31" s="1930"/>
      <c r="M31" s="1930"/>
      <c r="N31" s="1930"/>
      <c r="O31" s="1930"/>
      <c r="P31" s="1930"/>
      <c r="Q31" s="1930"/>
      <c r="R31" s="1930"/>
      <c r="S31" s="1930"/>
      <c r="T31" s="1930"/>
      <c r="U31" s="1930"/>
      <c r="V31" s="1930"/>
    </row>
    <row r="32" spans="1:62" ht="15" hidden="1" customHeight="1" x14ac:dyDescent="0.35">
      <c r="B32" s="1930"/>
      <c r="C32" s="1930"/>
      <c r="D32" s="1930"/>
      <c r="E32" s="1930"/>
      <c r="F32" s="1930"/>
      <c r="G32" s="1930"/>
      <c r="H32" s="1930"/>
      <c r="I32" s="1930"/>
      <c r="J32" s="1930"/>
      <c r="K32" s="1930"/>
      <c r="L32" s="1930"/>
      <c r="M32" s="1930"/>
      <c r="N32" s="1930"/>
      <c r="O32" s="1930"/>
      <c r="P32" s="1930"/>
      <c r="Q32" s="1930"/>
      <c r="R32" s="1930"/>
      <c r="S32" s="1930"/>
      <c r="T32" s="1930"/>
      <c r="U32" s="1930"/>
      <c r="V32" s="1930"/>
    </row>
    <row r="33" spans="1:28" ht="18.75" hidden="1" customHeight="1" x14ac:dyDescent="0.35">
      <c r="B33" s="1930"/>
      <c r="C33" s="1930"/>
      <c r="D33" s="1930"/>
      <c r="E33" s="1930"/>
      <c r="F33" s="1930"/>
      <c r="G33" s="1930"/>
      <c r="H33" s="1930"/>
      <c r="I33" s="1930"/>
      <c r="J33" s="1930"/>
      <c r="K33" s="1930"/>
      <c r="L33" s="1930"/>
      <c r="M33" s="1930"/>
      <c r="N33" s="1930"/>
      <c r="O33" s="1930"/>
      <c r="P33" s="1930"/>
      <c r="Q33" s="1930"/>
      <c r="R33" s="1930"/>
      <c r="S33" s="1930"/>
      <c r="T33" s="1930"/>
      <c r="U33" s="1930"/>
      <c r="V33" s="1930"/>
    </row>
    <row r="34" spans="1:28" ht="15" hidden="1" customHeight="1" x14ac:dyDescent="0.35">
      <c r="B34" s="201"/>
      <c r="C34" s="201"/>
      <c r="D34" s="201"/>
      <c r="E34" s="201"/>
      <c r="F34" s="201"/>
      <c r="G34" s="201"/>
      <c r="H34" s="201"/>
      <c r="I34" s="201"/>
      <c r="J34" s="937"/>
      <c r="K34" s="937"/>
      <c r="L34" s="937"/>
      <c r="M34" s="201"/>
      <c r="N34" s="201"/>
    </row>
    <row r="35" spans="1:28" ht="15" hidden="1" customHeight="1" x14ac:dyDescent="0.35">
      <c r="B35" s="200" t="s">
        <v>139</v>
      </c>
    </row>
    <row r="36" spans="1:28" ht="15" hidden="1" customHeight="1" x14ac:dyDescent="0.35">
      <c r="B36" s="1930" t="s">
        <v>214</v>
      </c>
      <c r="C36" s="1930"/>
      <c r="D36" s="1930"/>
      <c r="E36" s="1930"/>
      <c r="F36" s="1930"/>
      <c r="G36" s="1930"/>
      <c r="H36" s="1930"/>
      <c r="I36" s="1930"/>
      <c r="J36" s="1930"/>
      <c r="K36" s="1930"/>
      <c r="L36" s="1930"/>
      <c r="M36" s="1930"/>
      <c r="N36" s="1930"/>
      <c r="O36" s="1930"/>
      <c r="P36" s="1930"/>
      <c r="Q36" s="1930"/>
      <c r="R36" s="1930"/>
      <c r="S36" s="1930"/>
      <c r="T36" s="1930"/>
      <c r="U36" s="1930"/>
      <c r="V36" s="1930"/>
    </row>
    <row r="37" spans="1:28" ht="15" hidden="1" customHeight="1" x14ac:dyDescent="0.35">
      <c r="B37" s="1930"/>
      <c r="C37" s="1930"/>
      <c r="D37" s="1930"/>
      <c r="E37" s="1930"/>
      <c r="F37" s="1930"/>
      <c r="G37" s="1930"/>
      <c r="H37" s="1930"/>
      <c r="I37" s="1930"/>
      <c r="J37" s="1930"/>
      <c r="K37" s="1930"/>
      <c r="L37" s="1930"/>
      <c r="M37" s="1930"/>
      <c r="N37" s="1930"/>
      <c r="O37" s="1930"/>
      <c r="P37" s="1930"/>
      <c r="Q37" s="1930"/>
      <c r="R37" s="1930"/>
      <c r="S37" s="1930"/>
      <c r="T37" s="1930"/>
      <c r="U37" s="1930"/>
      <c r="V37" s="1930"/>
    </row>
    <row r="38" spans="1:28" ht="23.25" hidden="1" customHeight="1" x14ac:dyDescent="0.35">
      <c r="B38" s="1930"/>
      <c r="C38" s="1930"/>
      <c r="D38" s="1930"/>
      <c r="E38" s="1930"/>
      <c r="F38" s="1930"/>
      <c r="G38" s="1930"/>
      <c r="H38" s="1930"/>
      <c r="I38" s="1930"/>
      <c r="J38" s="1930"/>
      <c r="K38" s="1930"/>
      <c r="L38" s="1930"/>
      <c r="M38" s="1930"/>
      <c r="N38" s="1930"/>
      <c r="O38" s="1930"/>
      <c r="P38" s="1930"/>
      <c r="Q38" s="1930"/>
      <c r="R38" s="1930"/>
      <c r="S38" s="1930"/>
      <c r="T38" s="1930"/>
      <c r="U38" s="1930"/>
      <c r="V38" s="1930"/>
    </row>
    <row r="39" spans="1:28" s="205" customFormat="1" hidden="1" x14ac:dyDescent="0.3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idden="1" x14ac:dyDescent="0.3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35">
      <c r="A41" s="188"/>
      <c r="B41" s="1931" t="s">
        <v>216</v>
      </c>
      <c r="C41" s="1931"/>
      <c r="D41" s="1931"/>
      <c r="E41" s="1931"/>
      <c r="F41" s="1931"/>
      <c r="G41" s="1931"/>
      <c r="H41" s="1931"/>
      <c r="I41" s="1931"/>
      <c r="J41" s="1931"/>
      <c r="K41" s="1931"/>
      <c r="L41" s="1931"/>
      <c r="M41" s="1931"/>
      <c r="N41" s="1931"/>
      <c r="O41" s="1931"/>
      <c r="P41" s="1931"/>
      <c r="Q41" s="1931"/>
      <c r="R41" s="1931"/>
      <c r="S41" s="1931"/>
      <c r="T41" s="1931"/>
      <c r="U41" s="1931"/>
      <c r="V41" s="1931"/>
      <c r="W41" s="204"/>
      <c r="X41" s="204"/>
      <c r="Y41" s="188"/>
      <c r="Z41" s="204"/>
      <c r="AA41" s="204"/>
      <c r="AB41" s="204"/>
    </row>
    <row r="42" spans="1:28" s="205" customFormat="1" hidden="1" x14ac:dyDescent="0.35">
      <c r="A42" s="188"/>
      <c r="B42" s="1931"/>
      <c r="C42" s="1931"/>
      <c r="D42" s="1931"/>
      <c r="E42" s="1931"/>
      <c r="F42" s="1931"/>
      <c r="G42" s="1931"/>
      <c r="H42" s="1931"/>
      <c r="I42" s="1931"/>
      <c r="J42" s="1931"/>
      <c r="K42" s="1931"/>
      <c r="L42" s="1931"/>
      <c r="M42" s="1931"/>
      <c r="N42" s="1931"/>
      <c r="O42" s="1931"/>
      <c r="P42" s="1931"/>
      <c r="Q42" s="1931"/>
      <c r="R42" s="1931"/>
      <c r="S42" s="1931"/>
      <c r="T42" s="1931"/>
      <c r="U42" s="1931"/>
      <c r="V42" s="1931"/>
      <c r="W42" s="204"/>
      <c r="X42" s="204"/>
      <c r="Y42" s="188"/>
      <c r="Z42" s="204"/>
      <c r="AA42" s="204"/>
      <c r="AB42" s="204"/>
    </row>
    <row r="43" spans="1:28" s="205" customFormat="1" hidden="1" x14ac:dyDescent="0.35">
      <c r="A43" s="188"/>
      <c r="B43" s="1931"/>
      <c r="C43" s="1931"/>
      <c r="D43" s="1931"/>
      <c r="E43" s="1931"/>
      <c r="F43" s="1931"/>
      <c r="G43" s="1931"/>
      <c r="H43" s="1931"/>
      <c r="I43" s="1931"/>
      <c r="J43" s="1931"/>
      <c r="K43" s="1931"/>
      <c r="L43" s="1931"/>
      <c r="M43" s="1931"/>
      <c r="N43" s="1931"/>
      <c r="O43" s="1931"/>
      <c r="P43" s="1931"/>
      <c r="Q43" s="1931"/>
      <c r="R43" s="1931"/>
      <c r="S43" s="1931"/>
      <c r="T43" s="1931"/>
      <c r="U43" s="1931"/>
      <c r="V43" s="1931"/>
      <c r="W43" s="204"/>
      <c r="X43" s="204"/>
      <c r="Y43" s="188"/>
      <c r="Z43" s="204"/>
      <c r="AA43" s="204"/>
      <c r="AB43" s="204"/>
    </row>
    <row r="44" spans="1:28" s="205" customFormat="1" hidden="1" x14ac:dyDescent="0.35">
      <c r="A44" s="188"/>
      <c r="B44" s="1931"/>
      <c r="C44" s="1931"/>
      <c r="D44" s="1931"/>
      <c r="E44" s="1931"/>
      <c r="F44" s="1931"/>
      <c r="G44" s="1931"/>
      <c r="H44" s="1931"/>
      <c r="I44" s="1931"/>
      <c r="J44" s="1931"/>
      <c r="K44" s="1931"/>
      <c r="L44" s="1931"/>
      <c r="M44" s="1931"/>
      <c r="N44" s="1931"/>
      <c r="O44" s="1931"/>
      <c r="P44" s="1931"/>
      <c r="Q44" s="1931"/>
      <c r="R44" s="1931"/>
      <c r="S44" s="1931"/>
      <c r="T44" s="1931"/>
      <c r="U44" s="1931"/>
      <c r="V44" s="1931"/>
      <c r="W44" s="204"/>
      <c r="X44" s="204"/>
      <c r="Y44" s="188"/>
      <c r="Z44" s="204"/>
      <c r="AA44" s="204"/>
      <c r="AB44" s="204"/>
    </row>
    <row r="45" spans="1:28" s="205" customFormat="1" ht="15" hidden="1" customHeight="1" x14ac:dyDescent="0.3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35">
      <c r="B46" s="1930" t="s">
        <v>217</v>
      </c>
      <c r="C46" s="1930"/>
      <c r="D46" s="1930"/>
      <c r="E46" s="1930"/>
      <c r="F46" s="1930"/>
      <c r="G46" s="1930"/>
      <c r="H46" s="1930"/>
      <c r="I46" s="1930"/>
      <c r="J46" s="1930"/>
      <c r="K46" s="1930"/>
      <c r="L46" s="1930"/>
      <c r="M46" s="1930"/>
      <c r="N46" s="1930"/>
      <c r="O46" s="1930"/>
      <c r="P46" s="1930"/>
      <c r="Q46" s="1930"/>
      <c r="R46" s="1930"/>
      <c r="S46" s="1930"/>
      <c r="T46" s="1930"/>
      <c r="U46" s="1930"/>
      <c r="V46" s="1930"/>
    </row>
    <row r="47" spans="1:28" hidden="1" x14ac:dyDescent="0.35">
      <c r="B47" s="1930"/>
      <c r="C47" s="1930"/>
      <c r="D47" s="1930"/>
      <c r="E47" s="1930"/>
      <c r="F47" s="1930"/>
      <c r="G47" s="1930"/>
      <c r="H47" s="1930"/>
      <c r="I47" s="1930"/>
      <c r="J47" s="1930"/>
      <c r="K47" s="1930"/>
      <c r="L47" s="1930"/>
      <c r="M47" s="1930"/>
      <c r="N47" s="1930"/>
      <c r="O47" s="1930"/>
      <c r="P47" s="1930"/>
      <c r="Q47" s="1930"/>
      <c r="R47" s="1930"/>
      <c r="S47" s="1930"/>
      <c r="T47" s="1930"/>
      <c r="U47" s="1930"/>
      <c r="V47" s="1930"/>
    </row>
    <row r="48" spans="1:28" ht="15" hidden="1" customHeight="1" x14ac:dyDescent="0.35">
      <c r="B48" s="1930" t="s">
        <v>221</v>
      </c>
      <c r="C48" s="1930"/>
      <c r="D48" s="1930"/>
      <c r="E48" s="1930"/>
      <c r="F48" s="1930"/>
      <c r="G48" s="1930"/>
      <c r="H48" s="1930"/>
      <c r="I48" s="1930"/>
      <c r="J48" s="1930"/>
      <c r="K48" s="1930"/>
      <c r="L48" s="1930"/>
      <c r="M48" s="1930"/>
      <c r="N48" s="1930"/>
      <c r="O48" s="1930"/>
      <c r="P48" s="1930"/>
      <c r="Q48" s="1930"/>
      <c r="R48" s="1930"/>
      <c r="S48" s="1930"/>
      <c r="T48" s="1930"/>
      <c r="U48" s="1930"/>
      <c r="V48" s="1930"/>
    </row>
    <row r="49" spans="1:39" ht="37.5" hidden="1" customHeight="1" x14ac:dyDescent="0.35">
      <c r="B49" s="1930"/>
      <c r="C49" s="1930"/>
      <c r="D49" s="1930"/>
      <c r="E49" s="1930"/>
      <c r="F49" s="1930"/>
      <c r="G49" s="1930"/>
      <c r="H49" s="1930"/>
      <c r="I49" s="1930"/>
      <c r="J49" s="1930"/>
      <c r="K49" s="1930"/>
      <c r="L49" s="1930"/>
      <c r="M49" s="1930"/>
      <c r="N49" s="1930"/>
      <c r="O49" s="1930"/>
      <c r="P49" s="1930"/>
      <c r="Q49" s="1930"/>
      <c r="R49" s="1930"/>
      <c r="S49" s="1930"/>
      <c r="T49" s="1930"/>
      <c r="U49" s="1930"/>
      <c r="V49" s="1930"/>
    </row>
    <row r="50" spans="1:39" ht="15" hidden="1" customHeight="1" x14ac:dyDescent="0.35"/>
    <row r="51" spans="1:39" ht="15" hidden="1" customHeight="1" x14ac:dyDescent="0.35">
      <c r="B51" s="200" t="s">
        <v>184</v>
      </c>
      <c r="F51" s="211" t="s">
        <v>142</v>
      </c>
      <c r="G51" s="211" t="s">
        <v>225</v>
      </c>
    </row>
    <row r="52" spans="1:39" ht="15" hidden="1" customHeight="1" x14ac:dyDescent="0.35">
      <c r="A52" s="188">
        <v>9257021</v>
      </c>
      <c r="B52" s="1908" t="s">
        <v>56</v>
      </c>
      <c r="C52" s="1909"/>
      <c r="D52" s="1909"/>
      <c r="E52" s="1932"/>
      <c r="F52" s="194">
        <v>274420</v>
      </c>
      <c r="G52" s="194">
        <f>F52*(3/12)</f>
        <v>68605</v>
      </c>
      <c r="J52" s="188" t="s">
        <v>226</v>
      </c>
    </row>
    <row r="53" spans="1:39" ht="15" hidden="1" customHeight="1" x14ac:dyDescent="0.35">
      <c r="A53" s="188">
        <v>9257016</v>
      </c>
      <c r="B53" s="1916" t="s">
        <v>95</v>
      </c>
      <c r="C53" s="1917"/>
      <c r="D53" s="1917"/>
      <c r="E53" s="1927"/>
      <c r="F53" s="194">
        <v>582568</v>
      </c>
      <c r="G53" s="194">
        <f>F53</f>
        <v>582568</v>
      </c>
    </row>
    <row r="54" spans="1:39" ht="15" hidden="1" customHeight="1" x14ac:dyDescent="0.35">
      <c r="A54" s="188">
        <v>9257025</v>
      </c>
      <c r="B54" s="1916" t="s">
        <v>52</v>
      </c>
      <c r="C54" s="1917"/>
      <c r="D54" s="1917"/>
      <c r="E54" s="1927"/>
      <c r="F54" s="194">
        <v>327644</v>
      </c>
      <c r="G54" s="194">
        <f>F54</f>
        <v>327644</v>
      </c>
    </row>
    <row r="55" spans="1:39" ht="15" hidden="1" customHeight="1" x14ac:dyDescent="0.35">
      <c r="F55" s="210">
        <f>SUM(F52:F54)</f>
        <v>1184632</v>
      </c>
      <c r="G55" s="212">
        <f>SUM(G52:G54)</f>
        <v>978817</v>
      </c>
      <c r="H55" s="187" t="s">
        <v>227</v>
      </c>
    </row>
    <row r="56" spans="1:39" ht="15" hidden="1" customHeight="1" x14ac:dyDescent="0.35">
      <c r="F56" s="208"/>
      <c r="G56" s="208"/>
    </row>
    <row r="57" spans="1:39" ht="15" hidden="1" customHeight="1" x14ac:dyDescent="0.35">
      <c r="B57" s="187" t="s">
        <v>224</v>
      </c>
    </row>
    <row r="58" spans="1:39" ht="15" hidden="1" customHeight="1" x14ac:dyDescent="0.35"/>
    <row r="59" spans="1:39" ht="15" customHeight="1" x14ac:dyDescent="0.3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35">
      <c r="AC60" s="366"/>
      <c r="AD60" s="208"/>
      <c r="AE60" s="208"/>
      <c r="AG60" s="621"/>
      <c r="AH60" s="621"/>
      <c r="AI60" s="621"/>
      <c r="AJ60" s="621"/>
      <c r="AK60" s="621"/>
      <c r="AL60" s="621"/>
      <c r="AM60" s="621"/>
    </row>
    <row r="61" spans="1:39" ht="15" customHeight="1" x14ac:dyDescent="0.3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35">
      <c r="AA62" s="208">
        <f>((L18+L19+L23+L24+L25)*(7/12))+L11</f>
        <v>235000</v>
      </c>
      <c r="AB62" s="366">
        <f>Q26*(7/12)</f>
        <v>111962.66666666667</v>
      </c>
      <c r="AC62" s="366">
        <f>(7/12)*206000</f>
        <v>120166.66666666667</v>
      </c>
      <c r="AD62" s="208"/>
      <c r="AE62" s="208"/>
      <c r="AG62" s="621"/>
      <c r="AH62" s="620"/>
      <c r="AI62" s="620" t="s">
        <v>402</v>
      </c>
      <c r="AJ62" s="620"/>
      <c r="AK62" s="1925" t="s">
        <v>563</v>
      </c>
      <c r="AL62" s="1925"/>
      <c r="AM62" s="621"/>
    </row>
    <row r="63" spans="1:39" ht="15" customHeight="1" x14ac:dyDescent="0.35">
      <c r="AC63" s="208"/>
      <c r="AD63" s="208"/>
      <c r="AE63" s="208"/>
      <c r="AG63" s="621"/>
      <c r="AH63" s="620"/>
      <c r="AI63" s="620"/>
      <c r="AJ63" s="620"/>
      <c r="AK63" s="1925"/>
      <c r="AL63" s="1925"/>
      <c r="AM63" s="621"/>
    </row>
    <row r="64" spans="1:39" ht="12" customHeight="1" x14ac:dyDescent="0.35">
      <c r="Z64" s="208">
        <f>I26</f>
        <v>317322</v>
      </c>
      <c r="AA64" s="208">
        <f>L26</f>
        <v>360000</v>
      </c>
      <c r="AB64" s="208">
        <f>Q26</f>
        <v>191936</v>
      </c>
      <c r="AC64" s="366">
        <f>206000</f>
        <v>206000</v>
      </c>
      <c r="AD64" s="366">
        <f>U26</f>
        <v>910212</v>
      </c>
      <c r="AE64" s="366">
        <f>SUM(Z64:AD64)</f>
        <v>1985470</v>
      </c>
      <c r="AG64" s="621"/>
      <c r="AH64" s="620"/>
      <c r="AI64" s="620"/>
      <c r="AJ64" s="620"/>
      <c r="AK64" s="1925"/>
      <c r="AL64" s="1925"/>
      <c r="AM64" s="621"/>
    </row>
    <row r="65" spans="2:38" s="189" customFormat="1" ht="12" customHeight="1" x14ac:dyDescent="0.3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3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3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81">
    <mergeCell ref="B53:E53"/>
    <mergeCell ref="B54:E54"/>
    <mergeCell ref="AK62:AL64"/>
    <mergeCell ref="BB4:BB6"/>
    <mergeCell ref="BC4:BC6"/>
    <mergeCell ref="B30:V33"/>
    <mergeCell ref="B36:V38"/>
    <mergeCell ref="B41:V44"/>
    <mergeCell ref="B46:V47"/>
    <mergeCell ref="B48:V49"/>
    <mergeCell ref="B52:E52"/>
    <mergeCell ref="B21:E21"/>
    <mergeCell ref="B22:E22"/>
    <mergeCell ref="B23:E23"/>
    <mergeCell ref="B24:E24"/>
    <mergeCell ref="B25:E25"/>
    <mergeCell ref="B26:E26"/>
    <mergeCell ref="B15:E15"/>
    <mergeCell ref="B16:E16"/>
    <mergeCell ref="B17:E17"/>
    <mergeCell ref="B18:E18"/>
    <mergeCell ref="B19:E19"/>
    <mergeCell ref="B20:E20"/>
    <mergeCell ref="B9:E9"/>
    <mergeCell ref="B10:E10"/>
    <mergeCell ref="B11:E11"/>
    <mergeCell ref="B12:E12"/>
    <mergeCell ref="B13:E13"/>
    <mergeCell ref="B14:E14"/>
    <mergeCell ref="AX4:AX6"/>
    <mergeCell ref="AY4:AY6"/>
    <mergeCell ref="AZ4:AZ6"/>
    <mergeCell ref="B6:E6"/>
    <mergeCell ref="B7:E7"/>
    <mergeCell ref="B8:E8"/>
    <mergeCell ref="AQ4:AQ6"/>
    <mergeCell ref="AR4:AR6"/>
    <mergeCell ref="AS4:AS6"/>
    <mergeCell ref="AU4:AU6"/>
    <mergeCell ref="AV4:AV6"/>
    <mergeCell ref="AW4:AW6"/>
    <mergeCell ref="AJ4:AJ6"/>
    <mergeCell ref="AK4:AK6"/>
    <mergeCell ref="AL4:AL6"/>
    <mergeCell ref="K4:K6"/>
    <mergeCell ref="L4:L6"/>
    <mergeCell ref="M4:M6"/>
    <mergeCell ref="N4:N6"/>
    <mergeCell ref="AB4:AB6"/>
    <mergeCell ref="O4:O6"/>
    <mergeCell ref="P4:P6"/>
    <mergeCell ref="Q4:Q6"/>
    <mergeCell ref="R4:R6"/>
    <mergeCell ref="S4:S6"/>
    <mergeCell ref="U4:U6"/>
    <mergeCell ref="V4:V6"/>
    <mergeCell ref="X4:X6"/>
    <mergeCell ref="Y4:Y6"/>
    <mergeCell ref="Z4:Z6"/>
    <mergeCell ref="AA4:AA6"/>
    <mergeCell ref="F4:F6"/>
    <mergeCell ref="G4:G6"/>
    <mergeCell ref="H4:H6"/>
    <mergeCell ref="I4:I6"/>
    <mergeCell ref="J4:J6"/>
    <mergeCell ref="BG4:BG6"/>
    <mergeCell ref="BH4:BH6"/>
    <mergeCell ref="BI4:BI6"/>
    <mergeCell ref="BJ4:BJ6"/>
    <mergeCell ref="V2:V3"/>
    <mergeCell ref="AN4:AN6"/>
    <mergeCell ref="AO4:AO6"/>
    <mergeCell ref="AP4:AP6"/>
    <mergeCell ref="AC4:AC6"/>
    <mergeCell ref="AD4:AD6"/>
    <mergeCell ref="AE4:AE6"/>
    <mergeCell ref="AG4:AG6"/>
    <mergeCell ref="AH4:AH6"/>
    <mergeCell ref="AI4:AI6"/>
    <mergeCell ref="BD4:BD6"/>
    <mergeCell ref="BE4:BE6"/>
  </mergeCells>
  <pageMargins left="0.7" right="0.7" top="0.75" bottom="0.75" header="0.3" footer="0.3"/>
  <legacy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D30"/>
  <sheetViews>
    <sheetView topLeftCell="A7" workbookViewId="0">
      <selection sqref="A1:XFD1048576"/>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349" t="s">
        <v>405</v>
      </c>
      <c r="B3" s="350" t="s">
        <v>406</v>
      </c>
      <c r="C3" s="351" t="s">
        <v>889</v>
      </c>
      <c r="D3" s="351" t="s">
        <v>408</v>
      </c>
    </row>
    <row r="4" spans="1:4" x14ac:dyDescent="0.25">
      <c r="A4" s="364">
        <v>9257002</v>
      </c>
      <c r="B4" s="352" t="s">
        <v>409</v>
      </c>
      <c r="C4" s="957">
        <v>53</v>
      </c>
      <c r="D4" s="354">
        <f>($C$24*$C$25)*C4</f>
        <v>23789.050000000003</v>
      </c>
    </row>
    <row r="5" spans="1:4" x14ac:dyDescent="0.25">
      <c r="A5" s="364">
        <v>9257005</v>
      </c>
      <c r="B5" s="352" t="s">
        <v>410</v>
      </c>
      <c r="C5" s="957">
        <v>16</v>
      </c>
      <c r="D5" s="354">
        <f t="shared" ref="D5:D21" si="0">($C$24*$C$25)*C5</f>
        <v>7181.6</v>
      </c>
    </row>
    <row r="6" spans="1:4" x14ac:dyDescent="0.25">
      <c r="A6" s="364">
        <v>9257008</v>
      </c>
      <c r="B6" s="352" t="s">
        <v>87</v>
      </c>
      <c r="C6" s="957">
        <v>19</v>
      </c>
      <c r="D6" s="354">
        <f t="shared" si="0"/>
        <v>8528.15</v>
      </c>
    </row>
    <row r="7" spans="1:4" x14ac:dyDescent="0.25">
      <c r="A7" s="364">
        <v>9257009</v>
      </c>
      <c r="B7" s="352" t="s">
        <v>411</v>
      </c>
      <c r="C7" s="957">
        <v>27</v>
      </c>
      <c r="D7" s="354">
        <f t="shared" si="0"/>
        <v>12118.95</v>
      </c>
    </row>
    <row r="8" spans="1:4" x14ac:dyDescent="0.25">
      <c r="A8" s="364">
        <v>9257010</v>
      </c>
      <c r="B8" s="352" t="s">
        <v>412</v>
      </c>
      <c r="C8" s="957">
        <v>15</v>
      </c>
      <c r="D8" s="354">
        <f t="shared" si="0"/>
        <v>6732.75</v>
      </c>
    </row>
    <row r="9" spans="1:4" x14ac:dyDescent="0.25">
      <c r="A9" s="364">
        <v>9257011</v>
      </c>
      <c r="B9" s="352" t="s">
        <v>413</v>
      </c>
      <c r="C9" s="957">
        <v>17</v>
      </c>
      <c r="D9" s="354">
        <f t="shared" si="0"/>
        <v>7630.4500000000007</v>
      </c>
    </row>
    <row r="10" spans="1:4" x14ac:dyDescent="0.25">
      <c r="A10" s="364">
        <v>9257015</v>
      </c>
      <c r="B10" s="352" t="s">
        <v>414</v>
      </c>
      <c r="C10" s="957">
        <v>71</v>
      </c>
      <c r="D10" s="354">
        <f t="shared" si="0"/>
        <v>31868.350000000002</v>
      </c>
    </row>
    <row r="11" spans="1:4" x14ac:dyDescent="0.25">
      <c r="A11" s="364">
        <v>9257016</v>
      </c>
      <c r="B11" s="352" t="s">
        <v>415</v>
      </c>
      <c r="C11" s="957">
        <v>35</v>
      </c>
      <c r="D11" s="354">
        <f t="shared" si="0"/>
        <v>15709.75</v>
      </c>
    </row>
    <row r="12" spans="1:4" x14ac:dyDescent="0.25">
      <c r="A12" s="364">
        <v>9257021</v>
      </c>
      <c r="B12" s="352" t="s">
        <v>416</v>
      </c>
      <c r="C12" s="957">
        <v>62</v>
      </c>
      <c r="D12" s="354">
        <f t="shared" si="0"/>
        <v>27828.7</v>
      </c>
    </row>
    <row r="13" spans="1:4" x14ac:dyDescent="0.25">
      <c r="A13" s="364">
        <v>9257024</v>
      </c>
      <c r="B13" s="352" t="s">
        <v>417</v>
      </c>
      <c r="C13" s="957">
        <v>33</v>
      </c>
      <c r="D13" s="354">
        <f t="shared" si="0"/>
        <v>14812.050000000001</v>
      </c>
    </row>
    <row r="14" spans="1:4" x14ac:dyDescent="0.25">
      <c r="A14" s="364">
        <v>9257025</v>
      </c>
      <c r="B14" s="352" t="s">
        <v>418</v>
      </c>
      <c r="C14" s="957">
        <v>19</v>
      </c>
      <c r="D14" s="354">
        <f t="shared" si="0"/>
        <v>8528.15</v>
      </c>
    </row>
    <row r="15" spans="1:4" x14ac:dyDescent="0.25">
      <c r="A15" s="364">
        <v>9257028</v>
      </c>
      <c r="B15" s="352" t="s">
        <v>419</v>
      </c>
      <c r="C15" s="957">
        <v>20</v>
      </c>
      <c r="D15" s="354">
        <f t="shared" si="0"/>
        <v>8977</v>
      </c>
    </row>
    <row r="16" spans="1:4" x14ac:dyDescent="0.25">
      <c r="A16" s="364">
        <v>9257029</v>
      </c>
      <c r="B16" s="352" t="s">
        <v>848</v>
      </c>
      <c r="C16" s="957">
        <v>22</v>
      </c>
      <c r="D16" s="354">
        <f t="shared" si="0"/>
        <v>9874.7000000000007</v>
      </c>
    </row>
    <row r="17" spans="1:4" x14ac:dyDescent="0.25">
      <c r="A17" s="364">
        <v>9257030</v>
      </c>
      <c r="B17" s="352" t="s">
        <v>771</v>
      </c>
      <c r="C17" s="957">
        <v>16</v>
      </c>
      <c r="D17" s="354">
        <f t="shared" si="0"/>
        <v>7181.6</v>
      </c>
    </row>
    <row r="18" spans="1:4" x14ac:dyDescent="0.25">
      <c r="A18" s="364">
        <v>9257031</v>
      </c>
      <c r="B18" s="352" t="s">
        <v>422</v>
      </c>
      <c r="C18" s="957">
        <v>29</v>
      </c>
      <c r="D18" s="354">
        <f t="shared" si="0"/>
        <v>13016.650000000001</v>
      </c>
    </row>
    <row r="19" spans="1:4" x14ac:dyDescent="0.25">
      <c r="A19" s="364">
        <v>9257032</v>
      </c>
      <c r="B19" s="352" t="s">
        <v>423</v>
      </c>
      <c r="C19" s="957">
        <v>21</v>
      </c>
      <c r="D19" s="354">
        <f t="shared" si="0"/>
        <v>9425.85</v>
      </c>
    </row>
    <row r="20" spans="1:4" x14ac:dyDescent="0.25">
      <c r="A20" s="364">
        <v>9257033</v>
      </c>
      <c r="B20" s="352" t="s">
        <v>424</v>
      </c>
      <c r="C20" s="957">
        <v>44</v>
      </c>
      <c r="D20" s="354">
        <f t="shared" si="0"/>
        <v>19749.400000000001</v>
      </c>
    </row>
    <row r="21" spans="1:4" ht="13" thickBot="1" x14ac:dyDescent="0.3">
      <c r="A21" s="365">
        <v>9257034</v>
      </c>
      <c r="B21" s="355" t="s">
        <v>425</v>
      </c>
      <c r="C21" s="958">
        <v>42</v>
      </c>
      <c r="D21" s="357">
        <f t="shared" si="0"/>
        <v>18851.7</v>
      </c>
    </row>
    <row r="22" spans="1:4" x14ac:dyDescent="0.25">
      <c r="A22" s="358"/>
      <c r="B22" s="359"/>
      <c r="C22" s="358"/>
      <c r="D22" s="360"/>
    </row>
    <row r="23" spans="1:4" ht="13" thickBot="1" x14ac:dyDescent="0.3">
      <c r="A23" s="358"/>
      <c r="B23" s="359"/>
      <c r="C23" s="358"/>
      <c r="D23" s="363">
        <f>SUM(D4:D21)</f>
        <v>251804.85</v>
      </c>
    </row>
    <row r="24" spans="1:4" x14ac:dyDescent="0.25">
      <c r="A24" s="358"/>
      <c r="B24" s="361" t="s">
        <v>426</v>
      </c>
      <c r="C24" s="362">
        <v>2.35</v>
      </c>
      <c r="D24" s="359"/>
    </row>
    <row r="25" spans="1:4" x14ac:dyDescent="0.25">
      <c r="A25" s="358"/>
      <c r="B25" s="361" t="s">
        <v>427</v>
      </c>
      <c r="C25" s="358">
        <v>191</v>
      </c>
      <c r="D25" s="359"/>
    </row>
    <row r="26" spans="1:4" x14ac:dyDescent="0.25">
      <c r="A26" s="358"/>
      <c r="B26" s="359"/>
      <c r="C26" s="358"/>
      <c r="D26" s="359"/>
    </row>
    <row r="28" spans="1:4" x14ac:dyDescent="0.25">
      <c r="C28" s="612" t="s">
        <v>850</v>
      </c>
      <c r="D28" s="16">
        <v>248663</v>
      </c>
    </row>
    <row r="29" spans="1:4" x14ac:dyDescent="0.25">
      <c r="D29" s="16"/>
    </row>
    <row r="30" spans="1:4" x14ac:dyDescent="0.25">
      <c r="C30" s="6" t="s">
        <v>429</v>
      </c>
      <c r="D30" s="16">
        <f>D23-D28</f>
        <v>3141.8500000000058</v>
      </c>
    </row>
  </sheetData>
  <pageMargins left="0.7" right="0.7" top="0.75" bottom="0.75" header="0.3" footer="0.3"/>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42"/>
  <sheetViews>
    <sheetView workbookViewId="0">
      <selection activeCell="C5" sqref="C5"/>
    </sheetView>
  </sheetViews>
  <sheetFormatPr defaultColWidth="9.1796875" defaultRowHeight="12.5" x14ac:dyDescent="0.25"/>
  <cols>
    <col min="1" max="1" width="11.26953125" style="359" customWidth="1"/>
    <col min="2" max="2" width="20.7265625" style="358" customWidth="1"/>
    <col min="3" max="6" width="15.7265625" style="358" customWidth="1"/>
    <col min="7" max="7" width="61.7265625" style="359" customWidth="1"/>
    <col min="8" max="8" width="9.1796875" style="359"/>
    <col min="9" max="12" width="15.7265625" style="358" customWidth="1"/>
    <col min="13" max="16384" width="9.1796875" style="359"/>
  </cols>
  <sheetData>
    <row r="2" spans="1:10" s="359" customFormat="1" x14ac:dyDescent="0.25">
      <c r="A2" s="1" t="s">
        <v>0</v>
      </c>
      <c r="B2" s="358"/>
      <c r="C2" s="358"/>
      <c r="D2" s="358"/>
      <c r="E2" s="358"/>
      <c r="F2" s="358"/>
      <c r="I2" s="358"/>
      <c r="J2" s="358"/>
    </row>
    <row r="3" spans="1:10" s="359" customFormat="1" ht="25" x14ac:dyDescent="0.25">
      <c r="B3" s="948" t="s">
        <v>1</v>
      </c>
      <c r="C3" s="949" t="s">
        <v>866</v>
      </c>
      <c r="D3" s="949" t="s">
        <v>867</v>
      </c>
      <c r="E3" s="949" t="s">
        <v>868</v>
      </c>
      <c r="F3" s="948" t="s">
        <v>57</v>
      </c>
      <c r="G3" s="948" t="s">
        <v>869</v>
      </c>
      <c r="I3" s="358" t="s">
        <v>870</v>
      </c>
      <c r="J3" s="358" t="s">
        <v>104</v>
      </c>
    </row>
    <row r="5" spans="1:10" s="359" customFormat="1" x14ac:dyDescent="0.25">
      <c r="A5" s="359" t="s">
        <v>2</v>
      </c>
      <c r="B5" s="358" t="s">
        <v>702</v>
      </c>
      <c r="C5" s="950">
        <f>'[18]Teacher Pay Scales'!$M$44/8</f>
        <v>5389.75</v>
      </c>
      <c r="D5" s="950">
        <f>SUM('[18]TA Pay scales'!$N$45/8*3)</f>
        <v>8314.3681768558963</v>
      </c>
      <c r="E5" s="950">
        <f>'[18]GLEA Pay Scales'!$K$21/10/37*6.25*195/224</f>
        <v>300.11777569980694</v>
      </c>
      <c r="F5" s="951">
        <f>SUM(C5:E5)</f>
        <v>14004.235952555704</v>
      </c>
      <c r="G5" s="359" t="s">
        <v>703</v>
      </c>
      <c r="I5" s="892">
        <f>'[19]2017-18 Funding Summary'!$D$47</f>
        <v>11692.020638096787</v>
      </c>
      <c r="J5" s="892">
        <f>F5-I5</f>
        <v>2312.2153144589174</v>
      </c>
    </row>
    <row r="6" spans="1:10" s="359" customFormat="1" x14ac:dyDescent="0.25">
      <c r="B6" s="358"/>
      <c r="C6" s="950"/>
      <c r="D6" s="952"/>
      <c r="E6" s="952"/>
      <c r="F6" s="892"/>
      <c r="I6" s="892"/>
      <c r="J6" s="892"/>
    </row>
    <row r="7" spans="1:10" s="359" customFormat="1" x14ac:dyDescent="0.25">
      <c r="B7" s="358"/>
      <c r="C7" s="950"/>
      <c r="D7" s="950"/>
      <c r="E7" s="950"/>
      <c r="F7" s="892"/>
      <c r="I7" s="892"/>
      <c r="J7" s="892"/>
    </row>
    <row r="8" spans="1:10" s="359" customFormat="1" x14ac:dyDescent="0.25">
      <c r="A8" s="359" t="s">
        <v>3</v>
      </c>
      <c r="B8" s="358" t="s">
        <v>4</v>
      </c>
      <c r="C8" s="950">
        <f>'[18]Teacher Pay Scales'!$M$44/10</f>
        <v>4311.8</v>
      </c>
      <c r="D8" s="950">
        <f>SUM('[18]TA Pay scales'!$N$45/10)</f>
        <v>2217.1648471615722</v>
      </c>
      <c r="E8" s="950">
        <f>'[18]GLEA Pay Scales'!$K$21/10/37*6.25*195/224</f>
        <v>300.11777569980694</v>
      </c>
      <c r="F8" s="951">
        <f>SUM(C8:E8)</f>
        <v>6829.0826228613796</v>
      </c>
      <c r="G8" s="359" t="s">
        <v>871</v>
      </c>
      <c r="I8" s="892">
        <f>'[19]2017-18 Funding Summary'!$D$49</f>
        <v>7350.1419469065795</v>
      </c>
      <c r="J8" s="892">
        <f>F8-I8</f>
        <v>-521.0593240451999</v>
      </c>
    </row>
    <row r="9" spans="1:10" s="359" customFormat="1" x14ac:dyDescent="0.25">
      <c r="B9" s="358"/>
      <c r="C9" s="950"/>
      <c r="D9" s="950"/>
      <c r="E9" s="950"/>
      <c r="F9" s="892"/>
      <c r="I9" s="892"/>
      <c r="J9" s="892"/>
    </row>
    <row r="10" spans="1:10" s="359" customFormat="1" x14ac:dyDescent="0.25">
      <c r="B10" s="358"/>
      <c r="C10" s="950"/>
      <c r="D10" s="950"/>
      <c r="E10" s="950"/>
      <c r="F10" s="892"/>
      <c r="I10" s="892"/>
      <c r="J10" s="892"/>
    </row>
    <row r="11" spans="1:10" s="359" customFormat="1" x14ac:dyDescent="0.25">
      <c r="A11" s="359" t="s">
        <v>5</v>
      </c>
      <c r="B11" s="358" t="s">
        <v>6</v>
      </c>
      <c r="C11" s="950">
        <f>'[18]Teacher Pay Scales'!$M$44/12</f>
        <v>3593.1666666666665</v>
      </c>
      <c r="D11" s="950">
        <f>SUM('[18]TA Pay scales'!$N$45/12)</f>
        <v>1847.6373726346435</v>
      </c>
      <c r="E11" s="950">
        <f>'[18]GLEA Pay Scales'!$K$21/10/37*6.25*195/224</f>
        <v>300.11777569980694</v>
      </c>
      <c r="F11" s="951">
        <f>SUM(C11:E11)</f>
        <v>5740.9218150011166</v>
      </c>
      <c r="G11" s="359" t="s">
        <v>482</v>
      </c>
      <c r="I11" s="892">
        <f>'[19]2017-18 Funding Summary'!$D$51</f>
        <v>6243.7244928897762</v>
      </c>
      <c r="J11" s="892">
        <f>F11-I11</f>
        <v>-502.80267788865967</v>
      </c>
    </row>
    <row r="12" spans="1:10" s="359" customFormat="1" x14ac:dyDescent="0.25">
      <c r="B12" s="358"/>
      <c r="C12" s="950"/>
      <c r="D12" s="950"/>
      <c r="E12" s="950"/>
      <c r="F12" s="892"/>
      <c r="I12" s="892"/>
      <c r="J12" s="892"/>
    </row>
    <row r="13" spans="1:10" s="359" customFormat="1" x14ac:dyDescent="0.25">
      <c r="B13" s="358"/>
      <c r="C13" s="950"/>
      <c r="D13" s="950"/>
      <c r="E13" s="950"/>
      <c r="F13" s="892"/>
      <c r="I13" s="892"/>
      <c r="J13" s="892"/>
    </row>
    <row r="14" spans="1:10" s="359" customFormat="1" x14ac:dyDescent="0.25">
      <c r="A14" s="359" t="s">
        <v>7</v>
      </c>
      <c r="B14" s="358" t="s">
        <v>702</v>
      </c>
      <c r="C14" s="950">
        <f>'[18]Teacher Pay Scales'!$M$44/8</f>
        <v>5389.75</v>
      </c>
      <c r="D14" s="950">
        <f>SUM('[18]TA Pay scales'!$N$45/8*3)</f>
        <v>8314.3681768558963</v>
      </c>
      <c r="E14" s="950">
        <f>'[18]GLEA Pay Scales'!$K$21/10/37*6.25*195/224</f>
        <v>300.11777569980694</v>
      </c>
      <c r="F14" s="951">
        <f>SUM(C14:E14)</f>
        <v>14004.235952555704</v>
      </c>
      <c r="G14" s="359" t="s">
        <v>703</v>
      </c>
      <c r="I14" s="892">
        <f>'[19]2017-18 Funding Summary'!$D$53</f>
        <v>11692.020638096787</v>
      </c>
      <c r="J14" s="892">
        <f>F14-I14</f>
        <v>2312.2153144589174</v>
      </c>
    </row>
    <row r="15" spans="1:10" s="359" customFormat="1" x14ac:dyDescent="0.25">
      <c r="B15" s="358"/>
      <c r="C15" s="950"/>
      <c r="D15" s="950"/>
      <c r="E15" s="950"/>
      <c r="F15" s="892"/>
      <c r="I15" s="892"/>
      <c r="J15" s="892"/>
    </row>
    <row r="16" spans="1:10" s="359" customFormat="1" x14ac:dyDescent="0.25">
      <c r="B16" s="358"/>
      <c r="C16" s="950"/>
      <c r="D16" s="950"/>
      <c r="E16" s="950"/>
      <c r="F16" s="892"/>
      <c r="I16" s="892"/>
      <c r="J16" s="892"/>
    </row>
    <row r="17" spans="1:12" x14ac:dyDescent="0.25">
      <c r="A17" s="359" t="s">
        <v>8</v>
      </c>
      <c r="B17" s="358" t="s">
        <v>50</v>
      </c>
      <c r="C17" s="950">
        <f>'[18]Teacher Pay Scales'!$M$44/10</f>
        <v>4311.8</v>
      </c>
      <c r="D17" s="950">
        <f>SUM('[18]TA Pay scales'!$N$45/10*3)</f>
        <v>6651.494541484717</v>
      </c>
      <c r="E17" s="950">
        <f>'[18]GLEA Pay Scales'!$K$21/10/37*6.25*195/224</f>
        <v>300.11777569980694</v>
      </c>
      <c r="F17" s="951">
        <f>SUM(C17:E17)</f>
        <v>11263.412317184524</v>
      </c>
      <c r="G17" s="359" t="s">
        <v>480</v>
      </c>
      <c r="I17" s="892">
        <f>'[19]2017-18 Funding Summary'!$D$57</f>
        <v>11692.020638096787</v>
      </c>
      <c r="J17" s="892">
        <f>F17-I17</f>
        <v>-428.60832091226257</v>
      </c>
      <c r="K17" s="359"/>
      <c r="L17" s="359"/>
    </row>
    <row r="18" spans="1:12" x14ac:dyDescent="0.25">
      <c r="C18" s="950"/>
      <c r="D18" s="950"/>
      <c r="E18" s="950"/>
      <c r="F18" s="892"/>
      <c r="K18" s="359"/>
      <c r="L18" s="359"/>
    </row>
    <row r="19" spans="1:12" x14ac:dyDescent="0.25">
      <c r="C19" s="950"/>
      <c r="D19" s="950"/>
      <c r="E19" s="950"/>
      <c r="F19" s="892"/>
      <c r="K19" s="359"/>
      <c r="L19" s="359"/>
    </row>
    <row r="20" spans="1:12" ht="25" x14ac:dyDescent="0.25">
      <c r="A20" s="359" t="s">
        <v>872</v>
      </c>
      <c r="C20" s="950">
        <v>0</v>
      </c>
      <c r="D20" s="950">
        <v>0</v>
      </c>
      <c r="E20" s="950">
        <v>0</v>
      </c>
      <c r="F20" s="951">
        <v>2635</v>
      </c>
      <c r="G20" s="953" t="s">
        <v>873</v>
      </c>
      <c r="K20" s="359"/>
      <c r="L20" s="359"/>
    </row>
    <row r="21" spans="1:12" x14ac:dyDescent="0.25">
      <c r="C21" s="950"/>
      <c r="D21" s="950"/>
      <c r="E21" s="950"/>
      <c r="F21" s="892"/>
      <c r="G21" s="1"/>
      <c r="K21" s="359"/>
      <c r="L21" s="359"/>
    </row>
    <row r="22" spans="1:12" x14ac:dyDescent="0.25">
      <c r="A22" s="359" t="s">
        <v>689</v>
      </c>
      <c r="B22" s="358" t="s">
        <v>702</v>
      </c>
      <c r="C22" s="950">
        <f>'[18]Teacher Pay Scales'!$M$44/6</f>
        <v>7186.333333333333</v>
      </c>
      <c r="D22" s="950">
        <f>SUM('[18]TA Pay scales'!$N$45/6*2)</f>
        <v>7390.549490538574</v>
      </c>
      <c r="E22" s="950">
        <f>'[18]GLEA Pay Scales'!$K$21/10/37*6.25*195/224</f>
        <v>300.11777569980694</v>
      </c>
      <c r="F22" s="951">
        <f>SUM(C22:E22)</f>
        <v>14877.000599571715</v>
      </c>
      <c r="G22" s="359" t="s">
        <v>704</v>
      </c>
      <c r="K22" s="359"/>
      <c r="L22" s="359"/>
    </row>
    <row r="23" spans="1:12" x14ac:dyDescent="0.25">
      <c r="C23" s="950"/>
      <c r="D23" s="950"/>
      <c r="E23" s="950"/>
      <c r="F23" s="892"/>
      <c r="K23" s="359"/>
      <c r="L23" s="359"/>
    </row>
    <row r="24" spans="1:12" x14ac:dyDescent="0.25">
      <c r="A24" s="359" t="s">
        <v>631</v>
      </c>
      <c r="B24" s="358" t="s">
        <v>632</v>
      </c>
      <c r="C24" s="950">
        <v>0</v>
      </c>
      <c r="D24" s="950">
        <f>'[18]TA Pay scales'!N45/32.5*33</f>
        <v>22512.750755794426</v>
      </c>
      <c r="E24" s="950">
        <v>0</v>
      </c>
      <c r="F24" s="951">
        <f>SUM(C24:E24)</f>
        <v>22512.750755794426</v>
      </c>
      <c r="G24" s="359" t="s">
        <v>874</v>
      </c>
      <c r="K24" s="359"/>
      <c r="L24" s="359"/>
    </row>
    <row r="25" spans="1:12" x14ac:dyDescent="0.25">
      <c r="C25" s="952"/>
      <c r="D25" s="952"/>
      <c r="E25" s="952"/>
      <c r="K25" s="359"/>
      <c r="L25" s="359"/>
    </row>
    <row r="27" spans="1:12" x14ac:dyDescent="0.25">
      <c r="D27" s="358" t="s">
        <v>875</v>
      </c>
      <c r="K27" s="359"/>
      <c r="L27" s="359"/>
    </row>
    <row r="29" spans="1:12" x14ac:dyDescent="0.25">
      <c r="A29" s="359" t="s">
        <v>689</v>
      </c>
      <c r="B29" s="358" t="s">
        <v>702</v>
      </c>
      <c r="C29" s="950">
        <f>'[18]Teacher Pay Scales'!$M$44/7</f>
        <v>6159.7142857142853</v>
      </c>
      <c r="D29" s="950">
        <f>SUM('[18]TA Pay scales'!$N$45/7*2)</f>
        <v>6334.75670617592</v>
      </c>
      <c r="E29" s="950">
        <f>'[18]GLEA Pay Scales'!$K$21/10/37*6.25*195/224</f>
        <v>300.11777569980694</v>
      </c>
      <c r="F29" s="950">
        <f>SUM(C29:E29)</f>
        <v>12794.588767590012</v>
      </c>
      <c r="G29" s="359" t="s">
        <v>704</v>
      </c>
    </row>
    <row r="30" spans="1:12" x14ac:dyDescent="0.25">
      <c r="F30" s="952"/>
    </row>
    <row r="31" spans="1:12" x14ac:dyDescent="0.25">
      <c r="F31" s="952"/>
    </row>
    <row r="32" spans="1:12" x14ac:dyDescent="0.25">
      <c r="A32" s="359" t="s">
        <v>689</v>
      </c>
      <c r="B32" s="358" t="s">
        <v>702</v>
      </c>
      <c r="C32" s="950">
        <f>'[18]Teacher Pay Scales'!$I$44/6</f>
        <v>6141.5</v>
      </c>
      <c r="D32" s="950">
        <f>SUM('[18]TA Pay scales'!$N$45/6*2)</f>
        <v>7390.549490538574</v>
      </c>
      <c r="E32" s="950">
        <f>'[18]GLEA Pay Scales'!$K$21/10/37*6.25*195/224</f>
        <v>300.11777569980694</v>
      </c>
      <c r="F32" s="950">
        <f>SUM(C32:E32)</f>
        <v>13832.167266238383</v>
      </c>
      <c r="G32" s="359" t="s">
        <v>704</v>
      </c>
    </row>
    <row r="33" spans="1:7" s="359" customFormat="1" x14ac:dyDescent="0.25">
      <c r="B33" s="358"/>
      <c r="C33" s="358"/>
      <c r="D33" s="358"/>
      <c r="E33" s="358"/>
      <c r="F33" s="952"/>
    </row>
    <row r="34" spans="1:7" s="359" customFormat="1" x14ac:dyDescent="0.25">
      <c r="A34" s="359" t="s">
        <v>876</v>
      </c>
      <c r="B34" s="358" t="s">
        <v>702</v>
      </c>
      <c r="C34" s="950">
        <f>'[18]Teacher Pay Scales'!$M$44/8</f>
        <v>5389.75</v>
      </c>
      <c r="D34" s="950">
        <f>SUM('[18]TA Pay scales'!$N$45/8)+('[18]TA Pay scales'!L45/8*2)</f>
        <v>7723.2312227074235</v>
      </c>
      <c r="E34" s="950">
        <f>'[18]GLEA Pay Scales'!$K$21/10/37*6.25*195/224</f>
        <v>300.11777569980694</v>
      </c>
      <c r="F34" s="950">
        <f>SUM(C34:E34)</f>
        <v>13413.098998407231</v>
      </c>
      <c r="G34" s="359" t="s">
        <v>703</v>
      </c>
    </row>
    <row r="35" spans="1:7" s="359" customFormat="1" x14ac:dyDescent="0.25">
      <c r="B35" s="358"/>
      <c r="C35" s="358"/>
      <c r="D35" s="358"/>
      <c r="E35" s="358"/>
      <c r="F35" s="952"/>
    </row>
    <row r="36" spans="1:7" s="359" customFormat="1" x14ac:dyDescent="0.25">
      <c r="A36" s="359" t="s">
        <v>631</v>
      </c>
      <c r="B36" s="358" t="s">
        <v>632</v>
      </c>
      <c r="C36" s="950">
        <v>0</v>
      </c>
      <c r="D36" s="950">
        <f>'[18]TA Pay scales'!L45/32.5*33</f>
        <v>20111.82528048371</v>
      </c>
      <c r="E36" s="950">
        <v>0</v>
      </c>
      <c r="F36" s="950">
        <f>SUM(C36:E36)</f>
        <v>20111.82528048371</v>
      </c>
      <c r="G36" s="359" t="s">
        <v>874</v>
      </c>
    </row>
    <row r="37" spans="1:7" s="359" customFormat="1" x14ac:dyDescent="0.25">
      <c r="B37" s="358"/>
      <c r="C37" s="358"/>
      <c r="D37" s="358"/>
      <c r="E37" s="358"/>
      <c r="F37" s="952"/>
    </row>
    <row r="38" spans="1:7" s="359" customFormat="1" x14ac:dyDescent="0.25">
      <c r="A38" s="359" t="s">
        <v>876</v>
      </c>
      <c r="B38" s="358" t="s">
        <v>702</v>
      </c>
      <c r="C38" s="950">
        <f>'[18]Teacher Pay Scales'!$M$44/10</f>
        <v>4311.8</v>
      </c>
      <c r="D38" s="950">
        <f>SUM('[18]TA Pay scales'!$N$45/10*3)</f>
        <v>6651.494541484717</v>
      </c>
      <c r="E38" s="950">
        <f>'[18]GLEA Pay Scales'!$K$21/10/37*6.25*195/224</f>
        <v>300.11777569980694</v>
      </c>
      <c r="F38" s="950">
        <f>SUM(C38:E38)</f>
        <v>11263.412317184524</v>
      </c>
      <c r="G38" s="359" t="s">
        <v>703</v>
      </c>
    </row>
    <row r="39" spans="1:7" s="359" customFormat="1" x14ac:dyDescent="0.25">
      <c r="B39" s="358"/>
      <c r="C39" s="358"/>
      <c r="D39" s="358"/>
      <c r="E39" s="358"/>
      <c r="F39" s="952"/>
    </row>
    <row r="40" spans="1:7" s="359" customFormat="1" x14ac:dyDescent="0.25">
      <c r="A40" s="359" t="s">
        <v>689</v>
      </c>
      <c r="B40" s="358" t="s">
        <v>702</v>
      </c>
      <c r="C40" s="950">
        <f>'[18]Teacher Pay Scales'!$I$44/7</f>
        <v>5264.1428571428569</v>
      </c>
      <c r="D40" s="950">
        <f>SUM('[18]TA Pay scales'!$N$45/7*2)</f>
        <v>6334.75670617592</v>
      </c>
      <c r="E40" s="950">
        <f>'[18]GLEA Pay Scales'!$K$21/10/37*6.25*195/224</f>
        <v>300.11777569980694</v>
      </c>
      <c r="F40" s="950">
        <f>SUM(C40:E40)</f>
        <v>11899.017339018585</v>
      </c>
      <c r="G40" s="359" t="s">
        <v>704</v>
      </c>
    </row>
    <row r="41" spans="1:7" s="359" customFormat="1" x14ac:dyDescent="0.25">
      <c r="B41" s="358"/>
      <c r="C41" s="358"/>
      <c r="D41" s="358"/>
      <c r="E41" s="358"/>
      <c r="F41" s="952"/>
    </row>
    <row r="42" spans="1:7" s="359" customFormat="1" x14ac:dyDescent="0.25">
      <c r="A42" s="359" t="s">
        <v>876</v>
      </c>
      <c r="B42" s="358" t="s">
        <v>702</v>
      </c>
      <c r="C42" s="950">
        <f>'[18]Teacher Pay Scales'!$M$44/10</f>
        <v>4311.8</v>
      </c>
      <c r="D42" s="950">
        <f>SUM('[18]TA Pay scales'!$N$45/8*3)</f>
        <v>8314.3681768558963</v>
      </c>
      <c r="E42" s="950">
        <f>'[18]GLEA Pay Scales'!$K$21/10/37*6.25*195/224</f>
        <v>300.11777569980694</v>
      </c>
      <c r="F42" s="950">
        <f>SUM(C42:E42)</f>
        <v>12926.285952555703</v>
      </c>
      <c r="G42" s="359" t="s">
        <v>703</v>
      </c>
    </row>
  </sheetData>
  <pageMargins left="0.7" right="0.7" top="0.75" bottom="0.75" header="0.3" footer="0.3"/>
  <drawing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9"/>
  <sheetViews>
    <sheetView workbookViewId="0">
      <selection activeCell="D4" sqref="D4"/>
    </sheetView>
  </sheetViews>
  <sheetFormatPr defaultRowHeight="12.5" x14ac:dyDescent="0.25"/>
  <cols>
    <col min="1" max="1" width="29.453125" bestFit="1" customWidth="1"/>
    <col min="2" max="2" width="11.1796875" bestFit="1" customWidth="1"/>
    <col min="4" max="4" width="11.1796875" bestFit="1" customWidth="1"/>
    <col min="6" max="6" width="11.54296875" bestFit="1" customWidth="1"/>
  </cols>
  <sheetData>
    <row r="2" spans="1:8" ht="13" x14ac:dyDescent="0.3">
      <c r="A2" s="1" t="s">
        <v>505</v>
      </c>
      <c r="B2" s="503" t="s">
        <v>846</v>
      </c>
      <c r="C2" s="503"/>
      <c r="D2" s="503" t="s">
        <v>937</v>
      </c>
      <c r="E2" s="504"/>
      <c r="F2" s="503" t="s">
        <v>524</v>
      </c>
    </row>
    <row r="3" spans="1:8" x14ac:dyDescent="0.25">
      <c r="B3" s="16"/>
      <c r="C3" s="2"/>
      <c r="D3" s="2"/>
      <c r="F3" s="2"/>
    </row>
    <row r="4" spans="1:8" x14ac:dyDescent="0.25">
      <c r="A4" s="612" t="s">
        <v>511</v>
      </c>
      <c r="B4" s="418">
        <f>'1920 Funding Detail'!AG25</f>
        <v>28779099.21874008</v>
      </c>
      <c r="C4" s="2"/>
      <c r="D4" s="16">
        <f>'2021 Funding Detail'!AH25</f>
        <v>29334218.614862774</v>
      </c>
      <c r="E4" s="502"/>
      <c r="F4" s="16">
        <f>D4-B4</f>
        <v>555119.39612269402</v>
      </c>
      <c r="H4" s="612" t="s">
        <v>940</v>
      </c>
    </row>
    <row r="5" spans="1:8" x14ac:dyDescent="0.25">
      <c r="A5" s="612" t="s">
        <v>512</v>
      </c>
      <c r="B5" s="418">
        <f>'1920 Funding Detail'!F25</f>
        <v>939529</v>
      </c>
      <c r="C5" s="2"/>
      <c r="D5" s="16">
        <f>SUM('2021 Funding Detail'!F25)</f>
        <v>971898</v>
      </c>
      <c r="E5" s="502"/>
      <c r="F5" s="16">
        <f t="shared" ref="F5:F14" si="0">D5-B5</f>
        <v>32369</v>
      </c>
      <c r="H5" s="612" t="s">
        <v>836</v>
      </c>
    </row>
    <row r="6" spans="1:8" x14ac:dyDescent="0.25">
      <c r="A6" s="612" t="s">
        <v>603</v>
      </c>
      <c r="B6" s="418">
        <f>'1920 Funding Detail'!G25</f>
        <v>41787</v>
      </c>
      <c r="C6" s="2"/>
      <c r="D6" s="16">
        <f>'2021 Funding Detail'!G25</f>
        <v>160701</v>
      </c>
      <c r="E6" s="502"/>
      <c r="F6" s="16">
        <f t="shared" si="0"/>
        <v>118914</v>
      </c>
      <c r="H6" s="612" t="s">
        <v>971</v>
      </c>
    </row>
    <row r="7" spans="1:8" x14ac:dyDescent="0.25">
      <c r="A7" s="612" t="s">
        <v>506</v>
      </c>
      <c r="B7" s="418">
        <f>SUM('1920 Other Funding'!BC26)</f>
        <v>757936</v>
      </c>
      <c r="C7" s="2"/>
      <c r="D7" s="16">
        <f>'2021 Other Funding'!BH26+442129</f>
        <v>757935.66666666674</v>
      </c>
      <c r="E7" s="502"/>
      <c r="F7" s="16">
        <f t="shared" si="0"/>
        <v>-0.33333333325572312</v>
      </c>
      <c r="H7" s="610" t="s">
        <v>941</v>
      </c>
    </row>
    <row r="8" spans="1:8" x14ac:dyDescent="0.25">
      <c r="A8" s="612" t="s">
        <v>183</v>
      </c>
      <c r="B8" s="418">
        <f>'1920 Other Funding'!BB26</f>
        <v>317322</v>
      </c>
      <c r="C8" s="2"/>
      <c r="D8" s="16">
        <f>'2021 Other Funding'!BG26</f>
        <v>329822</v>
      </c>
      <c r="E8" s="502"/>
      <c r="F8" s="16">
        <f t="shared" si="0"/>
        <v>12500</v>
      </c>
      <c r="H8" s="610" t="s">
        <v>943</v>
      </c>
    </row>
    <row r="9" spans="1:8" x14ac:dyDescent="0.25">
      <c r="A9" s="612" t="s">
        <v>184</v>
      </c>
      <c r="B9" s="418">
        <f>'1920 Other Funding'!BD26</f>
        <v>1119519</v>
      </c>
      <c r="C9" s="2"/>
      <c r="D9" s="16">
        <f>'2021 Other Funding'!BI26</f>
        <v>1119519</v>
      </c>
      <c r="E9" s="502"/>
      <c r="F9" s="16">
        <f t="shared" si="0"/>
        <v>0</v>
      </c>
      <c r="H9" s="20"/>
    </row>
    <row r="10" spans="1:8" x14ac:dyDescent="0.25">
      <c r="A10" s="612" t="s">
        <v>507</v>
      </c>
      <c r="B10" s="670">
        <v>1326125</v>
      </c>
      <c r="C10" s="2"/>
      <c r="D10" s="16">
        <v>1563045</v>
      </c>
      <c r="E10" s="502"/>
      <c r="F10" s="16">
        <f t="shared" si="0"/>
        <v>236920</v>
      </c>
      <c r="H10" s="611" t="s">
        <v>970</v>
      </c>
    </row>
    <row r="11" spans="1:8" x14ac:dyDescent="0.25">
      <c r="A11" s="612" t="s">
        <v>508</v>
      </c>
      <c r="B11" s="671">
        <v>294911</v>
      </c>
      <c r="C11" s="2"/>
      <c r="D11" s="16">
        <v>294911</v>
      </c>
      <c r="E11" s="502"/>
      <c r="F11" s="16">
        <f t="shared" si="0"/>
        <v>0</v>
      </c>
      <c r="H11" s="610" t="s">
        <v>944</v>
      </c>
    </row>
    <row r="12" spans="1:8" x14ac:dyDescent="0.25">
      <c r="A12" s="612" t="s">
        <v>972</v>
      </c>
      <c r="B12" s="671">
        <v>0</v>
      </c>
      <c r="C12" s="1050"/>
      <c r="D12" s="16">
        <v>547902</v>
      </c>
      <c r="E12" s="502"/>
      <c r="F12" s="16">
        <f t="shared" si="0"/>
        <v>547902</v>
      </c>
      <c r="H12" s="610"/>
    </row>
    <row r="13" spans="1:8" x14ac:dyDescent="0.25">
      <c r="A13" s="612" t="s">
        <v>973</v>
      </c>
      <c r="B13" s="671">
        <v>0</v>
      </c>
      <c r="C13" s="1050"/>
      <c r="D13" s="16">
        <v>235160</v>
      </c>
      <c r="E13" s="502"/>
      <c r="F13" s="16">
        <f t="shared" si="0"/>
        <v>235160</v>
      </c>
      <c r="H13" s="610"/>
    </row>
    <row r="14" spans="1:8" x14ac:dyDescent="0.25">
      <c r="A14" s="612" t="s">
        <v>974</v>
      </c>
      <c r="B14" s="671">
        <v>0</v>
      </c>
      <c r="C14" s="1050"/>
      <c r="D14" s="16">
        <v>40000</v>
      </c>
      <c r="E14" s="502"/>
      <c r="F14" s="16">
        <f t="shared" si="0"/>
        <v>40000</v>
      </c>
      <c r="H14" s="610"/>
    </row>
    <row r="15" spans="1:8" ht="13" x14ac:dyDescent="0.3">
      <c r="A15" s="612"/>
      <c r="B15" s="346"/>
      <c r="C15" s="2"/>
      <c r="D15" s="16"/>
      <c r="E15" s="502"/>
      <c r="F15" s="419"/>
    </row>
    <row r="16" spans="1:8" ht="13" x14ac:dyDescent="0.3">
      <c r="A16" s="424" t="s">
        <v>847</v>
      </c>
      <c r="B16" s="174">
        <f>SUM(B4:B14)</f>
        <v>33576228.218740076</v>
      </c>
      <c r="C16" s="2"/>
      <c r="D16" s="174">
        <f>SUM(D4:D14)</f>
        <v>35355112.281529441</v>
      </c>
      <c r="E16" s="419"/>
      <c r="F16" s="174">
        <f>SUM(F4:F14)</f>
        <v>1778884.0627893608</v>
      </c>
      <c r="G16" s="20"/>
      <c r="H16" s="423"/>
    </row>
    <row r="18" spans="1:6" x14ac:dyDescent="0.25">
      <c r="A18" s="612" t="s">
        <v>202</v>
      </c>
      <c r="B18" s="502">
        <f>'1920 Funding Detail'!AJ25+700000+130000</f>
        <v>19005833.333333332</v>
      </c>
      <c r="D18" s="502">
        <f>'2021 Funding Detail'!AK25+800000+130000+300000</f>
        <v>20190833.333333336</v>
      </c>
      <c r="F18" s="16">
        <f>D18-B18</f>
        <v>1185000.0000000037</v>
      </c>
    </row>
    <row r="19" spans="1:6" x14ac:dyDescent="0.25">
      <c r="A19" s="612" t="s">
        <v>942</v>
      </c>
      <c r="B19" s="502">
        <f>B16-B18</f>
        <v>14570394.885406744</v>
      </c>
      <c r="D19" s="502">
        <f>D16-D18</f>
        <v>15164278.948196106</v>
      </c>
      <c r="F19" s="16">
        <f>D19-B19</f>
        <v>593884.06278936192</v>
      </c>
    </row>
  </sheetData>
  <pageMargins left="0.7" right="0.7" top="0.75" bottom="0.75" header="0.3" footer="0.3"/>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Q24"/>
  <sheetViews>
    <sheetView zoomScaleNormal="100" workbookViewId="0">
      <selection activeCell="B3" sqref="B3"/>
    </sheetView>
  </sheetViews>
  <sheetFormatPr defaultColWidth="8.7265625" defaultRowHeight="15.5" x14ac:dyDescent="0.35"/>
  <cols>
    <col min="1" max="1" width="8.7265625" style="1630"/>
    <col min="2" max="2" width="10.453125" style="1630" customWidth="1"/>
    <col min="3" max="3" width="18.54296875" style="1630" hidden="1" customWidth="1"/>
    <col min="4" max="4" width="14.453125" style="1630" hidden="1" customWidth="1"/>
    <col min="5" max="5" width="25.54296875" style="1630" customWidth="1"/>
    <col min="6" max="6" width="14.7265625" style="1630" customWidth="1"/>
    <col min="7" max="13" width="10.7265625" style="1630" customWidth="1"/>
    <col min="14" max="14" width="8.7265625" style="1630"/>
    <col min="15" max="15" width="22.453125" style="1630" customWidth="1"/>
    <col min="16" max="16" width="20.81640625" style="1630" bestFit="1" customWidth="1"/>
    <col min="17" max="16384" width="8.7265625" style="1630"/>
  </cols>
  <sheetData>
    <row r="1" spans="1:17" x14ac:dyDescent="0.35">
      <c r="A1" s="1834" t="s">
        <v>1378</v>
      </c>
    </row>
    <row r="3" spans="1:17" x14ac:dyDescent="0.35">
      <c r="A3" s="1656" t="s">
        <v>197</v>
      </c>
      <c r="B3" s="1657"/>
      <c r="D3" s="1644"/>
      <c r="E3" s="1644"/>
      <c r="F3" s="1644"/>
      <c r="G3" s="1659" t="e">
        <f>VLOOKUP(B3,'2021 Funding Detail'!A1:AN23,2,FALSE)</f>
        <v>#N/A</v>
      </c>
    </row>
    <row r="5" spans="1:17" x14ac:dyDescent="0.35">
      <c r="C5" s="1835" t="s">
        <v>966</v>
      </c>
      <c r="D5" s="1835"/>
      <c r="E5" s="1835"/>
      <c r="F5" s="1835" t="s">
        <v>967</v>
      </c>
      <c r="G5" s="1835" t="s">
        <v>839</v>
      </c>
      <c r="H5" s="1835" t="s">
        <v>840</v>
      </c>
      <c r="I5" s="1835" t="s">
        <v>841</v>
      </c>
      <c r="J5" s="1835" t="s">
        <v>842</v>
      </c>
      <c r="K5" s="1835" t="s">
        <v>843</v>
      </c>
      <c r="L5" s="1835" t="s">
        <v>844</v>
      </c>
      <c r="M5" s="1835" t="s">
        <v>845</v>
      </c>
      <c r="O5" s="1836" t="s">
        <v>1233</v>
      </c>
      <c r="P5" s="1831" t="s">
        <v>1234</v>
      </c>
      <c r="Q5" s="1630">
        <v>4</v>
      </c>
    </row>
    <row r="6" spans="1:17" x14ac:dyDescent="0.35">
      <c r="C6" s="1831" t="s">
        <v>937</v>
      </c>
      <c r="D6" s="1831" t="str">
        <f>CONCATENATE(B3,C6)</f>
        <v>2020/21</v>
      </c>
      <c r="E6" s="1831" t="s">
        <v>1231</v>
      </c>
      <c r="F6" s="1837" t="e">
        <f>VLOOKUP($D$6,'2122 MFG Protection'!$B$4:$O$146,4,(FALSE))</f>
        <v>#N/A</v>
      </c>
      <c r="G6" s="1837" t="e">
        <f>VLOOKUP($D$6,'2122 MFG Protection'!$B$4:$O$146,5,(FALSE))</f>
        <v>#N/A</v>
      </c>
      <c r="H6" s="1837" t="e">
        <f>VLOOKUP($D$6,'2122 MFG Protection'!$B$4:$O$146,6,(FALSE))</f>
        <v>#N/A</v>
      </c>
      <c r="I6" s="1837" t="e">
        <f>VLOOKUP($D$6,'2122 MFG Protection'!$B$4:$O$146,7,(FALSE))</f>
        <v>#N/A</v>
      </c>
      <c r="J6" s="1837" t="e">
        <f>VLOOKUP($D$6,'2122 MFG Protection'!$B$4:$O$146,8,(FALSE))</f>
        <v>#N/A</v>
      </c>
      <c r="K6" s="1837" t="e">
        <f>VLOOKUP($D$6,'2122 MFG Protection'!$B$4:$O$146,9,(FALSE))</f>
        <v>#N/A</v>
      </c>
      <c r="L6" s="1838" t="e">
        <f>VLOOKUP($D$6,'2122 MFG Protection'!$B$4:$O$146,10,(FALSE))</f>
        <v>#N/A</v>
      </c>
      <c r="M6" s="1837" t="e">
        <f>VLOOKUP($D$6,'2122 MFG Protection'!$B$4:$O$146,11,(FALSE))</f>
        <v>#N/A</v>
      </c>
      <c r="N6" s="1664"/>
      <c r="O6" s="1839" t="e">
        <f>VLOOKUP($D$6,'2122 MFG Protection'!$B$4:$O$146,13,(FALSE))</f>
        <v>#N/A</v>
      </c>
      <c r="P6" s="1840" t="e">
        <f>VLOOKUP($D$6,'2122 MFG Protection'!$B$4:$O$146,14,(FALSE))</f>
        <v>#N/A</v>
      </c>
    </row>
    <row r="7" spans="1:17" x14ac:dyDescent="0.35">
      <c r="C7" s="1831" t="s">
        <v>990</v>
      </c>
      <c r="D7" s="1831" t="str">
        <f>CONCATENATE(B3,C7)</f>
        <v>2021/22</v>
      </c>
      <c r="E7" s="1831" t="s">
        <v>1232</v>
      </c>
      <c r="F7" s="1841" t="e">
        <f>VLOOKUP($D$7,'2122 MFG Protection'!$B$4:$O$146,4,FALSE)</f>
        <v>#N/A</v>
      </c>
      <c r="G7" s="1841" t="e">
        <f>VLOOKUP($D$7,'2122 MFG Protection'!$B$4:$O$146,5,FALSE)</f>
        <v>#N/A</v>
      </c>
      <c r="H7" s="1841" t="e">
        <f>VLOOKUP($D$7,'2122 MFG Protection'!$B$4:$O$146,6,FALSE)</f>
        <v>#N/A</v>
      </c>
      <c r="I7" s="1841" t="e">
        <f>VLOOKUP($D$7,'2122 MFG Protection'!$B$4:$O$146,7,FALSE)</f>
        <v>#N/A</v>
      </c>
      <c r="J7" s="1841" t="e">
        <f>VLOOKUP($D$7,'2122 MFG Protection'!$B$4:$O$146,8,FALSE)</f>
        <v>#N/A</v>
      </c>
      <c r="K7" s="1841" t="e">
        <f>VLOOKUP($D$7,'2122 MFG Protection'!$B$4:$O$146,9,FALSE)</f>
        <v>#N/A</v>
      </c>
      <c r="L7" s="1841" t="e">
        <f>VLOOKUP($D$7,'2122 MFG Protection'!$B$4:$O$146,10,FALSE)</f>
        <v>#N/A</v>
      </c>
      <c r="M7" s="1841" t="e">
        <f>VLOOKUP($D$7,'2122 MFG Protection'!$B$4:$O$146,11,FALSE)</f>
        <v>#N/A</v>
      </c>
      <c r="O7" s="1645"/>
      <c r="P7" s="1667"/>
    </row>
    <row r="8" spans="1:17" ht="16" thickBot="1" x14ac:dyDescent="0.4">
      <c r="C8" s="1831" t="s">
        <v>1227</v>
      </c>
      <c r="D8" s="1831" t="str">
        <f>CONCATENATE(B3,C8)</f>
        <v>a</v>
      </c>
      <c r="E8" s="1832" t="s">
        <v>1236</v>
      </c>
      <c r="F8" s="1831"/>
      <c r="G8" s="1842" t="e">
        <f>VLOOKUP($D$8,'2122 MFG Protection'!$B$4:$O$146,5,(FALSE))</f>
        <v>#N/A</v>
      </c>
      <c r="H8" s="1842" t="e">
        <f>VLOOKUP($D$8,'2122 MFG Protection'!$B$4:$O$146,6,(FALSE))</f>
        <v>#N/A</v>
      </c>
      <c r="I8" s="1842" t="e">
        <f>VLOOKUP($D$8,'2122 MFG Protection'!$B$4:$O$146,7,(FALSE))</f>
        <v>#N/A</v>
      </c>
      <c r="J8" s="1842" t="e">
        <f>VLOOKUP($D$8,'2122 MFG Protection'!$B$4:$O$146,8,(FALSE))</f>
        <v>#N/A</v>
      </c>
      <c r="K8" s="1842" t="e">
        <f>VLOOKUP($D$8,'2122 MFG Protection'!$B$4:$O$146,9,(FALSE))</f>
        <v>#N/A</v>
      </c>
      <c r="L8" s="1842" t="e">
        <f>VLOOKUP($D$8,'2122 MFG Protection'!$B$4:$O$146,10,(FALSE))</f>
        <v>#N/A</v>
      </c>
      <c r="M8" s="1831"/>
      <c r="N8" s="1630">
        <v>1</v>
      </c>
    </row>
    <row r="9" spans="1:17" x14ac:dyDescent="0.35">
      <c r="C9" s="1831" t="s">
        <v>1228</v>
      </c>
      <c r="D9" s="1831" t="str">
        <f>CONCATENATE(B3,C9)</f>
        <v>b</v>
      </c>
      <c r="E9" s="1833" t="s">
        <v>1184</v>
      </c>
      <c r="F9" s="1831"/>
      <c r="G9" s="1839" t="e">
        <f>VLOOKUP($D$9,'2122 MFG Protection'!$B$4:$O$146,5,(FALSE))</f>
        <v>#N/A</v>
      </c>
      <c r="H9" s="1839" t="e">
        <f>VLOOKUP($D$9,'2122 MFG Protection'!$B$4:$O$146,6,(FALSE))</f>
        <v>#N/A</v>
      </c>
      <c r="I9" s="1839" t="e">
        <f>VLOOKUP($D$9,'2122 MFG Protection'!$B$4:$O$146,7,(FALSE))</f>
        <v>#N/A</v>
      </c>
      <c r="J9" s="1839" t="e">
        <f>VLOOKUP($D$9,'2122 MFG Protection'!$B$4:$O$146,8,(FALSE))</f>
        <v>#N/A</v>
      </c>
      <c r="K9" s="1839" t="e">
        <f>VLOOKUP($D$9,'2122 MFG Protection'!$B$4:$O$146,9,(FALSE))</f>
        <v>#N/A</v>
      </c>
      <c r="L9" s="1839" t="e">
        <f>VLOOKUP($D$9,'2122 MFG Protection'!$B$4:$O$146,10,(FALSE))</f>
        <v>#N/A</v>
      </c>
      <c r="M9" s="1831"/>
      <c r="N9" s="1630">
        <v>2</v>
      </c>
      <c r="O9" s="1843" t="s">
        <v>1235</v>
      </c>
      <c r="Q9" s="1630">
        <v>5</v>
      </c>
    </row>
    <row r="10" spans="1:17" ht="16" thickBot="1" x14ac:dyDescent="0.4">
      <c r="C10" s="1831" t="s">
        <v>1229</v>
      </c>
      <c r="D10" s="1831" t="str">
        <f>CONCATENATE(B3,C10)</f>
        <v>c</v>
      </c>
      <c r="E10" s="1833" t="s">
        <v>1237</v>
      </c>
      <c r="F10" s="1831"/>
      <c r="G10" s="1839" t="e">
        <f>VLOOKUP($D$10,'2122 MFG Protection'!$B$4:$O$146,5,(FALSE))</f>
        <v>#N/A</v>
      </c>
      <c r="H10" s="1839" t="e">
        <f>VLOOKUP($D$10,'2122 MFG Protection'!$B$4:$O$146,6,(FALSE))</f>
        <v>#N/A</v>
      </c>
      <c r="I10" s="1839" t="e">
        <f>VLOOKUP($D$10,'2122 MFG Protection'!$B$4:$O$146,7,(FALSE))</f>
        <v>#N/A</v>
      </c>
      <c r="J10" s="1839" t="e">
        <f>VLOOKUP($D$10,'2122 MFG Protection'!$B$4:$O$146,8,(FALSE))</f>
        <v>#N/A</v>
      </c>
      <c r="K10" s="1839" t="e">
        <f>VLOOKUP($D$10,'2122 MFG Protection'!$B$4:$O$146,9,(FALSE))</f>
        <v>#N/A</v>
      </c>
      <c r="L10" s="1839" t="e">
        <f>VLOOKUP($D$10,'2122 MFG Protection'!$B$4:$O$146,10,(FALSE))</f>
        <v>#N/A</v>
      </c>
      <c r="M10" s="1797"/>
      <c r="O10" s="1844" t="e">
        <f>SUM(G10:L10)</f>
        <v>#N/A</v>
      </c>
    </row>
    <row r="11" spans="1:17" x14ac:dyDescent="0.35">
      <c r="C11" s="1831" t="s">
        <v>1230</v>
      </c>
      <c r="D11" s="1831" t="str">
        <f>CONCATENATE(B3,C11)</f>
        <v>d</v>
      </c>
      <c r="E11" s="1833" t="s">
        <v>1186</v>
      </c>
      <c r="F11" s="1831"/>
      <c r="G11" s="1839" t="e">
        <f>VLOOKUP($D$11,'2122 MFG Protection'!$B$4:$O$146,5,(FALSE))</f>
        <v>#N/A</v>
      </c>
      <c r="H11" s="1839" t="e">
        <f>VLOOKUP($D$11,'2122 MFG Protection'!$B$4:$O$146,6,(FALSE))</f>
        <v>#N/A</v>
      </c>
      <c r="I11" s="1839" t="e">
        <f>VLOOKUP($D$11,'2122 MFG Protection'!$B$4:$O$146,7,(FALSE))</f>
        <v>#N/A</v>
      </c>
      <c r="J11" s="1839" t="e">
        <f>VLOOKUP($D$11,'2122 MFG Protection'!$B$4:$O$146,8,(FALSE))</f>
        <v>#N/A</v>
      </c>
      <c r="K11" s="1839" t="e">
        <f>VLOOKUP($D$11,'2122 MFG Protection'!$B$4:$O$146,9,(FALSE))</f>
        <v>#N/A</v>
      </c>
      <c r="L11" s="1839" t="e">
        <f>VLOOKUP($D$11,'2122 MFG Protection'!$B$4:$O$146,10,(FALSE))</f>
        <v>#N/A</v>
      </c>
      <c r="M11" s="1831"/>
      <c r="N11" s="1630">
        <v>3</v>
      </c>
      <c r="O11" s="1645"/>
    </row>
    <row r="12" spans="1:17" x14ac:dyDescent="0.35">
      <c r="G12" s="1746"/>
      <c r="L12" s="1748"/>
    </row>
    <row r="13" spans="1:17" x14ac:dyDescent="0.35">
      <c r="G13" s="1748"/>
    </row>
    <row r="14" spans="1:17" ht="34" customHeight="1" x14ac:dyDescent="0.35">
      <c r="A14" s="2014" t="s">
        <v>1349</v>
      </c>
      <c r="B14" s="2015"/>
      <c r="C14" s="2015"/>
      <c r="D14" s="2015"/>
      <c r="E14" s="2015"/>
      <c r="F14" s="2015"/>
      <c r="G14" s="2015"/>
      <c r="H14" s="2015"/>
      <c r="I14" s="2015"/>
      <c r="J14" s="2015"/>
      <c r="K14" s="2015"/>
      <c r="L14" s="2015"/>
      <c r="M14" s="2015"/>
      <c r="N14" s="2015"/>
      <c r="O14" s="2015"/>
    </row>
    <row r="15" spans="1:17" x14ac:dyDescent="0.35">
      <c r="A15" s="1845"/>
      <c r="B15" s="1845"/>
      <c r="C15" s="1845"/>
      <c r="D15" s="1845"/>
      <c r="E15" s="1845"/>
      <c r="F15" s="1845"/>
      <c r="G15" s="1845"/>
      <c r="H15" s="1845"/>
      <c r="I15" s="1730"/>
      <c r="J15" s="1730"/>
      <c r="K15" s="1730"/>
      <c r="L15" s="1730"/>
      <c r="M15" s="1730"/>
      <c r="N15" s="1730"/>
      <c r="O15" s="1730"/>
    </row>
    <row r="16" spans="1:17" ht="31.5" customHeight="1" x14ac:dyDescent="0.35">
      <c r="A16" s="2014" t="s">
        <v>1375</v>
      </c>
      <c r="B16" s="2014"/>
      <c r="C16" s="2014"/>
      <c r="D16" s="2014"/>
      <c r="E16" s="2014"/>
      <c r="F16" s="2014"/>
      <c r="G16" s="2014"/>
      <c r="H16" s="2014"/>
      <c r="I16" s="2014"/>
      <c r="J16" s="2014"/>
      <c r="K16" s="2014"/>
      <c r="L16" s="2014"/>
      <c r="M16" s="2014"/>
      <c r="N16" s="2014"/>
      <c r="O16" s="2014"/>
    </row>
    <row r="17" spans="1:15" x14ac:dyDescent="0.35">
      <c r="A17" s="1845"/>
      <c r="B17" s="1845"/>
      <c r="C17" s="1845"/>
      <c r="D17" s="1845"/>
      <c r="E17" s="1845"/>
      <c r="F17" s="1845"/>
      <c r="G17" s="1845"/>
      <c r="H17" s="1845"/>
      <c r="I17" s="1730"/>
      <c r="J17" s="1730"/>
      <c r="K17" s="1730"/>
      <c r="L17" s="1730"/>
      <c r="M17" s="1730"/>
      <c r="N17" s="1730"/>
      <c r="O17" s="1730"/>
    </row>
    <row r="18" spans="1:15" ht="39.65" customHeight="1" x14ac:dyDescent="0.35">
      <c r="A18" s="2016" t="s">
        <v>1376</v>
      </c>
      <c r="B18" s="2016"/>
      <c r="C18" s="2016"/>
      <c r="D18" s="2016"/>
      <c r="E18" s="2016"/>
      <c r="F18" s="2016"/>
      <c r="G18" s="2016"/>
      <c r="H18" s="2016"/>
      <c r="I18" s="2016"/>
      <c r="J18" s="2016"/>
      <c r="K18" s="2016"/>
      <c r="L18" s="2016"/>
      <c r="M18" s="2016"/>
      <c r="N18" s="2016"/>
      <c r="O18" s="2016"/>
    </row>
    <row r="19" spans="1:15" ht="56.15" customHeight="1" x14ac:dyDescent="0.35">
      <c r="A19" s="2016"/>
      <c r="B19" s="2016"/>
      <c r="C19" s="2016"/>
      <c r="D19" s="2016"/>
      <c r="E19" s="2016"/>
      <c r="F19" s="2016"/>
      <c r="G19" s="2016"/>
      <c r="H19" s="2016"/>
      <c r="I19" s="2016"/>
      <c r="J19" s="2016"/>
      <c r="K19" s="2016"/>
      <c r="L19" s="2016"/>
      <c r="M19" s="2016"/>
      <c r="N19" s="2016"/>
      <c r="O19" s="2016"/>
    </row>
    <row r="20" spans="1:15" x14ac:dyDescent="0.35">
      <c r="A20" s="1846"/>
      <c r="B20" s="1846"/>
      <c r="C20" s="1846"/>
      <c r="D20" s="1846"/>
      <c r="E20" s="1846"/>
      <c r="F20" s="1846"/>
      <c r="G20" s="1846"/>
      <c r="H20" s="1846"/>
      <c r="I20" s="1730"/>
      <c r="J20" s="1730"/>
      <c r="K20" s="1730"/>
      <c r="L20" s="1730"/>
      <c r="M20" s="1730"/>
      <c r="N20" s="1730"/>
      <c r="O20" s="1730"/>
    </row>
    <row r="21" spans="1:15" ht="46.5" customHeight="1" x14ac:dyDescent="0.35">
      <c r="A21" s="2016" t="s">
        <v>1381</v>
      </c>
      <c r="B21" s="2016"/>
      <c r="C21" s="2016"/>
      <c r="D21" s="2016"/>
      <c r="E21" s="2016"/>
      <c r="F21" s="2016"/>
      <c r="G21" s="2016"/>
      <c r="H21" s="2016"/>
      <c r="I21" s="2017"/>
      <c r="J21" s="2017"/>
      <c r="K21" s="2017"/>
      <c r="L21" s="2017"/>
      <c r="M21" s="2017"/>
      <c r="N21" s="2017"/>
      <c r="O21" s="2017"/>
    </row>
    <row r="22" spans="1:15" x14ac:dyDescent="0.35">
      <c r="A22" s="1846"/>
      <c r="B22" s="1846"/>
      <c r="C22" s="1846"/>
      <c r="D22" s="1846"/>
      <c r="E22" s="1846"/>
      <c r="F22" s="1846"/>
      <c r="G22" s="1846"/>
      <c r="H22" s="1846"/>
      <c r="I22" s="1730"/>
      <c r="J22" s="1730"/>
      <c r="K22" s="1730"/>
      <c r="L22" s="1730"/>
      <c r="M22" s="1730"/>
      <c r="N22" s="1730"/>
      <c r="O22" s="1730"/>
    </row>
    <row r="23" spans="1:15" x14ac:dyDescent="0.35">
      <c r="A23" s="2018" t="s">
        <v>1377</v>
      </c>
      <c r="B23" s="2018"/>
      <c r="C23" s="2018"/>
      <c r="D23" s="2018"/>
      <c r="E23" s="2018"/>
      <c r="F23" s="2018"/>
      <c r="G23" s="2018"/>
      <c r="H23" s="2018"/>
      <c r="I23" s="2017"/>
      <c r="J23" s="2017"/>
      <c r="K23" s="2017"/>
      <c r="L23" s="2017"/>
      <c r="M23" s="2017"/>
      <c r="N23" s="2017"/>
      <c r="O23" s="2017"/>
    </row>
    <row r="24" spans="1:15" x14ac:dyDescent="0.35">
      <c r="A24" s="1847"/>
      <c r="B24" s="1848"/>
      <c r="C24" s="1848"/>
      <c r="D24" s="1848"/>
      <c r="E24" s="1848"/>
      <c r="F24" s="1848"/>
      <c r="G24" s="1848"/>
      <c r="H24" s="1848"/>
      <c r="I24" s="1730"/>
      <c r="J24" s="1730"/>
      <c r="K24" s="1730"/>
      <c r="L24" s="1730"/>
      <c r="M24" s="1730"/>
      <c r="N24" s="1730"/>
      <c r="O24" s="1730"/>
    </row>
  </sheetData>
  <sheetProtection password="B262" sheet="1" objects="1" scenarios="1"/>
  <mergeCells count="5">
    <mergeCell ref="A14:O14"/>
    <mergeCell ref="A21:O21"/>
    <mergeCell ref="A23:O23"/>
    <mergeCell ref="A18:O19"/>
    <mergeCell ref="A16:O16"/>
  </mergeCells>
  <pageMargins left="0.70866141732283472" right="0.70866141732283472" top="0.74803149606299213" bottom="0.74803149606299213" header="0.31496062992125984" footer="0.31496062992125984"/>
  <pageSetup paperSize="9" scale="71" orientation="landscape" r:id="rId1"/>
  <headerFooter>
    <oddHeader>&amp;CLincolnshire County Council</oddHeader>
    <oddFooter>&amp;C2021/22 Special School Budget Share
MFG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pageSetUpPr fitToPage="1"/>
  </sheetPr>
  <dimension ref="A1:AQ43"/>
  <sheetViews>
    <sheetView zoomScale="85" zoomScaleNormal="100" workbookViewId="0">
      <pane xSplit="2" topLeftCell="R1" activePane="topRight" state="frozen"/>
      <selection activeCell="B1" sqref="B1"/>
      <selection pane="topRight" activeCell="AB4" sqref="AB4"/>
    </sheetView>
  </sheetViews>
  <sheetFormatPr defaultColWidth="10.26953125" defaultRowHeight="12.5" x14ac:dyDescent="0.25"/>
  <cols>
    <col min="1" max="1" width="10.26953125" style="34"/>
    <col min="2" max="2" width="31.54296875" style="34" customWidth="1"/>
    <col min="3" max="3" width="6.1796875" style="34" customWidth="1"/>
    <col min="4" max="8" width="15.7265625" style="41" customWidth="1"/>
    <col min="9" max="10" width="15.7265625" style="34" customWidth="1"/>
    <col min="11" max="12" width="15.7265625" style="40" customWidth="1"/>
    <col min="13" max="13" width="15.7265625" style="41" customWidth="1"/>
    <col min="14" max="14" width="17.26953125" style="34" customWidth="1"/>
    <col min="15" max="15" width="10.26953125" style="41" customWidth="1"/>
    <col min="16" max="16" width="0.81640625" style="34" customWidth="1"/>
    <col min="17" max="17" width="10.26953125" style="42" customWidth="1"/>
    <col min="18" max="18" width="11.81640625" style="41" bestFit="1" customWidth="1"/>
    <col min="19" max="19" width="10.26953125" style="41"/>
    <col min="20" max="21" width="10.26953125" style="34"/>
    <col min="22" max="22" width="9.54296875" style="41" customWidth="1"/>
    <col min="23" max="23" width="10.26953125" style="41"/>
    <col min="24" max="24" width="10.81640625" style="41" customWidth="1"/>
    <col min="25" max="27" width="10.81640625" style="657" customWidth="1"/>
    <col min="28" max="30" width="12.7265625" style="677" customWidth="1"/>
    <col min="31" max="31" width="10.81640625" style="677" customWidth="1"/>
    <col min="32" max="32" width="10.26953125" style="34"/>
    <col min="33" max="33" width="11.26953125" style="34" bestFit="1" customWidth="1"/>
    <col min="34" max="41" width="10.26953125" style="34"/>
    <col min="42" max="42" width="11.26953125" style="34" bestFit="1" customWidth="1"/>
    <col min="43" max="16384" width="10.26953125" style="34"/>
  </cols>
  <sheetData>
    <row r="1" spans="1:43" ht="17.5" x14ac:dyDescent="0.35">
      <c r="B1" s="44" t="s">
        <v>531</v>
      </c>
      <c r="C1" s="33"/>
      <c r="Q1" s="80"/>
      <c r="AB1" s="1890" t="s">
        <v>644</v>
      </c>
      <c r="AC1" s="1890"/>
      <c r="AD1" s="1890"/>
    </row>
    <row r="2" spans="1:43" x14ac:dyDescent="0.25">
      <c r="B2" s="47"/>
      <c r="C2" s="47"/>
      <c r="O2" s="76"/>
      <c r="AD2" s="1889" t="s">
        <v>643</v>
      </c>
      <c r="AF2" s="1886"/>
      <c r="AG2" s="1886"/>
      <c r="AH2" s="1886"/>
      <c r="AI2" s="52"/>
      <c r="AJ2" s="52"/>
      <c r="AK2" s="52"/>
      <c r="AL2" s="52"/>
      <c r="AM2" s="52"/>
      <c r="AN2" s="52"/>
      <c r="AO2" s="52"/>
      <c r="AP2" s="52"/>
    </row>
    <row r="3" spans="1:43" ht="39" customHeight="1" x14ac:dyDescent="0.3">
      <c r="A3" s="184" t="s">
        <v>201</v>
      </c>
      <c r="B3" s="36" t="s">
        <v>66</v>
      </c>
      <c r="C3" s="39" t="s">
        <v>51</v>
      </c>
      <c r="D3" s="140" t="s">
        <v>20</v>
      </c>
      <c r="E3" s="141" t="s">
        <v>21</v>
      </c>
      <c r="F3" s="37" t="s">
        <v>64</v>
      </c>
      <c r="G3" s="37" t="s">
        <v>113</v>
      </c>
      <c r="H3" s="65" t="s">
        <v>449</v>
      </c>
      <c r="I3" s="65" t="s">
        <v>450</v>
      </c>
      <c r="J3" s="65" t="s">
        <v>400</v>
      </c>
      <c r="K3" s="157" t="s">
        <v>173</v>
      </c>
      <c r="L3" s="157" t="s">
        <v>194</v>
      </c>
      <c r="M3" s="37" t="s">
        <v>103</v>
      </c>
      <c r="N3" s="65" t="s">
        <v>297</v>
      </c>
      <c r="O3" s="540" t="s">
        <v>557</v>
      </c>
      <c r="Q3" s="65" t="s">
        <v>152</v>
      </c>
      <c r="R3" s="150" t="s">
        <v>151</v>
      </c>
      <c r="S3" s="150" t="s">
        <v>310</v>
      </c>
      <c r="T3" s="150" t="s">
        <v>311</v>
      </c>
      <c r="U3" s="150" t="s">
        <v>455</v>
      </c>
      <c r="V3" s="65" t="s">
        <v>238</v>
      </c>
      <c r="W3" s="65" t="s">
        <v>309</v>
      </c>
      <c r="X3" s="241" t="s">
        <v>196</v>
      </c>
      <c r="Y3" s="251" t="s">
        <v>302</v>
      </c>
      <c r="Z3" s="251" t="s">
        <v>303</v>
      </c>
      <c r="AA3" s="251" t="s">
        <v>304</v>
      </c>
      <c r="AB3" s="685" t="s">
        <v>641</v>
      </c>
      <c r="AC3" s="685" t="s">
        <v>642</v>
      </c>
      <c r="AD3" s="1889"/>
      <c r="AE3" s="384"/>
      <c r="AF3" s="384"/>
      <c r="AG3" s="385"/>
      <c r="AH3" s="386"/>
      <c r="AI3" s="385"/>
      <c r="AJ3" s="385"/>
      <c r="AK3" s="385"/>
      <c r="AL3" s="385"/>
      <c r="AM3" s="385"/>
      <c r="AN3" s="385"/>
      <c r="AO3" s="386"/>
      <c r="AP3" s="385"/>
    </row>
    <row r="4" spans="1:43" ht="13" x14ac:dyDescent="0.3">
      <c r="A4" s="185">
        <v>9257010</v>
      </c>
      <c r="B4" s="38" t="s">
        <v>67</v>
      </c>
      <c r="C4" s="39">
        <f>'Band Calculations 1617'!C6</f>
        <v>3</v>
      </c>
      <c r="D4" s="94">
        <f>'Funding Model'!$D$22</f>
        <v>314686.51772419503</v>
      </c>
      <c r="E4" s="94">
        <f>'Funding Model'!$E$22</f>
        <v>69201.680689977453</v>
      </c>
      <c r="F4" s="64"/>
      <c r="G4" s="64"/>
      <c r="H4" s="64">
        <f>VLOOKUP(A4,'Band Calculations 1617'!$A$107:$W$125,6,FALSE)</f>
        <v>0</v>
      </c>
      <c r="I4" s="64">
        <f>VLOOKUP(A4,'Band Calculations 1617'!$A$107:$W$125,13,FALSE)</f>
        <v>459918.32127380528</v>
      </c>
      <c r="J4" s="64">
        <f>VLOOKUP(A4,'Band Calculations 1617'!$A$107:$W$125,20,FALSE)</f>
        <v>8830.547390482423</v>
      </c>
      <c r="K4" s="94">
        <f>VLOOKUP(A4,'FSM Calculation 1516'!$A$4:$D$21,4,FALSE)</f>
        <v>3572</v>
      </c>
      <c r="L4" s="94">
        <v>616.77824313180849</v>
      </c>
      <c r="M4" s="64">
        <f>SUM(D4:L4)</f>
        <v>856825.84532159206</v>
      </c>
      <c r="N4" s="64">
        <f>M4-F4</f>
        <v>856825.84532159206</v>
      </c>
      <c r="O4" s="137">
        <f>VLOOKUP(A4,'Band Calculations 1617'!$A$107:$W$125,22,FALSE)</f>
        <v>46.916666666666671</v>
      </c>
      <c r="Q4" s="618">
        <f>N4/O4</f>
        <v>18262.717839891837</v>
      </c>
      <c r="R4" s="150">
        <f>O4*10000</f>
        <v>469166.66666666669</v>
      </c>
      <c r="S4" s="150">
        <f>Q4-10000</f>
        <v>8262.7178398918368</v>
      </c>
      <c r="T4" s="333">
        <f>VLOOKUP(A4,'2015-16 Funding Detail'!$A$4:$AA$23,27,FALSE)</f>
        <v>8528.8607865781596</v>
      </c>
      <c r="U4" s="94">
        <f>IF(S4&gt;T4,(S4),(T4))</f>
        <v>8528.8607865781596</v>
      </c>
      <c r="V4" s="64">
        <f>10000+U4</f>
        <v>18528.86078657816</v>
      </c>
      <c r="W4" s="64">
        <f t="shared" ref="W4:W15" si="0">(U4-S4)*O4</f>
        <v>12486.539915366648</v>
      </c>
      <c r="X4" s="156">
        <f>N4+W4</f>
        <v>869312.38523695874</v>
      </c>
      <c r="Y4" s="666">
        <f>X4*98.5%</f>
        <v>856272.69945840433</v>
      </c>
      <c r="Z4" s="666">
        <f>Y4/O4</f>
        <v>18250.927874779485</v>
      </c>
      <c r="AA4" s="666">
        <f>Z4-10000</f>
        <v>8250.9278747794851</v>
      </c>
      <c r="AB4" s="723">
        <f>X4-D4-E4-L4</f>
        <v>484807.40857965441</v>
      </c>
      <c r="AC4" s="725">
        <f>AB4/O4</f>
        <v>10333.372829406488</v>
      </c>
      <c r="AD4" s="723">
        <f>AC4*98.5%</f>
        <v>10178.37223696539</v>
      </c>
      <c r="AE4" s="73"/>
      <c r="AF4" s="609" t="s">
        <v>556</v>
      </c>
      <c r="AG4" s="633" t="s">
        <v>402</v>
      </c>
      <c r="AH4" s="387"/>
      <c r="AI4" s="73"/>
      <c r="AJ4" s="73"/>
      <c r="AK4" s="73"/>
      <c r="AL4" s="73"/>
      <c r="AM4" s="73"/>
      <c r="AN4" s="73"/>
      <c r="AO4" s="387"/>
      <c r="AP4" s="73"/>
      <c r="AQ4" s="125"/>
    </row>
    <row r="5" spans="1:43" ht="13" x14ac:dyDescent="0.3">
      <c r="A5" s="185">
        <v>9257005</v>
      </c>
      <c r="B5" s="38" t="s">
        <v>68</v>
      </c>
      <c r="C5" s="39">
        <f>'Band Calculations 1617'!C7</f>
        <v>4</v>
      </c>
      <c r="D5" s="94">
        <f>'Funding Model'!D23</f>
        <v>405763.82046267512</v>
      </c>
      <c r="E5" s="94">
        <f>'Funding Model'!E23</f>
        <v>88790.687513148558</v>
      </c>
      <c r="F5" s="64"/>
      <c r="G5" s="64"/>
      <c r="H5" s="521">
        <f>VLOOKUP(A5,'Band Calculations 1617'!$A$107:$W$125,6,FALSE)</f>
        <v>0</v>
      </c>
      <c r="I5" s="521">
        <f>VLOOKUP(A5,'Band Calculations 1617'!$A$107:$W$125,13,FALSE)</f>
        <v>693621.81966317189</v>
      </c>
      <c r="J5" s="521">
        <f>VLOOKUP(A5,'Band Calculations 1617'!$A$107:$W$125,20,FALSE)</f>
        <v>39135.661906543464</v>
      </c>
      <c r="K5" s="94">
        <f>VLOOKUP(A5,'FSM Calculation 1516'!$A$4:$D$21,4,FALSE)</f>
        <v>10716</v>
      </c>
      <c r="L5" s="94">
        <v>675.74486784427756</v>
      </c>
      <c r="M5" s="64">
        <f t="shared" ref="M5:M15" si="1">SUM(D5:L5)</f>
        <v>1238703.7344133833</v>
      </c>
      <c r="N5" s="64">
        <f t="shared" ref="N5:N15" si="2">M5-F5</f>
        <v>1238703.7344133833</v>
      </c>
      <c r="O5" s="137">
        <f>VLOOKUP(A5,'Band Calculations 1617'!$A$107:$W$125,22,FALSE)</f>
        <v>75.25</v>
      </c>
      <c r="Q5" s="150">
        <f t="shared" ref="Q5:Q23" si="3">N5/O5</f>
        <v>16461.179194862238</v>
      </c>
      <c r="R5" s="150">
        <f t="shared" ref="R5:R23" si="4">O5*10000</f>
        <v>752500</v>
      </c>
      <c r="S5" s="150">
        <f t="shared" ref="S5:S23" si="5">Q5-10000</f>
        <v>6461.1791948622376</v>
      </c>
      <c r="T5" s="94">
        <f>VLOOKUP(A5,'2015-16 Funding Detail'!$A$4:$AA$23,27,FALSE)</f>
        <v>6319.2466601688575</v>
      </c>
      <c r="U5" s="64">
        <f>IF(S5&gt;T5,(S5),(T5))</f>
        <v>6461.1791948622376</v>
      </c>
      <c r="V5" s="64">
        <f t="shared" ref="V5:V23" si="6">10000+U5</f>
        <v>16461.179194862238</v>
      </c>
      <c r="W5" s="64">
        <f>(U5-S5)*O5</f>
        <v>0</v>
      </c>
      <c r="X5" s="156">
        <f t="shared" ref="X5:X15" si="7">N5+W5</f>
        <v>1238703.7344133833</v>
      </c>
      <c r="Y5" s="666">
        <f t="shared" ref="Y5:Y23" si="8">X5*98.5%</f>
        <v>1220123.1783971826</v>
      </c>
      <c r="Z5" s="666">
        <f>Y5/O5</f>
        <v>16214.261506939303</v>
      </c>
      <c r="AA5" s="666">
        <f t="shared" ref="AA5:AA23" si="9">Z5-10000</f>
        <v>6214.2615069393032</v>
      </c>
      <c r="AB5" s="723">
        <f t="shared" ref="AB5:AB23" si="10">X5-D5-E5-L5</f>
        <v>743473.48156971543</v>
      </c>
      <c r="AC5" s="723">
        <f t="shared" ref="AC5:AC23" si="11">AB5/O5</f>
        <v>9880.0462667071824</v>
      </c>
      <c r="AD5" s="723">
        <f t="shared" ref="AD5:AD23" si="12">AC5*98.5%</f>
        <v>9731.8455727065739</v>
      </c>
      <c r="AE5" s="73"/>
      <c r="AF5" s="609" t="s">
        <v>556</v>
      </c>
      <c r="AG5" s="633" t="s">
        <v>402</v>
      </c>
      <c r="AH5" s="387"/>
      <c r="AI5" s="73"/>
      <c r="AJ5" s="73"/>
      <c r="AK5" s="73"/>
      <c r="AL5" s="73"/>
      <c r="AM5" s="73"/>
      <c r="AN5" s="73"/>
      <c r="AO5" s="387"/>
      <c r="AP5" s="73"/>
      <c r="AQ5" s="125"/>
    </row>
    <row r="6" spans="1:43" ht="13" x14ac:dyDescent="0.3">
      <c r="A6" s="185">
        <v>9257025</v>
      </c>
      <c r="B6" s="38" t="s">
        <v>69</v>
      </c>
      <c r="C6" s="39">
        <f>'Band Calculations 1617'!C8</f>
        <v>4</v>
      </c>
      <c r="D6" s="94">
        <f>'Funding Model'!D23</f>
        <v>405763.82046267512</v>
      </c>
      <c r="E6" s="94">
        <f>'Funding Model'!E23</f>
        <v>88790.687513148558</v>
      </c>
      <c r="F6" s="64"/>
      <c r="G6" s="64"/>
      <c r="H6" s="521">
        <f>VLOOKUP(A6,'Band Calculations 1617'!$A$107:$W$125,6,FALSE)</f>
        <v>39922.238535953147</v>
      </c>
      <c r="I6" s="521">
        <f>VLOOKUP(A6,'Band Calculations 1617'!$A$107:$W$125,13,FALSE)</f>
        <v>554120.67087902979</v>
      </c>
      <c r="J6" s="521">
        <f>VLOOKUP(A6,'Band Calculations 1617'!$A$107:$W$125,20,FALSE)</f>
        <v>33907.597366262751</v>
      </c>
      <c r="K6" s="94">
        <f>VLOOKUP(A6,'FSM Calculation 1516'!$A$4:$D$21,4,FALSE)</f>
        <v>7590.5</v>
      </c>
      <c r="L6" s="94">
        <v>646.26155548804309</v>
      </c>
      <c r="M6" s="64">
        <f t="shared" si="1"/>
        <v>1130741.7763125573</v>
      </c>
      <c r="N6" s="64">
        <f t="shared" si="2"/>
        <v>1130741.7763125573</v>
      </c>
      <c r="O6" s="137">
        <f>VLOOKUP(A6,'Band Calculations 1617'!$A$107:$W$125,22,FALSE)</f>
        <v>62</v>
      </c>
      <c r="Q6" s="150">
        <f t="shared" si="3"/>
        <v>18237.770585686409</v>
      </c>
      <c r="R6" s="150">
        <f t="shared" si="4"/>
        <v>620000</v>
      </c>
      <c r="S6" s="150">
        <f t="shared" si="5"/>
        <v>8237.7705856864086</v>
      </c>
      <c r="T6" s="333">
        <f>VLOOKUP(A6,'2015-16 Funding Detail'!$A$4:$AA$23,27,FALSE)</f>
        <v>8412.5999713090241</v>
      </c>
      <c r="U6" s="64">
        <f t="shared" ref="U6:U23" si="13">IF(S6&gt;T6,(S6),(T6))</f>
        <v>8412.5999713090241</v>
      </c>
      <c r="V6" s="64">
        <f t="shared" si="6"/>
        <v>18412.599971309024</v>
      </c>
      <c r="W6" s="64">
        <f t="shared" si="0"/>
        <v>10839.421908602162</v>
      </c>
      <c r="X6" s="156">
        <f t="shared" si="7"/>
        <v>1141581.1982211594</v>
      </c>
      <c r="Y6" s="666">
        <f t="shared" si="8"/>
        <v>1124457.4802478419</v>
      </c>
      <c r="Z6" s="666">
        <f t="shared" ref="Z6:Z23" si="14">Y6/O6</f>
        <v>18136.410971739384</v>
      </c>
      <c r="AA6" s="666">
        <f t="shared" si="9"/>
        <v>8136.410971739384</v>
      </c>
      <c r="AB6" s="723">
        <f t="shared" si="10"/>
        <v>646380.42868984782</v>
      </c>
      <c r="AC6" s="723">
        <f t="shared" si="11"/>
        <v>10425.490785320126</v>
      </c>
      <c r="AD6" s="723">
        <f t="shared" si="12"/>
        <v>10269.108423540323</v>
      </c>
      <c r="AE6" s="73"/>
      <c r="AF6" s="609" t="s">
        <v>556</v>
      </c>
      <c r="AG6" s="633" t="s">
        <v>402</v>
      </c>
      <c r="AH6" s="387"/>
      <c r="AI6" s="73"/>
      <c r="AJ6" s="73"/>
      <c r="AK6" s="73"/>
      <c r="AL6" s="73"/>
      <c r="AM6" s="73"/>
      <c r="AN6" s="73"/>
      <c r="AO6" s="387"/>
      <c r="AP6" s="73"/>
      <c r="AQ6" s="125"/>
    </row>
    <row r="7" spans="1:43" ht="13" x14ac:dyDescent="0.3">
      <c r="A7" s="185">
        <v>9257011</v>
      </c>
      <c r="B7" s="38" t="s">
        <v>70</v>
      </c>
      <c r="C7" s="39">
        <f>'Band Calculations 1617'!C9</f>
        <v>4</v>
      </c>
      <c r="D7" s="94">
        <f>'Funding Model'!$D$23</f>
        <v>405763.82046267512</v>
      </c>
      <c r="E7" s="94">
        <f>'Funding Model'!$E$23</f>
        <v>88790.687513148558</v>
      </c>
      <c r="F7" s="64"/>
      <c r="G7" s="64"/>
      <c r="H7" s="521">
        <f>VLOOKUP(A7,'Band Calculations 1617'!$A$107:$W$125,6,FALSE)</f>
        <v>0</v>
      </c>
      <c r="I7" s="521">
        <f>VLOOKUP(A7,'Band Calculations 1617'!$A$107:$W$125,13,FALSE)</f>
        <v>472400.01723981736</v>
      </c>
      <c r="J7" s="521">
        <f>VLOOKUP(A7,'Band Calculations 1617'!$A$107:$W$125,20,FALSE)</f>
        <v>19640.866210921042</v>
      </c>
      <c r="K7" s="94">
        <f>VLOOKUP(A7,'FSM Calculation 1516'!$A$4:$D$21,4,FALSE)</f>
        <v>5358</v>
      </c>
      <c r="L7" s="94">
        <v>610.88158066056155</v>
      </c>
      <c r="M7" s="64">
        <f t="shared" si="1"/>
        <v>992564.2730072228</v>
      </c>
      <c r="N7" s="64">
        <f t="shared" si="2"/>
        <v>992564.2730072228</v>
      </c>
      <c r="O7" s="137">
        <f>VLOOKUP(A7,'Band Calculations 1617'!$A$107:$W$125,22,FALSE)</f>
        <v>47.916666666666671</v>
      </c>
      <c r="Q7" s="150">
        <f>N7/O7</f>
        <v>20714.384827976821</v>
      </c>
      <c r="R7" s="150">
        <f t="shared" si="4"/>
        <v>479166.66666666669</v>
      </c>
      <c r="S7" s="150">
        <f t="shared" si="5"/>
        <v>10714.384827976821</v>
      </c>
      <c r="T7" s="94">
        <f>VLOOKUP(A7,'2015-16 Funding Detail'!$A$4:$AA$23,27,FALSE)</f>
        <v>9130.9342158111831</v>
      </c>
      <c r="U7" s="64">
        <f t="shared" si="13"/>
        <v>10714.384827976821</v>
      </c>
      <c r="V7" s="64">
        <f t="shared" si="6"/>
        <v>20714.384827976821</v>
      </c>
      <c r="W7" s="64">
        <f t="shared" si="0"/>
        <v>0</v>
      </c>
      <c r="X7" s="156">
        <f t="shared" si="7"/>
        <v>992564.2730072228</v>
      </c>
      <c r="Y7" s="666">
        <f t="shared" si="8"/>
        <v>977675.80891211447</v>
      </c>
      <c r="Z7" s="666">
        <f t="shared" si="14"/>
        <v>20403.669055557169</v>
      </c>
      <c r="AA7" s="666">
        <f t="shared" si="9"/>
        <v>10403.669055557169</v>
      </c>
      <c r="AB7" s="723">
        <f t="shared" si="10"/>
        <v>497398.8834507385</v>
      </c>
      <c r="AC7" s="723">
        <f t="shared" si="11"/>
        <v>10380.498437232802</v>
      </c>
      <c r="AD7" s="723">
        <f t="shared" si="12"/>
        <v>10224.790960674309</v>
      </c>
      <c r="AE7" s="73"/>
      <c r="AF7" s="609" t="s">
        <v>556</v>
      </c>
      <c r="AG7" s="633" t="s">
        <v>402</v>
      </c>
      <c r="AH7" s="387"/>
      <c r="AI7" s="73"/>
      <c r="AJ7" s="73"/>
      <c r="AK7" s="73"/>
      <c r="AL7" s="73"/>
      <c r="AM7" s="73"/>
      <c r="AN7" s="73"/>
      <c r="AO7" s="387"/>
      <c r="AP7" s="73"/>
      <c r="AQ7" s="125"/>
    </row>
    <row r="8" spans="1:43" ht="13" x14ac:dyDescent="0.3">
      <c r="A8" s="185">
        <v>9257024</v>
      </c>
      <c r="B8" s="38" t="s">
        <v>71</v>
      </c>
      <c r="C8" s="39">
        <f>'Band Calculations 1617'!C10</f>
        <v>3</v>
      </c>
      <c r="D8" s="94">
        <f>'Funding Model'!$D$22</f>
        <v>314686.51772419503</v>
      </c>
      <c r="E8" s="94">
        <f>'Funding Model'!$E$22</f>
        <v>69201.680689977453</v>
      </c>
      <c r="F8" s="64"/>
      <c r="G8" s="64"/>
      <c r="H8" s="521">
        <f>VLOOKUP(A8,'Band Calculations 1617'!$A$107:$W$125,6,FALSE)</f>
        <v>19053.583315273478</v>
      </c>
      <c r="I8" s="521">
        <f>VLOOKUP(A8,'Band Calculations 1617'!$A$107:$W$125,13,FALSE)</f>
        <v>507587.45951888553</v>
      </c>
      <c r="J8" s="521">
        <f>VLOOKUP(A8,'Band Calculations 1617'!$A$107:$W$125,20,FALSE)</f>
        <v>8276.4458700655869</v>
      </c>
      <c r="K8" s="94">
        <f>VLOOKUP(A8,'FSM Calculation 1516'!$A$4:$D$21,4,FALSE)</f>
        <v>9823</v>
      </c>
      <c r="L8" s="94">
        <v>628.57156807430238</v>
      </c>
      <c r="M8" s="64">
        <f t="shared" si="1"/>
        <v>929257.25868647138</v>
      </c>
      <c r="N8" s="64">
        <f t="shared" si="2"/>
        <v>929257.25868647138</v>
      </c>
      <c r="O8" s="137">
        <f>VLOOKUP(A8,'Band Calculations 1617'!$A$107:$W$125,22,FALSE)</f>
        <v>57.583333333333336</v>
      </c>
      <c r="Q8" s="150">
        <f t="shared" si="3"/>
        <v>16137.607965611658</v>
      </c>
      <c r="R8" s="150">
        <f t="shared" si="4"/>
        <v>575833.33333333337</v>
      </c>
      <c r="S8" s="150">
        <f t="shared" si="5"/>
        <v>6137.6079656116581</v>
      </c>
      <c r="T8" s="333">
        <f>VLOOKUP(A8,'2015-16 Funding Detail'!$A$4:$AA$23,27,FALSE)</f>
        <v>6400.1956285335364</v>
      </c>
      <c r="U8" s="64">
        <f t="shared" si="13"/>
        <v>6400.1956285335364</v>
      </c>
      <c r="V8" s="64">
        <f t="shared" si="6"/>
        <v>16400.195628533536</v>
      </c>
      <c r="W8" s="64">
        <f t="shared" si="0"/>
        <v>15120.672923251492</v>
      </c>
      <c r="X8" s="156">
        <f t="shared" si="7"/>
        <v>944377.9316097229</v>
      </c>
      <c r="Y8" s="666">
        <f t="shared" si="8"/>
        <v>930212.262635577</v>
      </c>
      <c r="Z8" s="666">
        <f t="shared" si="14"/>
        <v>16154.192694105534</v>
      </c>
      <c r="AA8" s="666">
        <f t="shared" si="9"/>
        <v>6154.1926941055335</v>
      </c>
      <c r="AB8" s="723">
        <f t="shared" si="10"/>
        <v>559861.1616274761</v>
      </c>
      <c r="AC8" s="723">
        <f t="shared" si="11"/>
        <v>9722.625093385981</v>
      </c>
      <c r="AD8" s="723">
        <f t="shared" si="12"/>
        <v>9576.7857169851904</v>
      </c>
      <c r="AE8" s="73"/>
      <c r="AF8" s="609" t="s">
        <v>556</v>
      </c>
      <c r="AG8" s="633" t="s">
        <v>402</v>
      </c>
      <c r="AH8" s="387"/>
      <c r="AI8" s="73"/>
      <c r="AJ8" s="73"/>
      <c r="AK8" s="73"/>
      <c r="AL8" s="73"/>
      <c r="AM8" s="73"/>
      <c r="AN8" s="73"/>
      <c r="AO8" s="387"/>
      <c r="AP8" s="73"/>
      <c r="AQ8" s="125"/>
    </row>
    <row r="9" spans="1:43" ht="13" x14ac:dyDescent="0.3">
      <c r="A9" s="185">
        <v>9257008</v>
      </c>
      <c r="B9" s="38" t="s">
        <v>73</v>
      </c>
      <c r="C9" s="39">
        <f>'Band Calculations 1617'!C13</f>
        <v>4</v>
      </c>
      <c r="D9" s="94">
        <f>'Funding Model'!$D$23</f>
        <v>405763.82046267512</v>
      </c>
      <c r="E9" s="94">
        <f>'Funding Model'!$E$23</f>
        <v>88790.687513148558</v>
      </c>
      <c r="F9" s="64"/>
      <c r="G9" s="64"/>
      <c r="H9" s="521">
        <f>VLOOKUP(A9,'Band Calculations 1617'!$A$107:$W$125,6,FALSE)</f>
        <v>33339.078620055436</v>
      </c>
      <c r="I9" s="521">
        <f>VLOOKUP(A9,'Band Calculations 1617'!$A$107:$W$125,13,FALSE)</f>
        <v>686785.01957314194</v>
      </c>
      <c r="J9" s="521">
        <f>VLOOKUP(A9,'Band Calculations 1617'!$A$107:$W$125,20,FALSE)</f>
        <v>66961.216948244939</v>
      </c>
      <c r="K9" s="94">
        <f>VLOOKUP(A9,'FSM Calculation 1516'!$A$4:$D$21,4,FALSE)</f>
        <v>17860</v>
      </c>
      <c r="L9" s="94">
        <v>737.65982379237016</v>
      </c>
      <c r="M9" s="64">
        <f t="shared" si="1"/>
        <v>1300237.4829410585</v>
      </c>
      <c r="N9" s="64">
        <f t="shared" si="2"/>
        <v>1300237.4829410585</v>
      </c>
      <c r="O9" s="137">
        <f>VLOOKUP(A9,'Band Calculations 1617'!$A$107:$W$125,22,FALSE)</f>
        <v>90</v>
      </c>
      <c r="Q9" s="150">
        <f t="shared" si="3"/>
        <v>14447.083143789538</v>
      </c>
      <c r="R9" s="150">
        <f t="shared" si="4"/>
        <v>900000</v>
      </c>
      <c r="S9" s="150">
        <f t="shared" si="5"/>
        <v>4447.0831437895376</v>
      </c>
      <c r="T9" s="94">
        <f>VLOOKUP(A9,'2015-16 Funding Detail'!$A$4:$AA$23,27,FALSE)</f>
        <v>4230.3768966326934</v>
      </c>
      <c r="U9" s="64">
        <f t="shared" si="13"/>
        <v>4447.0831437895376</v>
      </c>
      <c r="V9" s="64">
        <f t="shared" si="6"/>
        <v>14447.083143789538</v>
      </c>
      <c r="W9" s="64">
        <f t="shared" si="0"/>
        <v>0</v>
      </c>
      <c r="X9" s="156">
        <f t="shared" si="7"/>
        <v>1300237.4829410585</v>
      </c>
      <c r="Y9" s="666">
        <f t="shared" si="8"/>
        <v>1280733.9206969426</v>
      </c>
      <c r="Z9" s="666">
        <f t="shared" si="14"/>
        <v>14230.376896632695</v>
      </c>
      <c r="AA9" s="666">
        <f t="shared" si="9"/>
        <v>4230.3768966326952</v>
      </c>
      <c r="AB9" s="723">
        <f t="shared" si="10"/>
        <v>804945.31514144246</v>
      </c>
      <c r="AC9" s="723">
        <f t="shared" si="11"/>
        <v>8943.836834904916</v>
      </c>
      <c r="AD9" s="723">
        <f t="shared" si="12"/>
        <v>8809.679282381343</v>
      </c>
      <c r="AE9" s="73"/>
      <c r="AF9" s="609" t="s">
        <v>556</v>
      </c>
      <c r="AG9" s="633" t="s">
        <v>402</v>
      </c>
      <c r="AH9" s="387"/>
      <c r="AI9" s="73"/>
      <c r="AJ9" s="73"/>
      <c r="AK9" s="73"/>
      <c r="AL9" s="73"/>
      <c r="AM9" s="73"/>
      <c r="AN9" s="73"/>
      <c r="AO9" s="387"/>
      <c r="AP9" s="73"/>
      <c r="AQ9" s="125"/>
    </row>
    <row r="10" spans="1:43" ht="13" x14ac:dyDescent="0.3">
      <c r="A10" s="185">
        <v>9257002</v>
      </c>
      <c r="B10" s="38" t="s">
        <v>75</v>
      </c>
      <c r="C10" s="39">
        <f>'Band Calculations 1617'!C15</f>
        <v>5</v>
      </c>
      <c r="D10" s="94">
        <f>'Funding Model'!$D$24</f>
        <v>418723.18610831723</v>
      </c>
      <c r="E10" s="94">
        <f>'Funding Model'!$E$24</f>
        <v>117027.3922528728</v>
      </c>
      <c r="F10" s="64"/>
      <c r="G10" s="64"/>
      <c r="H10" s="521">
        <f>VLOOKUP(A10,'Band Calculations 1617'!$A$107:$W$125,6,FALSE)</f>
        <v>0</v>
      </c>
      <c r="I10" s="521">
        <f>VLOOKUP(A10,'Band Calculations 1617'!$A$107:$W$125,13,FALSE)</f>
        <v>895616.63706554379</v>
      </c>
      <c r="J10" s="521">
        <f>VLOOKUP(A10,'Band Calculations 1617'!$A$107:$W$125,20,FALSE)</f>
        <v>30142.512093517998</v>
      </c>
      <c r="K10" s="94">
        <f>VLOOKUP(A10,'FSM Calculation 1516'!$A$4:$D$21,4,FALSE)</f>
        <v>18306.5</v>
      </c>
      <c r="L10" s="94">
        <v>873.28306063104901</v>
      </c>
      <c r="M10" s="64">
        <f t="shared" si="1"/>
        <v>1480689.5105808827</v>
      </c>
      <c r="N10" s="64">
        <f t="shared" si="2"/>
        <v>1480689.5105808827</v>
      </c>
      <c r="O10" s="137">
        <f>VLOOKUP(A10,'Band Calculations 1617'!$A$107:$W$125,22,FALSE)</f>
        <v>123.75</v>
      </c>
      <c r="Q10" s="150">
        <f t="shared" si="3"/>
        <v>11965.167762269759</v>
      </c>
      <c r="R10" s="150">
        <f t="shared" si="4"/>
        <v>1237500</v>
      </c>
      <c r="S10" s="150">
        <f t="shared" si="5"/>
        <v>1965.1677622697589</v>
      </c>
      <c r="T10" s="94">
        <f>VLOOKUP(A10,'2015-16 Funding Detail'!$A$4:$AA$23,27,FALSE)</f>
        <v>1516.4415428030661</v>
      </c>
      <c r="U10" s="64">
        <f t="shared" si="13"/>
        <v>1965.1677622697589</v>
      </c>
      <c r="V10" s="64">
        <f t="shared" si="6"/>
        <v>11965.167762269759</v>
      </c>
      <c r="W10" s="64">
        <f t="shared" si="0"/>
        <v>0</v>
      </c>
      <c r="X10" s="156">
        <f t="shared" si="7"/>
        <v>1480689.5105808827</v>
      </c>
      <c r="Y10" s="666">
        <f t="shared" si="8"/>
        <v>1458479.1679221694</v>
      </c>
      <c r="Z10" s="666">
        <f t="shared" si="14"/>
        <v>11785.690245835713</v>
      </c>
      <c r="AA10" s="666">
        <f t="shared" si="9"/>
        <v>1785.6902458357126</v>
      </c>
      <c r="AB10" s="723">
        <f t="shared" si="10"/>
        <v>944065.64915906161</v>
      </c>
      <c r="AC10" s="723">
        <f t="shared" si="11"/>
        <v>7628.8133265378719</v>
      </c>
      <c r="AD10" s="723">
        <f t="shared" si="12"/>
        <v>7514.3811266398034</v>
      </c>
      <c r="AE10" s="73"/>
      <c r="AF10" s="609" t="s">
        <v>556</v>
      </c>
      <c r="AG10" s="633" t="s">
        <v>402</v>
      </c>
      <c r="AH10" s="387"/>
      <c r="AI10" s="73"/>
      <c r="AJ10" s="73"/>
      <c r="AK10" s="73"/>
      <c r="AL10" s="73"/>
      <c r="AM10" s="73"/>
      <c r="AN10" s="73"/>
      <c r="AO10" s="387"/>
      <c r="AP10" s="73"/>
      <c r="AQ10" s="125"/>
    </row>
    <row r="11" spans="1:43" ht="13" x14ac:dyDescent="0.3">
      <c r="A11" s="185">
        <v>9257009</v>
      </c>
      <c r="B11" s="38" t="s">
        <v>76</v>
      </c>
      <c r="C11" s="39">
        <f>'Band Calculations 1617'!C16</f>
        <v>4</v>
      </c>
      <c r="D11" s="94">
        <f>'Funding Model'!$D$23</f>
        <v>405763.82046267512</v>
      </c>
      <c r="E11" s="94">
        <f>'Funding Model'!$E$23</f>
        <v>88790.687513148558</v>
      </c>
      <c r="F11" s="64"/>
      <c r="G11" s="64"/>
      <c r="H11" s="521">
        <f>VLOOKUP(A11,'Band Calculations 1617'!$A$107:$W$125,6,FALSE)</f>
        <v>0</v>
      </c>
      <c r="I11" s="521">
        <f>VLOOKUP(A11,'Band Calculations 1617'!$A$107:$W$125,13,FALSE)</f>
        <v>933221.13569556247</v>
      </c>
      <c r="J11" s="521">
        <f>VLOOKUP(A11,'Band Calculations 1617'!$A$107:$W$125,20,FALSE)</f>
        <v>47005.200422910624</v>
      </c>
      <c r="K11" s="94">
        <f>VLOOKUP(A11,'FSM Calculation 1516'!$A$4:$D$21,4,FALSE)</f>
        <v>15181</v>
      </c>
      <c r="L11" s="94">
        <v>876.23139186667242</v>
      </c>
      <c r="M11" s="64">
        <f t="shared" si="1"/>
        <v>1490838.0754861636</v>
      </c>
      <c r="N11" s="64">
        <f t="shared" si="2"/>
        <v>1490838.0754861636</v>
      </c>
      <c r="O11" s="137">
        <f>VLOOKUP(A11,'Band Calculations 1617'!$A$107:$W$125,22,FALSE)</f>
        <v>128.83333333333334</v>
      </c>
      <c r="Q11" s="150">
        <f t="shared" si="3"/>
        <v>11571.834997305279</v>
      </c>
      <c r="R11" s="150">
        <f t="shared" si="4"/>
        <v>1288333.3333333335</v>
      </c>
      <c r="S11" s="150">
        <f t="shared" si="5"/>
        <v>1571.8349973052791</v>
      </c>
      <c r="T11" s="94">
        <f>VLOOKUP(A11,'2015-16 Funding Detail'!$A$4:$AA$23,27,FALSE)</f>
        <v>1363.2224644549642</v>
      </c>
      <c r="U11" s="64">
        <f t="shared" si="13"/>
        <v>1571.8349973052791</v>
      </c>
      <c r="V11" s="64">
        <f t="shared" si="6"/>
        <v>11571.834997305279</v>
      </c>
      <c r="W11" s="64">
        <f t="shared" si="0"/>
        <v>0</v>
      </c>
      <c r="X11" s="156">
        <f t="shared" si="7"/>
        <v>1490838.0754861636</v>
      </c>
      <c r="Y11" s="666">
        <f t="shared" si="8"/>
        <v>1468475.5043538711</v>
      </c>
      <c r="Z11" s="666">
        <f t="shared" si="14"/>
        <v>11398.2574723457</v>
      </c>
      <c r="AA11" s="666">
        <f t="shared" si="9"/>
        <v>1398.2574723457001</v>
      </c>
      <c r="AB11" s="723">
        <f t="shared" si="10"/>
        <v>995407.33611847332</v>
      </c>
      <c r="AC11" s="723">
        <f t="shared" si="11"/>
        <v>7726.3182622391196</v>
      </c>
      <c r="AD11" s="723">
        <f t="shared" si="12"/>
        <v>7610.4234883055324</v>
      </c>
      <c r="AE11" s="73"/>
      <c r="AF11" s="609" t="s">
        <v>556</v>
      </c>
      <c r="AG11" s="633" t="s">
        <v>402</v>
      </c>
      <c r="AH11" s="387"/>
      <c r="AI11" s="73"/>
      <c r="AJ11" s="73"/>
      <c r="AK11" s="73"/>
      <c r="AL11" s="73"/>
      <c r="AM11" s="73"/>
      <c r="AN11" s="73"/>
      <c r="AO11" s="387"/>
      <c r="AP11" s="73"/>
      <c r="AQ11" s="125"/>
    </row>
    <row r="12" spans="1:43" ht="13" x14ac:dyDescent="0.3">
      <c r="A12" s="185">
        <v>9257028</v>
      </c>
      <c r="B12" s="38" t="s">
        <v>77</v>
      </c>
      <c r="C12" s="39">
        <f>'Band Calculations 1617'!C20</f>
        <v>5</v>
      </c>
      <c r="D12" s="94">
        <f>'Funding Model'!$D$24</f>
        <v>418723.18610831723</v>
      </c>
      <c r="E12" s="94">
        <f>'Funding Model'!$E$24</f>
        <v>117027.3922528728</v>
      </c>
      <c r="F12" s="64"/>
      <c r="G12" s="64"/>
      <c r="H12" s="521">
        <f>VLOOKUP(A12,'Band Calculations 1617'!$A$107:$W$125,6,FALSE)</f>
        <v>0</v>
      </c>
      <c r="I12" s="521">
        <f>VLOOKUP(A12,'Band Calculations 1617'!$A$107:$W$125,13,FALSE)</f>
        <v>713999.9761599357</v>
      </c>
      <c r="J12" s="521">
        <f>VLOOKUP(A12,'Band Calculations 1617'!$A$107:$W$125,20,FALSE)</f>
        <v>44059.732663232084</v>
      </c>
      <c r="K12" s="94">
        <f>VLOOKUP(A12,'FSM Calculation 1516'!$A$4:$D$21,4,FALSE)</f>
        <v>9823</v>
      </c>
      <c r="L12" s="94">
        <v>705.22818020051216</v>
      </c>
      <c r="M12" s="64">
        <f t="shared" si="1"/>
        <v>1304338.5153645584</v>
      </c>
      <c r="N12" s="64">
        <f t="shared" si="2"/>
        <v>1304338.5153645584</v>
      </c>
      <c r="O12" s="137">
        <f>VLOOKUP(A12,'Band Calculations 1617'!$A$107:$W$125,22,FALSE)</f>
        <v>69.833333333333343</v>
      </c>
      <c r="Q12" s="150">
        <f t="shared" si="3"/>
        <v>18677.878501640451</v>
      </c>
      <c r="R12" s="150">
        <f t="shared" si="4"/>
        <v>698333.33333333337</v>
      </c>
      <c r="S12" s="150">
        <f t="shared" si="5"/>
        <v>8677.8785016404508</v>
      </c>
      <c r="T12" s="94">
        <f>VLOOKUP(A12,'2015-16 Funding Detail'!$A$4:$AA$23,27,FALSE)</f>
        <v>7876.7353285933459</v>
      </c>
      <c r="U12" s="64">
        <f t="shared" si="13"/>
        <v>8677.8785016404508</v>
      </c>
      <c r="V12" s="64">
        <f t="shared" si="6"/>
        <v>18677.878501640451</v>
      </c>
      <c r="W12" s="64">
        <f t="shared" si="0"/>
        <v>0</v>
      </c>
      <c r="X12" s="156">
        <f t="shared" si="7"/>
        <v>1304338.5153645584</v>
      </c>
      <c r="Y12" s="666">
        <f t="shared" si="8"/>
        <v>1284773.43763409</v>
      </c>
      <c r="Z12" s="666">
        <f t="shared" si="14"/>
        <v>18397.710324115844</v>
      </c>
      <c r="AA12" s="666">
        <f t="shared" si="9"/>
        <v>8397.7103241158438</v>
      </c>
      <c r="AB12" s="723">
        <f t="shared" si="10"/>
        <v>767882.70882316784</v>
      </c>
      <c r="AC12" s="723">
        <f t="shared" si="11"/>
        <v>10995.93377789739</v>
      </c>
      <c r="AD12" s="723">
        <f t="shared" si="12"/>
        <v>10830.994771228929</v>
      </c>
      <c r="AE12" s="73"/>
      <c r="AF12" s="609" t="s">
        <v>556</v>
      </c>
      <c r="AG12" s="633" t="s">
        <v>402</v>
      </c>
      <c r="AH12" s="387"/>
      <c r="AI12" s="73"/>
      <c r="AJ12" s="73"/>
      <c r="AK12" s="73"/>
      <c r="AL12" s="73"/>
      <c r="AM12" s="73"/>
      <c r="AN12" s="73"/>
      <c r="AO12" s="387"/>
      <c r="AP12" s="73"/>
      <c r="AQ12" s="125"/>
    </row>
    <row r="13" spans="1:43" ht="13" x14ac:dyDescent="0.3">
      <c r="A13" s="185">
        <v>9257021</v>
      </c>
      <c r="B13" s="38" t="s">
        <v>78</v>
      </c>
      <c r="C13" s="39">
        <f>'Band Calculations 1617'!C21</f>
        <v>5</v>
      </c>
      <c r="D13" s="94">
        <f>'Funding Model'!$D$24</f>
        <v>418723.18610831723</v>
      </c>
      <c r="E13" s="94">
        <f>'Funding Model'!$E$24</f>
        <v>117027.3922528728</v>
      </c>
      <c r="F13" s="64"/>
      <c r="G13" s="64"/>
      <c r="H13" s="521">
        <f>VLOOKUP(A13,'Band Calculations 1617'!$A$107:$W$125,6,FALSE)</f>
        <v>0</v>
      </c>
      <c r="I13" s="521">
        <f>VLOOKUP(A13,'Band Calculations 1617'!$A$107:$W$125,13,FALSE)</f>
        <v>1092144.4452133011</v>
      </c>
      <c r="J13" s="521">
        <f>VLOOKUP(A13,'Band Calculations 1617'!$A$107:$W$125,20,FALSE)</f>
        <v>55144.25336132446</v>
      </c>
      <c r="K13" s="94">
        <f>VLOOKUP(A13,'FSM Calculation 1516'!$A$4:$D$21,4,FALSE)</f>
        <v>25897</v>
      </c>
      <c r="L13" s="94">
        <v>908.66303545853043</v>
      </c>
      <c r="M13" s="64">
        <f t="shared" si="1"/>
        <v>1709844.939971274</v>
      </c>
      <c r="N13" s="64">
        <f t="shared" si="2"/>
        <v>1709844.939971274</v>
      </c>
      <c r="O13" s="137">
        <f>VLOOKUP(A13,'Band Calculations 1617'!$A$107:$W$125,22,FALSE)</f>
        <v>148.58333333333334</v>
      </c>
      <c r="Q13" s="150">
        <f t="shared" si="3"/>
        <v>11507.649624035494</v>
      </c>
      <c r="R13" s="150">
        <f t="shared" si="4"/>
        <v>1485833.3333333335</v>
      </c>
      <c r="S13" s="150">
        <f t="shared" si="5"/>
        <v>1507.6496240354936</v>
      </c>
      <c r="T13" s="94">
        <f>VLOOKUP(A13,'2015-16 Funding Detail'!$A$4:$AA$23,27,FALSE)</f>
        <v>1357.2953884759409</v>
      </c>
      <c r="U13" s="64">
        <f t="shared" si="13"/>
        <v>1507.6496240354936</v>
      </c>
      <c r="V13" s="64">
        <f t="shared" si="6"/>
        <v>11507.649624035494</v>
      </c>
      <c r="W13" s="64">
        <f t="shared" si="0"/>
        <v>0</v>
      </c>
      <c r="X13" s="156">
        <f t="shared" si="7"/>
        <v>1709844.939971274</v>
      </c>
      <c r="Y13" s="666">
        <f t="shared" si="8"/>
        <v>1684197.2658717048</v>
      </c>
      <c r="Z13" s="666">
        <f t="shared" si="14"/>
        <v>11335.034879674962</v>
      </c>
      <c r="AA13" s="666">
        <f t="shared" si="9"/>
        <v>1335.0348796749622</v>
      </c>
      <c r="AB13" s="723">
        <f t="shared" si="10"/>
        <v>1173185.6985746257</v>
      </c>
      <c r="AC13" s="723">
        <f t="shared" si="11"/>
        <v>7895.8095248993304</v>
      </c>
      <c r="AD13" s="723">
        <f t="shared" si="12"/>
        <v>7777.3723820258401</v>
      </c>
      <c r="AE13" s="73"/>
      <c r="AF13" s="609" t="s">
        <v>556</v>
      </c>
      <c r="AG13" s="633" t="s">
        <v>402</v>
      </c>
      <c r="AH13" s="387"/>
      <c r="AI13" s="73"/>
      <c r="AJ13" s="73"/>
      <c r="AK13" s="73"/>
      <c r="AL13" s="73"/>
      <c r="AM13" s="73"/>
      <c r="AN13" s="73"/>
      <c r="AO13" s="387"/>
      <c r="AP13" s="73"/>
      <c r="AQ13" s="125"/>
    </row>
    <row r="14" spans="1:43" s="40" customFormat="1" ht="12.75" customHeight="1" x14ac:dyDescent="0.3">
      <c r="A14" s="131">
        <v>9257015</v>
      </c>
      <c r="B14" s="38" t="s">
        <v>55</v>
      </c>
      <c r="C14" s="39">
        <f>'Band Calculations 1617'!C22</f>
        <v>6</v>
      </c>
      <c r="D14" s="94">
        <f>'Funding Model'!$D$25</f>
        <v>493762.11190507573</v>
      </c>
      <c r="E14" s="94">
        <f>'Funding Model'!$E$25</f>
        <v>131719.7894229154</v>
      </c>
      <c r="F14" s="94"/>
      <c r="G14" s="645">
        <v>41787</v>
      </c>
      <c r="H14" s="521">
        <f>VLOOKUP(A14,'Band Calculations 1617'!$A$107:$W$125,6,FALSE)</f>
        <v>29875.568123471203</v>
      </c>
      <c r="I14" s="521">
        <f>VLOOKUP(A14,'Band Calculations 1617'!$A$107:$W$125,13,FALSE)</f>
        <v>1926376.6326014232</v>
      </c>
      <c r="J14" s="521">
        <f>VLOOKUP(A14,'Band Calculations 1617'!$A$107:$W$125,20,FALSE)</f>
        <v>46382.50961899414</v>
      </c>
      <c r="K14" s="94">
        <f>VLOOKUP(A14,'FSM Calculation 1516'!$A$4:$D$21,4,FALSE)</f>
        <v>51794</v>
      </c>
      <c r="L14" s="94">
        <v>1056.0795972397032</v>
      </c>
      <c r="M14" s="94">
        <f t="shared" si="1"/>
        <v>2722753.6912691197</v>
      </c>
      <c r="N14" s="94">
        <f>M14-F14-G14</f>
        <v>2680966.6912691197</v>
      </c>
      <c r="O14" s="137">
        <f>VLOOKUP(A14,'Band Calculations 1617'!$A$107:$W$125,22,FALSE)</f>
        <v>272.83333333333337</v>
      </c>
      <c r="Q14" s="247">
        <f t="shared" si="3"/>
        <v>9826.3898274983003</v>
      </c>
      <c r="R14" s="247">
        <f>O14*10000</f>
        <v>2728333.3333333335</v>
      </c>
      <c r="S14" s="247">
        <f>Q14-10000</f>
        <v>-173.61017250169971</v>
      </c>
      <c r="T14" s="333">
        <f>VLOOKUP(A14,'2015-16 Funding Detail'!$A$4:$AA$23,27,FALSE)</f>
        <v>-12.242151675669447</v>
      </c>
      <c r="U14" s="645">
        <f>IF(S14&gt;T14,(S14),(IF(T14&gt;0,(T14),(0))))</f>
        <v>0</v>
      </c>
      <c r="V14" s="94">
        <f t="shared" si="6"/>
        <v>10000</v>
      </c>
      <c r="W14" s="64">
        <f>(U14-S14)*O14</f>
        <v>47366.642064213745</v>
      </c>
      <c r="X14" s="156">
        <f t="shared" si="7"/>
        <v>2728333.3333333335</v>
      </c>
      <c r="Y14" s="666">
        <f t="shared" si="8"/>
        <v>2687408.3333333335</v>
      </c>
      <c r="Z14" s="666">
        <f t="shared" si="14"/>
        <v>9850</v>
      </c>
      <c r="AA14" s="666">
        <f t="shared" si="9"/>
        <v>-150</v>
      </c>
      <c r="AB14" s="723">
        <f t="shared" si="10"/>
        <v>2101795.3524081027</v>
      </c>
      <c r="AC14" s="723">
        <f t="shared" si="11"/>
        <v>7703.5871193943885</v>
      </c>
      <c r="AD14" s="723">
        <f t="shared" si="12"/>
        <v>7588.033312603473</v>
      </c>
      <c r="AE14" s="73"/>
      <c r="AF14" s="609" t="s">
        <v>556</v>
      </c>
      <c r="AG14" s="633" t="s">
        <v>402</v>
      </c>
      <c r="AH14" s="1888" t="s">
        <v>601</v>
      </c>
      <c r="AI14" s="1888"/>
      <c r="AJ14" s="1888"/>
      <c r="AK14" s="1888"/>
      <c r="AL14" s="1888"/>
      <c r="AM14" s="1888"/>
      <c r="AN14" s="1888"/>
      <c r="AO14" s="1888"/>
      <c r="AP14" s="73"/>
      <c r="AQ14" s="125"/>
    </row>
    <row r="15" spans="1:43" ht="13" x14ac:dyDescent="0.3">
      <c r="A15" s="185">
        <v>9257016</v>
      </c>
      <c r="B15" s="38" t="s">
        <v>80</v>
      </c>
      <c r="C15" s="39">
        <f>'Band Calculations 1617'!C23</f>
        <v>6</v>
      </c>
      <c r="D15" s="94">
        <f>'Funding Model'!$D$25</f>
        <v>493762.11190507573</v>
      </c>
      <c r="E15" s="94">
        <f>'Funding Model'!$E$25</f>
        <v>131719.7894229154</v>
      </c>
      <c r="F15" s="64"/>
      <c r="G15" s="64"/>
      <c r="H15" s="521">
        <f>VLOOKUP(A15,'Band Calculations 1617'!$A$107:$W$125,6,FALSE)</f>
        <v>0</v>
      </c>
      <c r="I15" s="521">
        <f>VLOOKUP(A15,'Band Calculations 1617'!$A$107:$W$125,13,FALSE)</f>
        <v>1451942.8180361402</v>
      </c>
      <c r="J15" s="521">
        <f>VLOOKUP(A15,'Band Calculations 1617'!$A$107:$W$125,20,FALSE)</f>
        <v>0</v>
      </c>
      <c r="K15" s="94">
        <f>VLOOKUP(A15,'FSM Calculation 1516'!$A$4:$D$21,4,FALSE)</f>
        <v>12948.5</v>
      </c>
      <c r="L15" s="94">
        <v>832.00642333232065</v>
      </c>
      <c r="M15" s="64">
        <f t="shared" si="1"/>
        <v>2091205.2257874636</v>
      </c>
      <c r="N15" s="64">
        <f t="shared" si="2"/>
        <v>2091205.2257874636</v>
      </c>
      <c r="O15" s="137">
        <f>VLOOKUP(A15,'Band Calculations 1617'!$A$107:$W$125,22,FALSE)</f>
        <v>143.5</v>
      </c>
      <c r="Q15" s="150">
        <f t="shared" si="3"/>
        <v>14572.858716288945</v>
      </c>
      <c r="R15" s="150">
        <f t="shared" si="4"/>
        <v>1435000</v>
      </c>
      <c r="S15" s="150">
        <f t="shared" si="5"/>
        <v>4572.8587162889453</v>
      </c>
      <c r="T15" s="333">
        <f>VLOOKUP(A15,'2015-16 Funding Detail'!$A$4:$AA$23,27,FALSE)</f>
        <v>6356.9640124558118</v>
      </c>
      <c r="U15" s="64">
        <f t="shared" si="13"/>
        <v>6356.9640124558118</v>
      </c>
      <c r="V15" s="64">
        <f t="shared" si="6"/>
        <v>16356.964012455812</v>
      </c>
      <c r="W15" s="64">
        <f t="shared" si="0"/>
        <v>256019.10999994536</v>
      </c>
      <c r="X15" s="156">
        <f t="shared" si="7"/>
        <v>2347224.335787409</v>
      </c>
      <c r="Y15" s="666">
        <f t="shared" si="8"/>
        <v>2312015.9707505978</v>
      </c>
      <c r="Z15" s="666">
        <f t="shared" si="14"/>
        <v>16111.609552268974</v>
      </c>
      <c r="AA15" s="666">
        <f t="shared" si="9"/>
        <v>6111.6095522689739</v>
      </c>
      <c r="AB15" s="723">
        <f t="shared" si="10"/>
        <v>1720910.4280360858</v>
      </c>
      <c r="AC15" s="723">
        <f t="shared" si="11"/>
        <v>11992.407164014536</v>
      </c>
      <c r="AD15" s="723">
        <f t="shared" si="12"/>
        <v>11812.521056554318</v>
      </c>
      <c r="AE15" s="73"/>
      <c r="AF15" s="609" t="s">
        <v>556</v>
      </c>
      <c r="AG15" s="633" t="s">
        <v>402</v>
      </c>
      <c r="AH15" s="1888"/>
      <c r="AI15" s="1888"/>
      <c r="AJ15" s="1888"/>
      <c r="AK15" s="1888"/>
      <c r="AL15" s="1888"/>
      <c r="AM15" s="1888"/>
      <c r="AN15" s="1888"/>
      <c r="AO15" s="1888"/>
      <c r="AP15" s="73"/>
      <c r="AQ15" s="125"/>
    </row>
    <row r="16" spans="1:43" ht="13" x14ac:dyDescent="0.3">
      <c r="A16" s="185"/>
      <c r="B16" s="38"/>
      <c r="C16" s="39"/>
      <c r="D16" s="64"/>
      <c r="E16" s="64"/>
      <c r="F16" s="64"/>
      <c r="G16" s="64"/>
      <c r="H16" s="64"/>
      <c r="I16" s="64"/>
      <c r="J16" s="64"/>
      <c r="K16" s="94"/>
      <c r="L16" s="94"/>
      <c r="M16" s="64"/>
      <c r="N16" s="64"/>
      <c r="O16" s="137"/>
      <c r="Q16" s="150"/>
      <c r="R16" s="150"/>
      <c r="S16" s="150"/>
      <c r="T16" s="94"/>
      <c r="U16" s="64"/>
      <c r="V16" s="64"/>
      <c r="W16" s="64"/>
      <c r="X16" s="156"/>
      <c r="Y16" s="666"/>
      <c r="Z16" s="666"/>
      <c r="AA16" s="666"/>
      <c r="AB16" s="73"/>
      <c r="AC16" s="73"/>
      <c r="AD16" s="73"/>
      <c r="AE16" s="73"/>
      <c r="AF16" s="61"/>
      <c r="AG16" s="633"/>
      <c r="AH16" s="1888"/>
      <c r="AI16" s="1888"/>
      <c r="AJ16" s="1888"/>
      <c r="AK16" s="1888"/>
      <c r="AL16" s="1888"/>
      <c r="AM16" s="1888"/>
      <c r="AN16" s="1888"/>
      <c r="AO16" s="1888"/>
      <c r="AP16" s="73"/>
      <c r="AQ16" s="125"/>
    </row>
    <row r="17" spans="1:43" ht="13" x14ac:dyDescent="0.3">
      <c r="A17" s="185">
        <v>9257031</v>
      </c>
      <c r="B17" s="43" t="s">
        <v>81</v>
      </c>
      <c r="C17" s="39">
        <f>'Band Calculations 1617'!C11</f>
        <v>4</v>
      </c>
      <c r="D17" s="94">
        <f>'Funding Model'!D27</f>
        <v>360067.26321081078</v>
      </c>
      <c r="E17" s="94">
        <f>'Funding Model'!E27</f>
        <v>58044.118057617408</v>
      </c>
      <c r="F17" s="94">
        <v>164817</v>
      </c>
      <c r="G17" s="64"/>
      <c r="H17" s="521">
        <f>VLOOKUP(A17,'Band Calculations 1617'!$A$107:$W$125,6,FALSE)</f>
        <v>0</v>
      </c>
      <c r="I17" s="521">
        <f>VLOOKUP(A17,'Band Calculations 1617'!$A$107:$W$125,13,FALSE)</f>
        <v>765827.35179533949</v>
      </c>
      <c r="J17" s="521">
        <f>VLOOKUP(A17,'Band Calculations 1617'!$A$107:$W$125,20,FALSE)</f>
        <v>172595.63674044155</v>
      </c>
      <c r="K17" s="94">
        <f>VLOOKUP(A17,'FSM Calculation 1516'!$A$4:$D$21,4,FALSE)</f>
        <v>12055.5</v>
      </c>
      <c r="L17" s="94">
        <v>669.84820537303062</v>
      </c>
      <c r="M17" s="64">
        <f>SUM(D17:L17)</f>
        <v>1534076.718009582</v>
      </c>
      <c r="N17" s="64">
        <f>M17-F17</f>
        <v>1369259.718009582</v>
      </c>
      <c r="O17" s="137">
        <f>VLOOKUP(A17,'Band Calculations 1617'!$A$107:$W$125,22,FALSE)</f>
        <v>65.5</v>
      </c>
      <c r="Q17" s="150">
        <f t="shared" si="3"/>
        <v>20904.728519230259</v>
      </c>
      <c r="R17" s="150">
        <f t="shared" si="4"/>
        <v>655000</v>
      </c>
      <c r="S17" s="150">
        <f t="shared" si="5"/>
        <v>10904.728519230259</v>
      </c>
      <c r="T17" s="94">
        <f>VLOOKUP(A17,'2015-16 Funding Detail'!$A$4:$AA$23,27,FALSE)</f>
        <v>9771.6528176273168</v>
      </c>
      <c r="U17" s="64">
        <f t="shared" si="13"/>
        <v>10904.728519230259</v>
      </c>
      <c r="V17" s="64">
        <f t="shared" si="6"/>
        <v>20904.728519230259</v>
      </c>
      <c r="W17" s="64">
        <f>(U17-S17)*O17</f>
        <v>0</v>
      </c>
      <c r="X17" s="156">
        <f>N17+W17</f>
        <v>1369259.718009582</v>
      </c>
      <c r="Y17" s="666">
        <f t="shared" si="8"/>
        <v>1348720.8222394383</v>
      </c>
      <c r="Z17" s="666">
        <f t="shared" si="14"/>
        <v>20591.157591441806</v>
      </c>
      <c r="AA17" s="666">
        <f t="shared" si="9"/>
        <v>10591.157591441806</v>
      </c>
      <c r="AB17" s="723">
        <f t="shared" si="10"/>
        <v>950478.48853578081</v>
      </c>
      <c r="AC17" s="723">
        <f t="shared" si="11"/>
        <v>14511.121962378333</v>
      </c>
      <c r="AD17" s="723">
        <f t="shared" si="12"/>
        <v>14293.455132942658</v>
      </c>
      <c r="AE17" s="73"/>
      <c r="AF17" s="609" t="s">
        <v>556</v>
      </c>
      <c r="AG17" s="633" t="s">
        <v>402</v>
      </c>
      <c r="AH17" s="387"/>
      <c r="AI17" s="73"/>
      <c r="AJ17" s="73"/>
      <c r="AK17" s="73"/>
      <c r="AL17" s="73"/>
      <c r="AM17" s="73"/>
      <c r="AN17" s="73"/>
      <c r="AO17" s="387"/>
      <c r="AP17" s="73"/>
      <c r="AQ17" s="125"/>
    </row>
    <row r="18" spans="1:43" ht="13" x14ac:dyDescent="0.3">
      <c r="A18" s="185">
        <v>9257029</v>
      </c>
      <c r="B18" s="43" t="s">
        <v>84</v>
      </c>
      <c r="C18" s="39">
        <f>'Band Calculations 1617'!C17</f>
        <v>3</v>
      </c>
      <c r="D18" s="94">
        <f>'Funding Model'!$D$26</f>
        <v>280697.16623783787</v>
      </c>
      <c r="E18" s="94">
        <f>'Funding Model'!$E$26</f>
        <v>55663.058379368813</v>
      </c>
      <c r="F18" s="94">
        <v>233134</v>
      </c>
      <c r="G18" s="64"/>
      <c r="H18" s="521">
        <f>VLOOKUP(A18,'Band Calculations 1617'!$A$107:$W$125,6,FALSE)</f>
        <v>0</v>
      </c>
      <c r="I18" s="521">
        <f>VLOOKUP(A18,'Band Calculations 1617'!$A$107:$W$125,13,FALSE)</f>
        <v>568037.33600086882</v>
      </c>
      <c r="J18" s="521">
        <f>VLOOKUP(A18,'Band Calculations 1617'!$A$107:$W$125,20,FALSE)</f>
        <v>128019.40994869902</v>
      </c>
      <c r="K18" s="94">
        <f>VLOOKUP(A18,'FSM Calculation 1516'!$A$4:$D$21,4,FALSE)</f>
        <v>7144</v>
      </c>
      <c r="L18" s="94">
        <v>672.79653660865415</v>
      </c>
      <c r="M18" s="64">
        <f>SUM(D18:L18)</f>
        <v>1273367.7671033831</v>
      </c>
      <c r="N18" s="64">
        <f>M18-F18</f>
        <v>1040233.7671033831</v>
      </c>
      <c r="O18" s="137">
        <f>VLOOKUP(A18,'Band Calculations 1617'!$A$107:$W$125,22,FALSE)</f>
        <v>48.583333333333336</v>
      </c>
      <c r="Q18" s="150">
        <f t="shared" si="3"/>
        <v>21411.329683088501</v>
      </c>
      <c r="R18" s="150">
        <f t="shared" si="4"/>
        <v>485833.33333333337</v>
      </c>
      <c r="S18" s="150">
        <f t="shared" si="5"/>
        <v>11411.329683088501</v>
      </c>
      <c r="T18" s="333">
        <f>VLOOKUP(A18,'2015-16 Funding Detail'!$A$4:$AA$23,27,FALSE)</f>
        <v>11536.412596744143</v>
      </c>
      <c r="U18" s="64">
        <f t="shared" si="13"/>
        <v>11536.412596744143</v>
      </c>
      <c r="V18" s="64">
        <f t="shared" si="6"/>
        <v>21536.412596744143</v>
      </c>
      <c r="W18" s="64">
        <f>(U18-S18)*O18</f>
        <v>6076.9448884366166</v>
      </c>
      <c r="X18" s="156">
        <f>N18+W18</f>
        <v>1046310.7119918197</v>
      </c>
      <c r="Y18" s="666">
        <f t="shared" si="8"/>
        <v>1030616.0513119424</v>
      </c>
      <c r="Z18" s="666">
        <f t="shared" si="14"/>
        <v>21213.366407792982</v>
      </c>
      <c r="AA18" s="666">
        <f t="shared" si="9"/>
        <v>11213.366407792982</v>
      </c>
      <c r="AB18" s="723">
        <f t="shared" si="10"/>
        <v>709277.69083800435</v>
      </c>
      <c r="AC18" s="723">
        <f t="shared" si="11"/>
        <v>14599.197753097858</v>
      </c>
      <c r="AD18" s="723">
        <f t="shared" si="12"/>
        <v>14380.20978680139</v>
      </c>
      <c r="AE18" s="73"/>
      <c r="AF18" s="609" t="s">
        <v>556</v>
      </c>
      <c r="AG18" s="633" t="s">
        <v>402</v>
      </c>
      <c r="AH18" s="387"/>
      <c r="AI18" s="73"/>
      <c r="AJ18" s="73"/>
      <c r="AK18" s="73"/>
      <c r="AL18" s="73"/>
      <c r="AM18" s="73"/>
      <c r="AN18" s="73"/>
      <c r="AO18" s="387"/>
      <c r="AP18" s="73"/>
      <c r="AQ18" s="125"/>
    </row>
    <row r="19" spans="1:43" ht="13" x14ac:dyDescent="0.3">
      <c r="A19" s="185">
        <v>9257032</v>
      </c>
      <c r="B19" s="43" t="s">
        <v>82</v>
      </c>
      <c r="C19" s="39">
        <f>'Band Calculations 1617'!C18</f>
        <v>4</v>
      </c>
      <c r="D19" s="94">
        <f>'Funding Model'!$D$27</f>
        <v>360067.26321081078</v>
      </c>
      <c r="E19" s="94">
        <f>'Funding Model'!$E$27</f>
        <v>58044.118057617408</v>
      </c>
      <c r="F19" s="94">
        <v>206948</v>
      </c>
      <c r="G19" s="64"/>
      <c r="H19" s="521">
        <f>VLOOKUP(A19,'Band Calculations 1617'!$A$107:$W$125,6,FALSE)</f>
        <v>0</v>
      </c>
      <c r="I19" s="521">
        <f>VLOOKUP(A19,'Band Calculations 1617'!$A$107:$W$125,13,FALSE)</f>
        <v>701521.23828580719</v>
      </c>
      <c r="J19" s="521">
        <f>VLOOKUP(A19,'Band Calculations 1617'!$A$107:$W$125,20,FALSE)</f>
        <v>158102.87335002277</v>
      </c>
      <c r="K19" s="94">
        <f>VLOOKUP(A19,'FSM Calculation 1516'!$A$4:$D$21,4,FALSE)</f>
        <v>4911.5</v>
      </c>
      <c r="L19" s="94">
        <v>663.9515429017838</v>
      </c>
      <c r="M19" s="64">
        <f>SUM(D19:L19)</f>
        <v>1490258.94444716</v>
      </c>
      <c r="N19" s="64">
        <f>M19-F19</f>
        <v>1283310.94444716</v>
      </c>
      <c r="O19" s="137">
        <f>VLOOKUP(A19,'Band Calculations 1617'!$A$107:$W$125,22,FALSE)</f>
        <v>60</v>
      </c>
      <c r="Q19" s="150">
        <f t="shared" si="3"/>
        <v>21388.515740785999</v>
      </c>
      <c r="R19" s="150">
        <f t="shared" si="4"/>
        <v>600000</v>
      </c>
      <c r="S19" s="150">
        <f t="shared" si="5"/>
        <v>11388.515740785999</v>
      </c>
      <c r="T19" s="94">
        <f>VLOOKUP(A19,'2015-16 Funding Detail'!$A$4:$AA$23,27,FALSE)</f>
        <v>11115.862325578873</v>
      </c>
      <c r="U19" s="64">
        <f t="shared" si="13"/>
        <v>11388.515740785999</v>
      </c>
      <c r="V19" s="64">
        <f t="shared" si="6"/>
        <v>21388.515740785999</v>
      </c>
      <c r="W19" s="64">
        <f>(U19-S19)*O19</f>
        <v>0</v>
      </c>
      <c r="X19" s="156">
        <f>N19+W19</f>
        <v>1283310.94444716</v>
      </c>
      <c r="Y19" s="666">
        <f t="shared" si="8"/>
        <v>1264061.2802804527</v>
      </c>
      <c r="Z19" s="666">
        <f t="shared" si="14"/>
        <v>21067.688004674212</v>
      </c>
      <c r="AA19" s="666">
        <f t="shared" si="9"/>
        <v>11067.688004674212</v>
      </c>
      <c r="AB19" s="723">
        <f t="shared" si="10"/>
        <v>864535.61163583002</v>
      </c>
      <c r="AC19" s="723">
        <f t="shared" si="11"/>
        <v>14408.926860597167</v>
      </c>
      <c r="AD19" s="723">
        <f t="shared" si="12"/>
        <v>14192.792957688209</v>
      </c>
      <c r="AE19" s="73"/>
      <c r="AF19" s="609" t="s">
        <v>556</v>
      </c>
      <c r="AG19" s="633" t="s">
        <v>402</v>
      </c>
      <c r="AH19" s="387"/>
      <c r="AI19" s="73"/>
      <c r="AJ19" s="73"/>
      <c r="AK19" s="73"/>
      <c r="AL19" s="73"/>
      <c r="AM19" s="73"/>
      <c r="AN19" s="73"/>
      <c r="AO19" s="387"/>
      <c r="AP19" s="73"/>
      <c r="AQ19" s="125"/>
    </row>
    <row r="20" spans="1:43" ht="13" x14ac:dyDescent="0.3">
      <c r="A20" s="185">
        <v>9257030</v>
      </c>
      <c r="B20" s="43" t="s">
        <v>83</v>
      </c>
      <c r="C20" s="39">
        <f>'Band Calculations 1617'!C19</f>
        <v>4</v>
      </c>
      <c r="D20" s="94">
        <f>'Funding Model'!$D$27</f>
        <v>360067.26321081078</v>
      </c>
      <c r="E20" s="94">
        <f>'Funding Model'!$E$27</f>
        <v>58044.118057617408</v>
      </c>
      <c r="F20" s="94">
        <v>254108</v>
      </c>
      <c r="G20" s="64"/>
      <c r="H20" s="521">
        <f>VLOOKUP(A20,'Band Calculations 1617'!$A$107:$W$125,6,FALSE)</f>
        <v>0</v>
      </c>
      <c r="I20" s="521">
        <f>VLOOKUP(A20,'Band Calculations 1617'!$A$107:$W$125,13,FALSE)</f>
        <v>735622.96514692286</v>
      </c>
      <c r="J20" s="521">
        <f>VLOOKUP(A20,'Band Calculations 1617'!$A$107:$W$125,20,FALSE)</f>
        <v>165788.42969342667</v>
      </c>
      <c r="K20" s="94">
        <f>VLOOKUP(A20,'FSM Calculation 1516'!$A$4:$D$21,4,FALSE)</f>
        <v>12948.5</v>
      </c>
      <c r="L20" s="94">
        <v>652.15821795928991</v>
      </c>
      <c r="M20" s="64">
        <f>SUM(D20:L20)</f>
        <v>1587231.4343267372</v>
      </c>
      <c r="N20" s="64">
        <f>M20-F20</f>
        <v>1333123.4343267372</v>
      </c>
      <c r="O20" s="137">
        <f>VLOOKUP(A20,'Band Calculations 1617'!$A$107:$W$125,22,FALSE)</f>
        <v>62.916666666666671</v>
      </c>
      <c r="Q20" s="150">
        <f t="shared" si="3"/>
        <v>21188.716836981253</v>
      </c>
      <c r="R20" s="150">
        <f t="shared" si="4"/>
        <v>629166.66666666674</v>
      </c>
      <c r="S20" s="150">
        <f t="shared" si="5"/>
        <v>11188.716836981253</v>
      </c>
      <c r="T20" s="333">
        <f>VLOOKUP(A20,'2015-16 Funding Detail'!$A$4:$AA$23,27,FALSE)</f>
        <v>11454.373012634154</v>
      </c>
      <c r="U20" s="64">
        <f t="shared" si="13"/>
        <v>11454.373012634154</v>
      </c>
      <c r="V20" s="64">
        <f t="shared" si="6"/>
        <v>21454.373012634154</v>
      </c>
      <c r="W20" s="64">
        <f>(U20-S20)*O20</f>
        <v>16714.201051495013</v>
      </c>
      <c r="X20" s="156">
        <f>N20+W20</f>
        <v>1349837.6353782322</v>
      </c>
      <c r="Y20" s="547">
        <f t="shared" si="8"/>
        <v>1329590.0708475588</v>
      </c>
      <c r="Z20" s="547">
        <f t="shared" si="14"/>
        <v>21132.557417444641</v>
      </c>
      <c r="AA20" s="547">
        <f t="shared" si="9"/>
        <v>11132.557417444641</v>
      </c>
      <c r="AB20" s="723">
        <f t="shared" si="10"/>
        <v>931074.09589184471</v>
      </c>
      <c r="AC20" s="723">
        <f t="shared" si="11"/>
        <v>14798.528676426669</v>
      </c>
      <c r="AD20" s="723">
        <f t="shared" si="12"/>
        <v>14576.550746280269</v>
      </c>
      <c r="AE20" s="549"/>
      <c r="AF20" s="609" t="s">
        <v>556</v>
      </c>
      <c r="AG20" s="633" t="s">
        <v>402</v>
      </c>
      <c r="AH20" s="387"/>
      <c r="AI20" s="73"/>
      <c r="AJ20" s="73"/>
      <c r="AK20" s="73"/>
      <c r="AL20" s="73"/>
      <c r="AM20" s="73"/>
      <c r="AN20" s="73"/>
      <c r="AO20" s="387"/>
      <c r="AP20" s="73"/>
      <c r="AQ20" s="125"/>
    </row>
    <row r="21" spans="1:43" ht="13" x14ac:dyDescent="0.3">
      <c r="A21" s="185"/>
      <c r="B21" s="43"/>
      <c r="C21" s="39"/>
      <c r="D21" s="94"/>
      <c r="E21" s="94"/>
      <c r="F21" s="64"/>
      <c r="G21" s="64"/>
      <c r="H21" s="64"/>
      <c r="I21" s="64"/>
      <c r="J21" s="64"/>
      <c r="K21" s="94"/>
      <c r="L21" s="94"/>
      <c r="M21" s="64"/>
      <c r="N21" s="64"/>
      <c r="O21" s="137"/>
      <c r="Q21" s="150"/>
      <c r="R21" s="150"/>
      <c r="S21" s="150"/>
      <c r="T21" s="94"/>
      <c r="U21" s="64"/>
      <c r="V21" s="64"/>
      <c r="W21" s="64"/>
      <c r="X21" s="156"/>
      <c r="Y21" s="666"/>
      <c r="Z21" s="666"/>
      <c r="AA21" s="666"/>
      <c r="AB21" s="73"/>
      <c r="AC21" s="73"/>
      <c r="AD21" s="73"/>
      <c r="AE21" s="73"/>
      <c r="AF21" s="61"/>
      <c r="AG21" s="633"/>
      <c r="AH21" s="387"/>
      <c r="AI21" s="73"/>
      <c r="AJ21" s="73"/>
      <c r="AK21" s="73"/>
      <c r="AL21" s="73"/>
      <c r="AM21" s="73"/>
      <c r="AN21" s="73"/>
      <c r="AO21" s="387"/>
      <c r="AP21" s="73"/>
      <c r="AQ21" s="125"/>
    </row>
    <row r="22" spans="1:43" ht="13" x14ac:dyDescent="0.3">
      <c r="A22" s="185">
        <v>9257033</v>
      </c>
      <c r="B22" s="38" t="s">
        <v>72</v>
      </c>
      <c r="C22" s="39">
        <f>'Band Calculations 1617'!C12</f>
        <v>3</v>
      </c>
      <c r="D22" s="94">
        <f>'Funding Model'!$D$22</f>
        <v>314686.51772419503</v>
      </c>
      <c r="E22" s="94">
        <f>'Funding Model'!$E$22</f>
        <v>69201.680689977453</v>
      </c>
      <c r="F22" s="64"/>
      <c r="G22" s="64"/>
      <c r="H22" s="521">
        <f>VLOOKUP(A22,'Band Calculations 1617'!$A$107:$W$125,6,FALSE)</f>
        <v>37262.62377713446</v>
      </c>
      <c r="I22" s="521">
        <f>VLOOKUP(A22,'Band Calculations 1617'!$A$107:$W$125,13,FALSE)</f>
        <v>483668.85662720527</v>
      </c>
      <c r="J22" s="521">
        <f>VLOOKUP(A22,'Band Calculations 1617'!$A$107:$W$125,20,FALSE)</f>
        <v>53024.350024284162</v>
      </c>
      <c r="K22" s="94">
        <f>VLOOKUP(A22,'FSM Calculation 1516'!$A$4:$D$21,4,FALSE)</f>
        <v>11609</v>
      </c>
      <c r="L22" s="94">
        <v>666.89987413740721</v>
      </c>
      <c r="M22" s="64">
        <f>SUM(D22:L22)</f>
        <v>970119.92871693382</v>
      </c>
      <c r="N22" s="64">
        <f>M22-F22</f>
        <v>970119.92871693382</v>
      </c>
      <c r="O22" s="137">
        <f>VLOOKUP(A22,'Band Calculations 1617'!$A$107:$W$125,22,FALSE)</f>
        <v>58.25</v>
      </c>
      <c r="Q22" s="150">
        <f t="shared" si="3"/>
        <v>16654.419377114744</v>
      </c>
      <c r="R22" s="150">
        <f t="shared" si="4"/>
        <v>582500</v>
      </c>
      <c r="S22" s="150">
        <f t="shared" si="5"/>
        <v>6654.4193771147438</v>
      </c>
      <c r="T22" s="94">
        <f>VLOOKUP(A22,'2015-16 Funding Detail'!$A$4:$AA$23,27,FALSE)</f>
        <v>6209.2131395554534</v>
      </c>
      <c r="U22" s="64">
        <f t="shared" si="13"/>
        <v>6654.4193771147438</v>
      </c>
      <c r="V22" s="64">
        <f t="shared" si="6"/>
        <v>16654.419377114744</v>
      </c>
      <c r="W22" s="64">
        <f>(U22-S22)*O22</f>
        <v>0</v>
      </c>
      <c r="X22" s="156">
        <f>N22+W22</f>
        <v>970119.92871693382</v>
      </c>
      <c r="Y22" s="666">
        <f t="shared" si="8"/>
        <v>955568.12978617975</v>
      </c>
      <c r="Z22" s="666">
        <f t="shared" si="14"/>
        <v>16404.603086458021</v>
      </c>
      <c r="AA22" s="666">
        <f t="shared" si="9"/>
        <v>6404.6030864580207</v>
      </c>
      <c r="AB22" s="723">
        <f>X22-D22-E22-L22</f>
        <v>585564.83042862394</v>
      </c>
      <c r="AC22" s="723">
        <f t="shared" si="11"/>
        <v>10052.615114654489</v>
      </c>
      <c r="AD22" s="723">
        <f t="shared" si="12"/>
        <v>9901.8258879346722</v>
      </c>
      <c r="AE22" s="73"/>
      <c r="AF22" s="609" t="s">
        <v>556</v>
      </c>
      <c r="AG22" s="633" t="s">
        <v>402</v>
      </c>
      <c r="AH22" s="387"/>
      <c r="AI22" s="73"/>
      <c r="AJ22" s="73"/>
      <c r="AK22" s="73"/>
      <c r="AL22" s="73"/>
      <c r="AM22" s="73"/>
      <c r="AN22" s="73"/>
      <c r="AO22" s="387"/>
      <c r="AP22" s="73"/>
      <c r="AQ22" s="125"/>
    </row>
    <row r="23" spans="1:43" ht="13" x14ac:dyDescent="0.3">
      <c r="A23" s="185">
        <v>9257034</v>
      </c>
      <c r="B23" s="38" t="s">
        <v>74</v>
      </c>
      <c r="C23" s="39">
        <f>'Band Calculations 1617'!C14</f>
        <v>5</v>
      </c>
      <c r="D23" s="94">
        <f>'Funding Model'!D24</f>
        <v>418723.18610831723</v>
      </c>
      <c r="E23" s="94">
        <f>'Funding Model'!E24</f>
        <v>117027.3922528728</v>
      </c>
      <c r="F23" s="64"/>
      <c r="G23" s="64"/>
      <c r="H23" s="521">
        <f>VLOOKUP(A23,'Band Calculations 1617'!$A$107:$W$125,6,FALSE)</f>
        <v>0</v>
      </c>
      <c r="I23" s="521">
        <f>VLOOKUP(A23,'Band Calculations 1617'!$A$107:$W$125,13,FALSE)</f>
        <v>1005620.2632523221</v>
      </c>
      <c r="J23" s="521">
        <f>VLOOKUP(A23,'Band Calculations 1617'!$A$107:$W$125,20,FALSE)</f>
        <v>66623.139937916421</v>
      </c>
      <c r="K23" s="94">
        <f>VLOOKUP(A23,'FSM Calculation 1516'!$A$4:$D$21,4,FALSE)</f>
        <v>18306.5</v>
      </c>
      <c r="L23" s="94">
        <v>811.36810468295653</v>
      </c>
      <c r="M23" s="64">
        <f>SUM(D23:L23)</f>
        <v>1627111.8496561113</v>
      </c>
      <c r="N23" s="64">
        <f>M23-F23</f>
        <v>1627111.8496561113</v>
      </c>
      <c r="O23" s="137">
        <f>VLOOKUP(A23,'Band Calculations 1617'!$A$107:$W$125,22,FALSE)</f>
        <v>123.5</v>
      </c>
      <c r="Q23" s="150">
        <f t="shared" si="3"/>
        <v>13174.994734057582</v>
      </c>
      <c r="R23" s="150">
        <f t="shared" si="4"/>
        <v>1235000</v>
      </c>
      <c r="S23" s="150">
        <f t="shared" si="5"/>
        <v>3174.9947340575818</v>
      </c>
      <c r="T23" s="94">
        <f>VLOOKUP(A23,'2015-16 Funding Detail'!$A$4:$AA$23,27,FALSE)</f>
        <v>2921.3738850332174</v>
      </c>
      <c r="U23" s="64">
        <f t="shared" si="13"/>
        <v>3174.9947340575818</v>
      </c>
      <c r="V23" s="64">
        <f t="shared" si="6"/>
        <v>13174.994734057582</v>
      </c>
      <c r="W23" s="64">
        <f>(U23-S23)*O23</f>
        <v>0</v>
      </c>
      <c r="X23" s="156">
        <f>N23+W23</f>
        <v>1627111.8496561113</v>
      </c>
      <c r="Y23" s="666">
        <f t="shared" si="8"/>
        <v>1602705.1719112697</v>
      </c>
      <c r="Z23" s="666">
        <f t="shared" si="14"/>
        <v>12977.369813046718</v>
      </c>
      <c r="AA23" s="666">
        <f t="shared" si="9"/>
        <v>2977.3698130467183</v>
      </c>
      <c r="AB23" s="723">
        <f t="shared" si="10"/>
        <v>1090549.9031902384</v>
      </c>
      <c r="AC23" s="723">
        <f t="shared" si="11"/>
        <v>8830.3635885849271</v>
      </c>
      <c r="AD23" s="723">
        <f t="shared" si="12"/>
        <v>8697.9081347561532</v>
      </c>
      <c r="AE23" s="73"/>
      <c r="AF23" s="609" t="s">
        <v>556</v>
      </c>
      <c r="AG23" s="633" t="s">
        <v>402</v>
      </c>
      <c r="AH23" s="387"/>
      <c r="AI23" s="73"/>
      <c r="AJ23" s="73"/>
      <c r="AK23" s="73"/>
      <c r="AL23" s="73"/>
      <c r="AM23" s="73"/>
      <c r="AN23" s="73"/>
      <c r="AO23" s="387"/>
      <c r="AP23" s="73"/>
      <c r="AQ23" s="125"/>
    </row>
    <row r="24" spans="1:43" x14ac:dyDescent="0.25">
      <c r="A24" s="69"/>
      <c r="B24" s="50"/>
      <c r="C24" s="61"/>
      <c r="D24" s="42"/>
      <c r="E24" s="42"/>
      <c r="F24" s="42"/>
      <c r="G24" s="42"/>
      <c r="H24" s="42"/>
      <c r="I24" s="42"/>
      <c r="J24" s="42"/>
      <c r="K24" s="80"/>
      <c r="L24" s="80"/>
    </row>
    <row r="25" spans="1:43" ht="13.5" customHeight="1" thickBot="1" x14ac:dyDescent="0.3">
      <c r="A25" s="69"/>
      <c r="D25" s="136">
        <f t="shared" ref="D25:M25" si="15">SUM(D4:D23)</f>
        <v>6996194.5795996506</v>
      </c>
      <c r="E25" s="136">
        <f t="shared" si="15"/>
        <v>1612903.0400452181</v>
      </c>
      <c r="F25" s="136">
        <f t="shared" si="15"/>
        <v>859007</v>
      </c>
      <c r="G25" s="136">
        <f t="shared" si="15"/>
        <v>41787</v>
      </c>
      <c r="H25" s="136">
        <f t="shared" si="15"/>
        <v>159453.09237188773</v>
      </c>
      <c r="I25" s="136">
        <f t="shared" si="15"/>
        <v>14648032.964028228</v>
      </c>
      <c r="J25" s="136">
        <f t="shared" si="15"/>
        <v>1143640.3835472902</v>
      </c>
      <c r="K25" s="136">
        <f t="shared" si="15"/>
        <v>255844.5</v>
      </c>
      <c r="L25" s="136">
        <f t="shared" si="15"/>
        <v>13304.411809383275</v>
      </c>
      <c r="M25" s="136">
        <f t="shared" si="15"/>
        <v>25730166.971401658</v>
      </c>
      <c r="N25" s="136">
        <f>SUM(N4:N23)</f>
        <v>24829372.971401658</v>
      </c>
      <c r="O25" s="166">
        <f>SUM(O4:O23)</f>
        <v>1685.75</v>
      </c>
      <c r="P25" s="52"/>
      <c r="R25" s="73"/>
      <c r="S25" s="75"/>
      <c r="T25" s="52"/>
      <c r="U25" s="52"/>
      <c r="V25" s="76"/>
      <c r="W25" s="136">
        <f>SUM(W4:W23)</f>
        <v>364623.53275131108</v>
      </c>
      <c r="X25" s="136">
        <f>SUM(X4:X23)</f>
        <v>25193996.504152969</v>
      </c>
      <c r="Y25" s="128"/>
      <c r="Z25" s="128"/>
      <c r="AA25" s="128"/>
      <c r="AB25" s="128"/>
      <c r="AC25" s="128"/>
      <c r="AD25" s="128"/>
      <c r="AE25" s="128"/>
      <c r="AP25" s="42"/>
    </row>
    <row r="26" spans="1:43" x14ac:dyDescent="0.25">
      <c r="A26" s="69"/>
      <c r="B26" s="40"/>
      <c r="C26" s="40"/>
      <c r="D26" s="79"/>
      <c r="E26" s="79"/>
      <c r="F26" s="79"/>
      <c r="G26" s="79"/>
      <c r="H26" s="79"/>
      <c r="I26" s="40"/>
      <c r="J26" s="40"/>
      <c r="M26" s="79"/>
      <c r="N26" s="124"/>
      <c r="O26" s="126"/>
      <c r="P26" s="52"/>
      <c r="R26" s="73"/>
      <c r="S26" s="75"/>
      <c r="T26" s="52"/>
      <c r="U26" s="52"/>
      <c r="V26" s="76"/>
      <c r="AP26" s="42"/>
    </row>
    <row r="27" spans="1:43" x14ac:dyDescent="0.25">
      <c r="B27" s="41"/>
      <c r="C27" s="41" t="s">
        <v>402</v>
      </c>
      <c r="D27" s="42" t="s">
        <v>402</v>
      </c>
      <c r="E27" s="42" t="s">
        <v>402</v>
      </c>
      <c r="F27" s="42" t="s">
        <v>402</v>
      </c>
      <c r="G27" s="42" t="s">
        <v>402</v>
      </c>
      <c r="H27" s="42" t="s">
        <v>402</v>
      </c>
      <c r="I27" s="42" t="s">
        <v>402</v>
      </c>
      <c r="J27" s="42" t="s">
        <v>402</v>
      </c>
      <c r="K27" s="42" t="s">
        <v>402</v>
      </c>
      <c r="L27" s="42" t="s">
        <v>402</v>
      </c>
      <c r="M27" s="42" t="s">
        <v>402</v>
      </c>
      <c r="N27" s="42" t="s">
        <v>402</v>
      </c>
      <c r="O27" s="165" t="s">
        <v>402</v>
      </c>
      <c r="Q27" s="42" t="s">
        <v>402</v>
      </c>
      <c r="R27" s="41" t="s">
        <v>402</v>
      </c>
      <c r="S27" s="41" t="s">
        <v>402</v>
      </c>
      <c r="T27" s="41" t="s">
        <v>402</v>
      </c>
      <c r="U27" s="41" t="s">
        <v>402</v>
      </c>
      <c r="V27" s="41" t="s">
        <v>402</v>
      </c>
      <c r="X27" s="41" t="s">
        <v>402</v>
      </c>
      <c r="AP27" s="42"/>
    </row>
    <row r="28" spans="1:43" x14ac:dyDescent="0.25">
      <c r="B28" s="41"/>
      <c r="O28" s="165"/>
      <c r="S28" s="79"/>
      <c r="T28" s="79"/>
      <c r="U28" s="40"/>
      <c r="AP28" s="42"/>
    </row>
    <row r="29" spans="1:43" x14ac:dyDescent="0.25">
      <c r="B29" s="41"/>
      <c r="D29" s="609"/>
      <c r="E29" s="609"/>
      <c r="F29" s="42"/>
      <c r="G29" s="42"/>
      <c r="H29" s="42"/>
      <c r="I29" s="42"/>
      <c r="J29" s="42"/>
      <c r="K29" s="42"/>
      <c r="L29" s="42"/>
      <c r="M29" s="42"/>
      <c r="N29" s="42"/>
      <c r="O29" s="165"/>
      <c r="P29" s="42">
        <f>P25-P27</f>
        <v>0</v>
      </c>
      <c r="AP29" s="42"/>
    </row>
    <row r="30" spans="1:43" x14ac:dyDescent="0.25">
      <c r="A30" s="79"/>
      <c r="B30" s="617" t="s">
        <v>571</v>
      </c>
      <c r="D30" s="128">
        <f>'2015-16 Funding Detail'!D25</f>
        <v>6786869.0829512719</v>
      </c>
      <c r="E30" s="128">
        <f>'2015-16 Funding Detail'!E25</f>
        <v>1506222.8593246257</v>
      </c>
      <c r="F30" s="128">
        <f>'2015-16 Funding Detail'!F25</f>
        <v>850820</v>
      </c>
      <c r="G30" s="128">
        <f>'2015-16 Funding Detail'!G25</f>
        <v>29207</v>
      </c>
      <c r="H30" s="128">
        <f>'2015-16 Funding Detail'!H25</f>
        <v>433809.13836269296</v>
      </c>
      <c r="I30" s="128">
        <f>'2015-16 Funding Detail'!I25</f>
        <v>14100634.57439534</v>
      </c>
      <c r="J30" s="128">
        <f>'2015-16 Funding Detail'!J25</f>
        <v>1136452.9516791939</v>
      </c>
      <c r="K30" s="128">
        <f>'2015-16 Funding Detail'!K25</f>
        <v>255844.5</v>
      </c>
      <c r="L30" s="128">
        <f>'2015-16 Funding Detail'!L25</f>
        <v>13304.411809383275</v>
      </c>
      <c r="M30" s="128">
        <f>'2015-16 Funding Detail'!M25</f>
        <v>25113164.518522505</v>
      </c>
      <c r="O30" s="165"/>
      <c r="W30" s="42">
        <f>'2015-16 Funding Detail'!W25</f>
        <v>486096.01138807379</v>
      </c>
      <c r="X30" s="42">
        <f>'2015-16 Funding Detail'!X25</f>
        <v>24719233.529910587</v>
      </c>
      <c r="Y30" s="42"/>
      <c r="Z30" s="42"/>
      <c r="AA30" s="42"/>
      <c r="AB30" s="42"/>
      <c r="AC30" s="42"/>
      <c r="AD30" s="42"/>
      <c r="AE30" s="42"/>
    </row>
    <row r="31" spans="1:43" x14ac:dyDescent="0.25">
      <c r="B31" s="616"/>
      <c r="D31" s="128"/>
      <c r="E31" s="128"/>
      <c r="F31" s="42"/>
      <c r="I31" s="41"/>
      <c r="J31" s="41"/>
      <c r="K31" s="79"/>
      <c r="L31" s="79"/>
      <c r="N31" s="41"/>
      <c r="AP31" s="41"/>
    </row>
    <row r="32" spans="1:43" x14ac:dyDescent="0.25">
      <c r="B32" s="617" t="s">
        <v>104</v>
      </c>
      <c r="D32" s="42">
        <f>D25-D30</f>
        <v>209325.49664837867</v>
      </c>
      <c r="E32" s="42">
        <f>E25-E30</f>
        <v>106680.18072059238</v>
      </c>
      <c r="F32" s="42">
        <f t="shared" ref="F32:M32" si="16">F25-F30</f>
        <v>8187</v>
      </c>
      <c r="G32" s="42">
        <f t="shared" si="16"/>
        <v>12580</v>
      </c>
      <c r="H32" s="42">
        <f t="shared" si="16"/>
        <v>-274356.04599080526</v>
      </c>
      <c r="I32" s="42">
        <f t="shared" si="16"/>
        <v>547398.38963288814</v>
      </c>
      <c r="J32" s="42">
        <f t="shared" si="16"/>
        <v>7187.4318680963479</v>
      </c>
      <c r="K32" s="42">
        <f t="shared" si="16"/>
        <v>0</v>
      </c>
      <c r="L32" s="42">
        <f t="shared" si="16"/>
        <v>0</v>
      </c>
      <c r="M32" s="42">
        <f t="shared" si="16"/>
        <v>617002.45287915319</v>
      </c>
      <c r="N32" s="41"/>
      <c r="V32" s="41" t="s">
        <v>404</v>
      </c>
      <c r="W32" s="42">
        <f>W25-W30</f>
        <v>-121472.47863676271</v>
      </c>
      <c r="X32" s="42">
        <f>X25-X30</f>
        <v>474762.97424238175</v>
      </c>
      <c r="Y32" s="42"/>
      <c r="Z32" s="42"/>
      <c r="AA32" s="42"/>
      <c r="AB32" s="42"/>
      <c r="AC32" s="42"/>
      <c r="AD32" s="42"/>
      <c r="AE32" s="42"/>
    </row>
    <row r="33" spans="2:31" x14ac:dyDescent="0.25">
      <c r="B33" s="616"/>
      <c r="D33" s="1887"/>
      <c r="E33" s="1887"/>
      <c r="I33" s="33"/>
      <c r="J33" s="48"/>
      <c r="L33" s="79"/>
      <c r="W33" s="41" t="s">
        <v>402</v>
      </c>
    </row>
    <row r="34" spans="2:31" x14ac:dyDescent="0.25">
      <c r="B34" s="617" t="s">
        <v>570</v>
      </c>
      <c r="D34" s="627" t="s">
        <v>402</v>
      </c>
      <c r="E34" s="627" t="s">
        <v>402</v>
      </c>
      <c r="F34" s="627" t="s">
        <v>402</v>
      </c>
      <c r="G34" s="627" t="s">
        <v>402</v>
      </c>
      <c r="H34" s="627" t="s">
        <v>402</v>
      </c>
      <c r="I34" s="627" t="s">
        <v>402</v>
      </c>
      <c r="J34" s="627" t="s">
        <v>402</v>
      </c>
      <c r="K34" s="629" t="s">
        <v>572</v>
      </c>
      <c r="L34" s="627" t="s">
        <v>402</v>
      </c>
      <c r="M34" s="627" t="s">
        <v>402</v>
      </c>
      <c r="N34" s="627" t="s">
        <v>402</v>
      </c>
      <c r="O34" s="627" t="s">
        <v>402</v>
      </c>
      <c r="P34" s="627"/>
      <c r="Q34" s="627" t="s">
        <v>402</v>
      </c>
      <c r="R34" s="627" t="s">
        <v>402</v>
      </c>
      <c r="S34" s="627" t="s">
        <v>402</v>
      </c>
      <c r="T34" s="627" t="s">
        <v>402</v>
      </c>
      <c r="U34" s="627" t="s">
        <v>402</v>
      </c>
      <c r="V34" s="627" t="s">
        <v>402</v>
      </c>
      <c r="W34" s="627" t="s">
        <v>402</v>
      </c>
      <c r="X34" s="627" t="s">
        <v>402</v>
      </c>
      <c r="Y34" s="627"/>
      <c r="Z34" s="627"/>
      <c r="AA34" s="627"/>
      <c r="AB34" s="627"/>
      <c r="AC34" s="627"/>
      <c r="AD34" s="627"/>
      <c r="AE34" s="627"/>
    </row>
    <row r="36" spans="2:31" ht="13" thickBot="1" x14ac:dyDescent="0.3">
      <c r="H36" s="635"/>
      <c r="I36" s="636"/>
      <c r="J36" s="636"/>
    </row>
    <row r="38" spans="2:31" x14ac:dyDescent="0.25">
      <c r="H38" s="637" t="s">
        <v>573</v>
      </c>
      <c r="I38" s="626">
        <f>SUM(H32:J32)</f>
        <v>280229.77551017923</v>
      </c>
      <c r="J38" s="625"/>
    </row>
    <row r="39" spans="2:31" x14ac:dyDescent="0.25">
      <c r="H39" s="637"/>
      <c r="I39" s="625"/>
      <c r="J39" s="625"/>
    </row>
    <row r="40" spans="2:31" x14ac:dyDescent="0.25">
      <c r="H40" s="637" t="s">
        <v>574</v>
      </c>
      <c r="I40" s="638">
        <f>O25-'2015-16 Funding Detail'!O25</f>
        <v>31.833333333333258</v>
      </c>
      <c r="J40" s="625"/>
    </row>
    <row r="41" spans="2:31" x14ac:dyDescent="0.25">
      <c r="H41" s="627"/>
      <c r="I41" s="625"/>
      <c r="J41" s="625"/>
    </row>
    <row r="42" spans="2:31" x14ac:dyDescent="0.25">
      <c r="H42" s="637" t="s">
        <v>575</v>
      </c>
      <c r="I42" s="626">
        <f>I38/I40</f>
        <v>8803.0295971784253</v>
      </c>
      <c r="J42" s="625" t="s">
        <v>576</v>
      </c>
    </row>
    <row r="43" spans="2:31" x14ac:dyDescent="0.25">
      <c r="H43" s="627"/>
      <c r="I43" s="625"/>
      <c r="J43" s="625"/>
    </row>
  </sheetData>
  <mergeCells count="5">
    <mergeCell ref="AF2:AH2"/>
    <mergeCell ref="D33:E33"/>
    <mergeCell ref="AH14:AO16"/>
    <mergeCell ref="AD2:AD3"/>
    <mergeCell ref="AB1:AD1"/>
  </mergeCells>
  <pageMargins left="0.39370078740157483" right="0.39370078740157483" top="0.98425196850393704" bottom="0.98425196850393704" header="0.51181102362204722" footer="0.51181102362204722"/>
  <pageSetup paperSize="8" scale="59" orientation="landscape" r:id="rId1"/>
  <headerFooter alignWithMargins="0">
    <oddFooter>&amp;F</oddFooter>
  </headerFooter>
  <ignoredErrors>
    <ignoredError sqref="D8:E8 D10:D11 D19:E19 E10:E11" formula="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3"/>
  <sheetViews>
    <sheetView workbookViewId="0">
      <selection activeCell="J6" sqref="J6"/>
    </sheetView>
  </sheetViews>
  <sheetFormatPr defaultColWidth="10.26953125" defaultRowHeight="12.5" x14ac:dyDescent="0.25"/>
  <cols>
    <col min="1" max="1" width="9.1796875" style="34" customWidth="1"/>
    <col min="2" max="2" width="26.7265625" style="34" customWidth="1"/>
    <col min="3" max="3" width="7.26953125" style="34" bestFit="1" customWidth="1"/>
    <col min="4" max="4" width="12.1796875" style="34" bestFit="1" customWidth="1"/>
    <col min="5" max="5" width="16.453125" style="34" customWidth="1"/>
    <col min="6" max="6" width="12.7265625" style="34" customWidth="1"/>
    <col min="7" max="7" width="14.54296875" style="34" customWidth="1"/>
    <col min="8" max="8" width="13.26953125" style="34" customWidth="1"/>
    <col min="9" max="9" width="13" style="996" customWidth="1"/>
    <col min="10" max="10" width="12.81640625" style="996" customWidth="1"/>
    <col min="11" max="11" width="12.26953125" style="34" customWidth="1"/>
    <col min="12" max="12" width="11.1796875" style="34" customWidth="1"/>
    <col min="13" max="13" width="13.26953125" style="34" customWidth="1"/>
    <col min="14" max="14" width="11.453125" style="34" customWidth="1"/>
    <col min="15" max="15" width="12.81640625" style="34" customWidth="1"/>
    <col min="16" max="16" width="12.453125" style="34" customWidth="1"/>
    <col min="17" max="17" width="12.453125" style="34" bestFit="1" customWidth="1"/>
    <col min="18" max="18" width="11.54296875" style="34" customWidth="1"/>
    <col min="19" max="19" width="12.453125" style="347" customWidth="1"/>
    <col min="20" max="20" width="12.26953125" style="34" customWidth="1"/>
    <col min="21" max="22" width="11.26953125" style="34" customWidth="1"/>
    <col min="23" max="23" width="10.26953125" style="34" customWidth="1"/>
    <col min="24" max="24" width="11.1796875" style="34" bestFit="1" customWidth="1"/>
    <col min="25" max="25" width="11.1796875" style="34" customWidth="1"/>
    <col min="26" max="26" width="12.81640625" style="34" customWidth="1"/>
    <col min="27" max="27" width="11" style="34" customWidth="1"/>
    <col min="28" max="28" width="12.7265625" style="34" customWidth="1"/>
    <col min="29" max="29" width="13.1796875" style="34" customWidth="1"/>
    <col min="30" max="30" width="12.1796875" style="34" customWidth="1"/>
    <col min="31" max="31" width="11" style="34" customWidth="1"/>
    <col min="32" max="32" width="10.54296875" style="34" bestFit="1" customWidth="1"/>
    <col min="33" max="33" width="12.453125" style="34" customWidth="1"/>
    <col min="34" max="34" width="10.26953125" style="34" customWidth="1"/>
    <col min="35" max="35" width="28.54296875" style="34" bestFit="1" customWidth="1"/>
    <col min="36" max="36" width="11.1796875" style="34" customWidth="1"/>
    <col min="37" max="37" width="2" style="34" customWidth="1"/>
    <col min="38" max="38" width="10" style="34" customWidth="1"/>
    <col min="39" max="39" width="9.7265625" style="34" customWidth="1"/>
    <col min="40" max="40" width="10.54296875" style="34" bestFit="1" customWidth="1"/>
    <col min="41" max="41" width="10.26953125" style="34" customWidth="1"/>
    <col min="42" max="42" width="15" style="34" customWidth="1"/>
    <col min="43" max="43" width="14.1796875" style="34" customWidth="1"/>
    <col min="44" max="47" width="10.26953125" style="34"/>
    <col min="48" max="48" width="14.7265625" style="996" customWidth="1"/>
    <col min="49" max="49" width="13.26953125" style="996" customWidth="1"/>
    <col min="50" max="51" width="10.26953125" style="34"/>
    <col min="52" max="52" width="19" style="996" bestFit="1" customWidth="1"/>
    <col min="53" max="53" width="16.81640625" style="996" customWidth="1"/>
    <col min="54" max="54" width="10.26953125" style="996"/>
    <col min="55" max="16384" width="10.26953125" style="34"/>
  </cols>
  <sheetData>
    <row r="1" spans="1:54" x14ac:dyDescent="0.25">
      <c r="A1" s="63" t="s">
        <v>97</v>
      </c>
      <c r="C1" s="33"/>
      <c r="S1" s="976"/>
      <c r="T1" s="810"/>
      <c r="U1" s="810"/>
      <c r="V1" s="810"/>
      <c r="W1" s="810"/>
      <c r="AV1" s="34"/>
      <c r="AW1" s="34"/>
      <c r="AZ1" s="34"/>
      <c r="BA1" s="34"/>
      <c r="BB1" s="34"/>
    </row>
    <row r="2" spans="1:54" ht="13" x14ac:dyDescent="0.3">
      <c r="A2" s="63"/>
      <c r="C2" s="33"/>
      <c r="E2" s="332" t="s">
        <v>920</v>
      </c>
      <c r="S2" s="976"/>
      <c r="T2" s="810"/>
      <c r="U2" s="810"/>
      <c r="V2" s="810"/>
      <c r="W2" s="810"/>
      <c r="AV2" s="34"/>
      <c r="AW2" s="34"/>
      <c r="AZ2" s="34"/>
      <c r="BA2" s="34"/>
      <c r="BB2" s="34"/>
    </row>
    <row r="3" spans="1:54" ht="13" x14ac:dyDescent="0.3">
      <c r="A3" s="230" t="s">
        <v>929</v>
      </c>
      <c r="C3" s="47"/>
      <c r="K3" s="231" t="s">
        <v>853</v>
      </c>
      <c r="S3" s="976"/>
      <c r="T3" s="810"/>
      <c r="U3" s="810"/>
      <c r="V3" s="810"/>
      <c r="W3" s="810"/>
      <c r="AV3" s="34"/>
      <c r="AW3" s="34"/>
      <c r="AZ3" s="34"/>
      <c r="BA3" s="34"/>
      <c r="BB3" s="34"/>
    </row>
    <row r="4" spans="1:54" x14ac:dyDescent="0.25">
      <c r="B4" s="35"/>
      <c r="C4" s="35"/>
      <c r="O4" s="1893" t="s">
        <v>332</v>
      </c>
      <c r="P4" s="1894"/>
      <c r="R4" s="976"/>
      <c r="S4" s="810"/>
      <c r="T4" s="810"/>
      <c r="U4" s="810"/>
      <c r="V4" s="810"/>
      <c r="AV4" s="34"/>
      <c r="AW4" s="34"/>
      <c r="AZ4" s="34"/>
      <c r="BA4" s="34"/>
      <c r="BB4" s="34"/>
    </row>
    <row r="5" spans="1:54" ht="37.5" x14ac:dyDescent="0.25">
      <c r="A5" s="183" t="s">
        <v>201</v>
      </c>
      <c r="B5" s="36" t="s">
        <v>66</v>
      </c>
      <c r="C5" s="999" t="s">
        <v>51</v>
      </c>
      <c r="D5" s="1002" t="s">
        <v>858</v>
      </c>
      <c r="E5" s="1002" t="s">
        <v>859</v>
      </c>
      <c r="F5" s="1002" t="s">
        <v>860</v>
      </c>
      <c r="G5" s="1002" t="s">
        <v>861</v>
      </c>
      <c r="H5" s="1002" t="s">
        <v>862</v>
      </c>
      <c r="I5" s="1002" t="s">
        <v>863</v>
      </c>
      <c r="J5" s="1002" t="s">
        <v>864</v>
      </c>
      <c r="K5" s="1004" t="s">
        <v>253</v>
      </c>
      <c r="L5" s="1004" t="s">
        <v>336</v>
      </c>
      <c r="M5" s="1004" t="s">
        <v>386</v>
      </c>
      <c r="N5" s="1004" t="s">
        <v>387</v>
      </c>
      <c r="O5" s="413" t="s">
        <v>337</v>
      </c>
      <c r="P5" s="694" t="s">
        <v>338</v>
      </c>
      <c r="R5" s="977" t="s">
        <v>900</v>
      </c>
      <c r="S5" s="34"/>
      <c r="AV5" s="34"/>
      <c r="AW5" s="34"/>
      <c r="AZ5" s="34"/>
      <c r="BA5" s="34"/>
      <c r="BB5" s="34"/>
    </row>
    <row r="6" spans="1:54" x14ac:dyDescent="0.25">
      <c r="A6" s="185">
        <v>9257010</v>
      </c>
      <c r="B6" s="38" t="s">
        <v>67</v>
      </c>
      <c r="C6" s="781">
        <v>4</v>
      </c>
      <c r="D6" s="812">
        <f>VLOOKUP(A6,'2021 Band Moderations'!$B$5:$S$22,6,(FALSE))</f>
        <v>6.25E-2</v>
      </c>
      <c r="E6" s="812">
        <f>VLOOKUP(A6,'2021 Band Moderations'!$B$5:$S$22,8,(FALSE))</f>
        <v>0.34375</v>
      </c>
      <c r="F6" s="812">
        <f>VLOOKUP(A6,'2021 Band Moderations'!$B$5:$S$22,10,(FALSE))</f>
        <v>6.25E-2</v>
      </c>
      <c r="G6" s="812">
        <f>VLOOKUP(A6,'2021 Band Moderations'!$B$5:$S$22,12,(FALSE))</f>
        <v>0.171875</v>
      </c>
      <c r="H6" s="812">
        <f>VLOOKUP(A6,'2021 Band Moderations'!$B$5:$S$22,14,(FALSE))</f>
        <v>4.6875E-2</v>
      </c>
      <c r="I6" s="812">
        <f>VLOOKUP(A6,'2021 Band Moderations'!$B$5:$S$22,16,(FALSE))</f>
        <v>0.171875</v>
      </c>
      <c r="J6" s="812">
        <f>VLOOKUP(A6,'2021 Band Moderations'!$B$5:$S$22,18,(FALSE))</f>
        <v>0.140625</v>
      </c>
      <c r="K6" s="1012">
        <v>52</v>
      </c>
      <c r="L6" s="813">
        <f t="shared" ref="L6:L23" si="0">((((K6*D6)*$G$92)+((K6*E6)*$G$94)+((K6*F6)*$G$96)+((K6*G6)*$G$98)+((K6*H6)*$G$100)+((K6*I6)*$G$102)+((K6*J6)*$G$104))*(5/12))</f>
        <v>264258.25188916276</v>
      </c>
      <c r="M6" s="813">
        <f>((K6*F6)*$G$106)*(5/12)</f>
        <v>3568.229166666667</v>
      </c>
      <c r="N6" s="813">
        <f t="shared" ref="N6:N23" si="1">SUM(L6:M6)</f>
        <v>267826.48105582944</v>
      </c>
      <c r="O6" s="724">
        <f>(K6*(5/12))*10000</f>
        <v>216666.66666666669</v>
      </c>
      <c r="P6" s="724">
        <f>(VLOOKUP(A6,'2021 Funding Detail'!$A$4:$AO$23,39,FALSE)*5/12)*K6</f>
        <v>213192.13872866504</v>
      </c>
      <c r="Q6" s="42"/>
      <c r="R6" s="42">
        <f t="shared" ref="R6:R23" si="2">(J6*K6*$G$104)*5/12</f>
        <v>68593.537459061146</v>
      </c>
      <c r="S6" s="168"/>
      <c r="T6" s="623"/>
      <c r="W6" s="42"/>
      <c r="AV6" s="34"/>
      <c r="AW6" s="34"/>
      <c r="AZ6" s="34"/>
      <c r="BA6" s="34"/>
      <c r="BB6" s="34"/>
    </row>
    <row r="7" spans="1:54" ht="12.75" customHeight="1" x14ac:dyDescent="0.25">
      <c r="A7" s="185">
        <v>9257005</v>
      </c>
      <c r="B7" s="38" t="s">
        <v>68</v>
      </c>
      <c r="C7" s="781" t="s">
        <v>946</v>
      </c>
      <c r="D7" s="812">
        <f>VLOOKUP(A7,'2021 Band Moderations'!$B$5:$S$22,6,(FALSE))</f>
        <v>7.8947368421052627E-2</v>
      </c>
      <c r="E7" s="812">
        <f>VLOOKUP(A7,'2021 Band Moderations'!$B$5:$S$22,8,(FALSE))</f>
        <v>0.35526315789473684</v>
      </c>
      <c r="F7" s="812">
        <f>VLOOKUP(A7,'2021 Band Moderations'!$B$5:$S$22,10,(FALSE))</f>
        <v>6.5789473684210523E-2</v>
      </c>
      <c r="G7" s="812">
        <f>VLOOKUP(A7,'2021 Band Moderations'!$B$5:$S$22,12,(FALSE))</f>
        <v>0.14473684210526316</v>
      </c>
      <c r="H7" s="812">
        <f>VLOOKUP(A7,'2021 Band Moderations'!$B$5:$S$22,14,(FALSE))</f>
        <v>0.14473684210526316</v>
      </c>
      <c r="I7" s="812">
        <f>VLOOKUP(A7,'2021 Band Moderations'!$B$5:$S$22,16,(FALSE))</f>
        <v>0.15789473684210525</v>
      </c>
      <c r="J7" s="812">
        <f>VLOOKUP(A7,'2021 Band Moderations'!$B$5:$S$22,18,(FALSE))</f>
        <v>5.2631578947368418E-2</v>
      </c>
      <c r="K7" s="1012">
        <v>52</v>
      </c>
      <c r="L7" s="813">
        <f t="shared" si="0"/>
        <v>242842.28767712403</v>
      </c>
      <c r="M7" s="813">
        <f t="shared" ref="M7:M23" si="3">((K7*F7)*$G$106)*(5/12)</f>
        <v>3756.0307017543864</v>
      </c>
      <c r="N7" s="813">
        <f t="shared" si="1"/>
        <v>246598.31837887841</v>
      </c>
      <c r="O7" s="724">
        <f t="shared" ref="O7:O23" si="4">(K7*(5/12))*10000</f>
        <v>216666.66666666669</v>
      </c>
      <c r="P7" s="724">
        <f>(VLOOKUP(A7,'2021 Funding Detail'!$A$4:$AO$23,39,FALSE)*5/12)*K7</f>
        <v>158178.08809612261</v>
      </c>
      <c r="Q7" s="42"/>
      <c r="R7" s="42">
        <f t="shared" si="2"/>
        <v>25672.435072397147</v>
      </c>
      <c r="S7" s="978"/>
      <c r="T7" s="624"/>
      <c r="U7" s="33"/>
      <c r="V7" s="33"/>
      <c r="W7" s="42"/>
      <c r="X7" s="1002"/>
      <c r="AV7" s="34"/>
      <c r="AW7" s="34"/>
      <c r="AZ7" s="34"/>
      <c r="BA7" s="34"/>
      <c r="BB7" s="34"/>
    </row>
    <row r="8" spans="1:54" ht="12.75" customHeight="1" x14ac:dyDescent="0.25">
      <c r="A8" s="185">
        <v>9257025</v>
      </c>
      <c r="B8" s="38" t="s">
        <v>69</v>
      </c>
      <c r="C8" s="781">
        <v>4</v>
      </c>
      <c r="D8" s="812">
        <f>VLOOKUP(A8,'2021 Band Moderations'!$B$5:$S$22,6,(FALSE))</f>
        <v>0.16216216216216217</v>
      </c>
      <c r="E8" s="812">
        <f>VLOOKUP(A8,'2021 Band Moderations'!$B$5:$S$22,8,(FALSE))</f>
        <v>0.35135135135135137</v>
      </c>
      <c r="F8" s="812">
        <f>VLOOKUP(A8,'2021 Band Moderations'!$B$5:$S$22,10,(FALSE))</f>
        <v>6.7567567567567571E-2</v>
      </c>
      <c r="G8" s="812">
        <f>VLOOKUP(A8,'2021 Band Moderations'!$B$5:$S$22,12,(FALSE))</f>
        <v>0.17567567567567569</v>
      </c>
      <c r="H8" s="812">
        <f>VLOOKUP(A8,'2021 Band Moderations'!$B$5:$S$22,14,(FALSE))</f>
        <v>5.4054054054054057E-2</v>
      </c>
      <c r="I8" s="812">
        <f>VLOOKUP(A8,'2021 Band Moderations'!$B$5:$S$22,16,(FALSE))</f>
        <v>0.13513513513513514</v>
      </c>
      <c r="J8" s="812">
        <f>VLOOKUP(A8,'2021 Band Moderations'!$B$5:$S$22,18,(FALSE))</f>
        <v>5.4054054054054057E-2</v>
      </c>
      <c r="K8" s="1012">
        <v>56</v>
      </c>
      <c r="L8" s="813">
        <f t="shared" si="0"/>
        <v>245837.88479318543</v>
      </c>
      <c r="M8" s="813">
        <f t="shared" si="3"/>
        <v>4154.2792792792798</v>
      </c>
      <c r="N8" s="813">
        <f t="shared" si="1"/>
        <v>249992.16407246471</v>
      </c>
      <c r="O8" s="724">
        <f t="shared" si="4"/>
        <v>233333.33333333334</v>
      </c>
      <c r="P8" s="724">
        <f>(VLOOKUP(A8,'2021 Funding Detail'!$A$4:$AO$23,39,FALSE)*5/12)*K8</f>
        <v>166750.22976419234</v>
      </c>
      <c r="Q8" s="42"/>
      <c r="R8" s="42">
        <f t="shared" si="2"/>
        <v>28394.460412713695</v>
      </c>
      <c r="S8" s="978"/>
      <c r="T8" s="808"/>
      <c r="U8" s="808"/>
      <c r="V8" s="808"/>
      <c r="W8" s="808"/>
      <c r="X8" s="808"/>
      <c r="Y8" s="808"/>
      <c r="Z8" s="808"/>
      <c r="AV8" s="34"/>
      <c r="AW8" s="34"/>
      <c r="AZ8" s="34"/>
      <c r="BA8" s="34"/>
      <c r="BB8" s="34"/>
    </row>
    <row r="9" spans="1:54" x14ac:dyDescent="0.25">
      <c r="A9" s="185">
        <v>9257011</v>
      </c>
      <c r="B9" s="38" t="s">
        <v>70</v>
      </c>
      <c r="C9" s="781">
        <v>4</v>
      </c>
      <c r="D9" s="812">
        <f>VLOOKUP(A9,'2021 Band Moderations'!$B$5:$S$22,6,(FALSE))</f>
        <v>5.6603773584905662E-2</v>
      </c>
      <c r="E9" s="812">
        <f>VLOOKUP(A9,'2021 Band Moderations'!$B$5:$S$22,8,(FALSE))</f>
        <v>0.32075471698113206</v>
      </c>
      <c r="F9" s="812">
        <f>VLOOKUP(A9,'2021 Band Moderations'!$B$5:$S$22,10,(FALSE))</f>
        <v>3.7735849056603772E-2</v>
      </c>
      <c r="G9" s="812">
        <f>VLOOKUP(A9,'2021 Band Moderations'!$B$5:$S$22,12,(FALSE))</f>
        <v>0.16981132075471697</v>
      </c>
      <c r="H9" s="812">
        <f>VLOOKUP(A9,'2021 Band Moderations'!$B$5:$S$22,14,(FALSE))</f>
        <v>0.16981132075471697</v>
      </c>
      <c r="I9" s="812">
        <f>VLOOKUP(A9,'2021 Band Moderations'!$B$5:$S$22,16,(FALSE))</f>
        <v>0.15094339622641509</v>
      </c>
      <c r="J9" s="812">
        <f>VLOOKUP(A9,'2021 Band Moderations'!$B$5:$S$22,18,(FALSE))</f>
        <v>9.4339622641509441E-2</v>
      </c>
      <c r="K9" s="1012">
        <v>44</v>
      </c>
      <c r="L9" s="813">
        <f t="shared" si="0"/>
        <v>221210.69195865435</v>
      </c>
      <c r="M9" s="813">
        <f t="shared" si="3"/>
        <v>1822.9559748427673</v>
      </c>
      <c r="N9" s="813">
        <f t="shared" si="1"/>
        <v>223033.64793349712</v>
      </c>
      <c r="O9" s="724">
        <f t="shared" si="4"/>
        <v>183333.33333333334</v>
      </c>
      <c r="P9" s="724">
        <f>(VLOOKUP(A9,'2021 Funding Detail'!$A$4:$AO$23,39,FALSE)*5/12)*K9</f>
        <v>184323.76560880931</v>
      </c>
      <c r="Q9" s="42"/>
      <c r="R9" s="42">
        <f t="shared" si="2"/>
        <v>38937.147533606716</v>
      </c>
      <c r="S9" s="978"/>
      <c r="T9" s="808"/>
      <c r="U9" s="808"/>
      <c r="V9" s="808"/>
      <c r="W9" s="808"/>
      <c r="X9" s="808"/>
      <c r="Y9" s="808"/>
      <c r="Z9" s="808"/>
      <c r="AV9" s="34"/>
      <c r="AW9" s="34"/>
      <c r="AZ9" s="34"/>
      <c r="BA9" s="34"/>
      <c r="BB9" s="34"/>
    </row>
    <row r="10" spans="1:54" x14ac:dyDescent="0.25">
      <c r="A10" s="185">
        <v>9257024</v>
      </c>
      <c r="B10" s="38" t="s">
        <v>71</v>
      </c>
      <c r="C10" s="781">
        <v>4</v>
      </c>
      <c r="D10" s="812">
        <f>VLOOKUP(A10,'2021 Band Moderations'!$B$5:$S$22,6,(FALSE))</f>
        <v>0.10843373493975904</v>
      </c>
      <c r="E10" s="812">
        <f>VLOOKUP(A10,'2021 Band Moderations'!$B$5:$S$22,8,(FALSE))</f>
        <v>0.43373493975903615</v>
      </c>
      <c r="F10" s="812">
        <f>VLOOKUP(A10,'2021 Band Moderations'!$B$5:$S$22,10,(FALSE))</f>
        <v>2.4096385542168676E-2</v>
      </c>
      <c r="G10" s="812">
        <f>VLOOKUP(A10,'2021 Band Moderations'!$B$5:$S$22,12,(FALSE))</f>
        <v>0.15662650602409639</v>
      </c>
      <c r="H10" s="812">
        <f>VLOOKUP(A10,'2021 Band Moderations'!$B$5:$S$22,14,(FALSE))</f>
        <v>0.10843373493975904</v>
      </c>
      <c r="I10" s="812">
        <f>VLOOKUP(A10,'2021 Band Moderations'!$B$5:$S$22,16,(FALSE))</f>
        <v>7.2289156626506021E-2</v>
      </c>
      <c r="J10" s="812">
        <f>VLOOKUP(A10,'2021 Band Moderations'!$B$5:$S$22,18,(FALSE))</f>
        <v>9.6385542168674704E-2</v>
      </c>
      <c r="K10" s="1012">
        <v>67</v>
      </c>
      <c r="L10" s="813">
        <f t="shared" si="0"/>
        <v>301869.74312997388</v>
      </c>
      <c r="M10" s="813">
        <f t="shared" si="3"/>
        <v>1772.5401606425703</v>
      </c>
      <c r="N10" s="813">
        <f t="shared" si="1"/>
        <v>303642.28329061647</v>
      </c>
      <c r="O10" s="724">
        <f t="shared" si="4"/>
        <v>279166.66666666669</v>
      </c>
      <c r="P10" s="724">
        <f>(VLOOKUP(A10,'2021 Funding Detail'!$A$4:$AO$23,39,FALSE)*5/12)*K10</f>
        <v>189088.53051563742</v>
      </c>
      <c r="Q10" s="42"/>
      <c r="R10" s="42">
        <f t="shared" si="2"/>
        <v>60576.477937278185</v>
      </c>
      <c r="S10" s="978"/>
      <c r="T10" s="808"/>
      <c r="U10" s="808"/>
      <c r="V10" s="808"/>
      <c r="W10" s="808"/>
      <c r="X10" s="808"/>
      <c r="Y10" s="808"/>
      <c r="Z10" s="808"/>
      <c r="AV10" s="34"/>
      <c r="AW10" s="34"/>
      <c r="AZ10" s="34"/>
      <c r="BA10" s="34"/>
      <c r="BB10" s="34"/>
    </row>
    <row r="11" spans="1:54" ht="12.75" customHeight="1" x14ac:dyDescent="0.25">
      <c r="A11" s="185">
        <v>9257031</v>
      </c>
      <c r="B11" s="38" t="s">
        <v>98</v>
      </c>
      <c r="C11" s="781" t="s">
        <v>949</v>
      </c>
      <c r="D11" s="812">
        <f>VLOOKUP(A11,'2021 Band Moderations'!$B$5:$S$22,6,(FALSE))</f>
        <v>0</v>
      </c>
      <c r="E11" s="812">
        <f>VLOOKUP(A11,'2021 Band Moderations'!$B$5:$S$22,8,(FALSE))</f>
        <v>0</v>
      </c>
      <c r="F11" s="812">
        <f>VLOOKUP(A11,'2021 Band Moderations'!$B$5:$S$22,10,(FALSE))</f>
        <v>1</v>
      </c>
      <c r="G11" s="812">
        <f>VLOOKUP(A11,'2021 Band Moderations'!$B$5:$S$22,12,(FALSE))</f>
        <v>0</v>
      </c>
      <c r="H11" s="812">
        <f>VLOOKUP(A11,'2021 Band Moderations'!$B$5:$S$22,14,(FALSE))</f>
        <v>0</v>
      </c>
      <c r="I11" s="812">
        <f>VLOOKUP(A11,'2021 Band Moderations'!$B$5:$S$22,16,(FALSE))</f>
        <v>0</v>
      </c>
      <c r="J11" s="812">
        <f>VLOOKUP(A11,'2021 Band Moderations'!$B$5:$S$22,18,(FALSE))</f>
        <v>0</v>
      </c>
      <c r="K11" s="1012">
        <v>75</v>
      </c>
      <c r="L11" s="813">
        <f t="shared" si="0"/>
        <v>351981.63491201639</v>
      </c>
      <c r="M11" s="813">
        <f t="shared" si="3"/>
        <v>82343.75</v>
      </c>
      <c r="N11" s="813">
        <f t="shared" si="1"/>
        <v>434325.38491201639</v>
      </c>
      <c r="O11" s="724">
        <f t="shared" si="4"/>
        <v>312500</v>
      </c>
      <c r="P11" s="724">
        <f>(VLOOKUP(A11,'2021 Funding Detail'!$A$4:$AO$23,39,FALSE)*5/12)*K11</f>
        <v>306237.96617794345</v>
      </c>
      <c r="Q11" s="42"/>
      <c r="R11" s="42">
        <f t="shared" si="2"/>
        <v>0</v>
      </c>
      <c r="S11" s="978"/>
      <c r="T11" s="808"/>
      <c r="U11" s="808"/>
      <c r="V11" s="808"/>
      <c r="W11" s="808"/>
      <c r="X11" s="808"/>
      <c r="Y11" s="808"/>
      <c r="Z11" s="808"/>
      <c r="AV11" s="34"/>
      <c r="AW11" s="34"/>
      <c r="AZ11" s="34"/>
      <c r="BA11" s="34"/>
      <c r="BB11" s="34"/>
    </row>
    <row r="12" spans="1:54" x14ac:dyDescent="0.25">
      <c r="A12" s="185">
        <v>9257033</v>
      </c>
      <c r="B12" s="38" t="s">
        <v>72</v>
      </c>
      <c r="C12" s="781" t="s">
        <v>946</v>
      </c>
      <c r="D12" s="812">
        <f>VLOOKUP(A12,'2021 Band Moderations'!$B$5:$S$22,6,(FALSE))</f>
        <v>0.17894736842105263</v>
      </c>
      <c r="E12" s="812">
        <f>VLOOKUP(A12,'2021 Band Moderations'!$B$5:$S$22,8,(FALSE))</f>
        <v>0.44210526315789472</v>
      </c>
      <c r="F12" s="812">
        <f>VLOOKUP(A12,'2021 Band Moderations'!$B$5:$S$22,10,(FALSE))</f>
        <v>0.12631578947368421</v>
      </c>
      <c r="G12" s="812">
        <f>VLOOKUP(A12,'2021 Band Moderations'!$B$5:$S$22,12,(FALSE))</f>
        <v>0.15789473684210525</v>
      </c>
      <c r="H12" s="812">
        <f>VLOOKUP(A12,'2021 Band Moderations'!$B$5:$S$22,14,(FALSE))</f>
        <v>4.2105263157894736E-2</v>
      </c>
      <c r="I12" s="812">
        <f>VLOOKUP(A12,'2021 Band Moderations'!$B$5:$S$22,16,(FALSE))</f>
        <v>5.2631578947368418E-2</v>
      </c>
      <c r="J12" s="812">
        <f>VLOOKUP(A12,'2021 Band Moderations'!$B$5:$S$22,18,(FALSE))</f>
        <v>0</v>
      </c>
      <c r="K12" s="1012">
        <v>91</v>
      </c>
      <c r="L12" s="813">
        <f t="shared" si="0"/>
        <v>343263.00577860681</v>
      </c>
      <c r="M12" s="813">
        <f t="shared" si="3"/>
        <v>12620.263157894738</v>
      </c>
      <c r="N12" s="813">
        <f t="shared" si="1"/>
        <v>355883.26893650152</v>
      </c>
      <c r="O12" s="724">
        <f t="shared" si="4"/>
        <v>379166.66666666669</v>
      </c>
      <c r="P12" s="724">
        <f>(VLOOKUP(A12,'2021 Funding Detail'!$A$4:$AO$23,39,FALSE)*5/12)*K12</f>
        <v>161271.85531861527</v>
      </c>
      <c r="Q12" s="42"/>
      <c r="R12" s="42">
        <f t="shared" si="2"/>
        <v>0</v>
      </c>
      <c r="S12" s="978"/>
      <c r="T12" s="808"/>
      <c r="U12" s="808"/>
      <c r="V12" s="808"/>
      <c r="W12" s="808"/>
      <c r="X12" s="808"/>
      <c r="Y12" s="808"/>
      <c r="Z12" s="808"/>
      <c r="AV12" s="34"/>
      <c r="AW12" s="34"/>
      <c r="AZ12" s="34"/>
      <c r="BA12" s="34"/>
      <c r="BB12" s="34"/>
    </row>
    <row r="13" spans="1:54" x14ac:dyDescent="0.25">
      <c r="A13" s="185">
        <v>9257008</v>
      </c>
      <c r="B13" s="38" t="s">
        <v>73</v>
      </c>
      <c r="C13" s="781">
        <v>4</v>
      </c>
      <c r="D13" s="812">
        <f>VLOOKUP(A13,'2021 Band Moderations'!$B$5:$S$22,6,(FALSE))</f>
        <v>0.10309278350515463</v>
      </c>
      <c r="E13" s="812">
        <f>VLOOKUP(A13,'2021 Band Moderations'!$B$5:$S$22,8,(FALSE))</f>
        <v>0.52577319587628868</v>
      </c>
      <c r="F13" s="812">
        <f>VLOOKUP(A13,'2021 Band Moderations'!$B$5:$S$22,10,(FALSE))</f>
        <v>8.247422680412371E-2</v>
      </c>
      <c r="G13" s="812">
        <f>VLOOKUP(A13,'2021 Band Moderations'!$B$5:$S$22,12,(FALSE))</f>
        <v>9.2783505154639179E-2</v>
      </c>
      <c r="H13" s="812">
        <f>VLOOKUP(A13,'2021 Band Moderations'!$B$5:$S$22,14,(FALSE))</f>
        <v>1.0309278350515464E-2</v>
      </c>
      <c r="I13" s="812">
        <f>VLOOKUP(A13,'2021 Band Moderations'!$B$5:$S$22,16,(FALSE))</f>
        <v>0.18556701030927836</v>
      </c>
      <c r="J13" s="812">
        <f>VLOOKUP(A13,'2021 Band Moderations'!$B$5:$S$22,18,(FALSE))</f>
        <v>0</v>
      </c>
      <c r="K13" s="1012">
        <v>95</v>
      </c>
      <c r="L13" s="813">
        <f t="shared" si="0"/>
        <v>368748.58064119524</v>
      </c>
      <c r="M13" s="813">
        <f t="shared" si="3"/>
        <v>8602.2336769759459</v>
      </c>
      <c r="N13" s="813">
        <f t="shared" si="1"/>
        <v>377350.81431817118</v>
      </c>
      <c r="O13" s="724">
        <f t="shared" si="4"/>
        <v>395833.33333333337</v>
      </c>
      <c r="P13" s="724">
        <f>(VLOOKUP(A13,'2021 Funding Detail'!$A$4:$AO$23,39,FALSE)*5/12)*K13</f>
        <v>169640.4127247172</v>
      </c>
      <c r="Q13" s="42"/>
      <c r="R13" s="42">
        <f t="shared" si="2"/>
        <v>0</v>
      </c>
      <c r="S13" s="978"/>
      <c r="T13" s="808"/>
      <c r="U13" s="808"/>
      <c r="V13" s="808"/>
      <c r="W13" s="808"/>
      <c r="X13" s="808"/>
      <c r="Y13" s="808"/>
      <c r="Z13" s="808"/>
      <c r="AV13" s="34"/>
      <c r="AW13" s="34"/>
      <c r="AZ13" s="34"/>
      <c r="BA13" s="34"/>
      <c r="BB13" s="34"/>
    </row>
    <row r="14" spans="1:54" x14ac:dyDescent="0.25">
      <c r="A14" s="185">
        <v>9257034</v>
      </c>
      <c r="B14" s="38" t="s">
        <v>74</v>
      </c>
      <c r="C14" s="781" t="s">
        <v>946</v>
      </c>
      <c r="D14" s="812">
        <f>VLOOKUP(A14,'2021 Band Moderations'!$B$5:$S$22,6,(FALSE))</f>
        <v>0.42201834862385323</v>
      </c>
      <c r="E14" s="812">
        <f>VLOOKUP(A14,'2021 Band Moderations'!$B$5:$S$22,8,(FALSE))</f>
        <v>0.26605504587155965</v>
      </c>
      <c r="F14" s="812">
        <f>VLOOKUP(A14,'2021 Band Moderations'!$B$5:$S$22,10,(FALSE))</f>
        <v>0.15596330275229359</v>
      </c>
      <c r="G14" s="812">
        <f>VLOOKUP(A14,'2021 Band Moderations'!$B$5:$S$22,12,(FALSE))</f>
        <v>4.5871559633027525E-2</v>
      </c>
      <c r="H14" s="812">
        <f>VLOOKUP(A14,'2021 Band Moderations'!$B$5:$S$22,14,(FALSE))</f>
        <v>4.5871559633027525E-2</v>
      </c>
      <c r="I14" s="812">
        <f>VLOOKUP(A14,'2021 Band Moderations'!$B$5:$S$22,16,(FALSE))</f>
        <v>5.5045871559633031E-2</v>
      </c>
      <c r="J14" s="812">
        <f>VLOOKUP(A14,'2021 Band Moderations'!$B$5:$S$22,18,(FALSE))</f>
        <v>9.1743119266055051E-3</v>
      </c>
      <c r="K14" s="1012">
        <v>83</v>
      </c>
      <c r="L14" s="813">
        <f t="shared" si="0"/>
        <v>287270.39982564177</v>
      </c>
      <c r="M14" s="813">
        <f t="shared" si="3"/>
        <v>14212.480886850153</v>
      </c>
      <c r="N14" s="813">
        <f t="shared" si="1"/>
        <v>301482.88071249193</v>
      </c>
      <c r="O14" s="724">
        <f t="shared" si="4"/>
        <v>345833.33333333337</v>
      </c>
      <c r="P14" s="724">
        <f>(VLOOKUP(A14,'2021 Funding Detail'!$A$4:$AO$23,39,FALSE)*5/12)*K14</f>
        <v>113250.21698772402</v>
      </c>
      <c r="Q14" s="42"/>
      <c r="R14" s="42">
        <f t="shared" si="2"/>
        <v>7142.8070058522089</v>
      </c>
      <c r="S14" s="978"/>
      <c r="T14" s="808"/>
      <c r="U14" s="808"/>
      <c r="V14" s="808"/>
      <c r="W14" s="808"/>
      <c r="X14" s="808"/>
      <c r="Y14" s="808"/>
      <c r="Z14" s="808"/>
      <c r="AV14" s="34"/>
      <c r="AW14" s="34"/>
      <c r="AZ14" s="34"/>
      <c r="BA14" s="34"/>
      <c r="BB14" s="34"/>
    </row>
    <row r="15" spans="1:54" x14ac:dyDescent="0.25">
      <c r="A15" s="185">
        <v>9257002</v>
      </c>
      <c r="B15" s="38" t="s">
        <v>75</v>
      </c>
      <c r="C15" s="781">
        <v>4</v>
      </c>
      <c r="D15" s="812">
        <f>VLOOKUP(A15,'2021 Band Moderations'!$B$5:$S$22,6,(FALSE))</f>
        <v>0.42957746478873238</v>
      </c>
      <c r="E15" s="812">
        <f>VLOOKUP(A15,'2021 Band Moderations'!$B$5:$S$22,8,(FALSE))</f>
        <v>0.25352112676056338</v>
      </c>
      <c r="F15" s="812">
        <f>VLOOKUP(A15,'2021 Band Moderations'!$B$5:$S$22,10,(FALSE))</f>
        <v>0.15492957746478872</v>
      </c>
      <c r="G15" s="812">
        <f>VLOOKUP(A15,'2021 Band Moderations'!$B$5:$S$22,12,(FALSE))</f>
        <v>2.1126760563380281E-2</v>
      </c>
      <c r="H15" s="812">
        <f>VLOOKUP(A15,'2021 Band Moderations'!$B$5:$S$22,14,(FALSE))</f>
        <v>4.2253521126760563E-2</v>
      </c>
      <c r="I15" s="812">
        <f>VLOOKUP(A15,'2021 Band Moderations'!$B$5:$S$22,16,(FALSE))</f>
        <v>8.4507042253521125E-2</v>
      </c>
      <c r="J15" s="812">
        <f>VLOOKUP(A15,'2021 Band Moderations'!$B$5:$S$22,18,(FALSE))</f>
        <v>1.4084507042253521E-2</v>
      </c>
      <c r="K15" s="1012">
        <v>145</v>
      </c>
      <c r="L15" s="813">
        <f t="shared" si="0"/>
        <v>507766.30492183176</v>
      </c>
      <c r="M15" s="813">
        <f t="shared" si="3"/>
        <v>24664.465962441314</v>
      </c>
      <c r="N15" s="813">
        <f t="shared" si="1"/>
        <v>532430.77088427311</v>
      </c>
      <c r="O15" s="724">
        <f t="shared" si="4"/>
        <v>604166.66666666674</v>
      </c>
      <c r="P15" s="724">
        <f>(VLOOKUP(A15,'2021 Funding Detail'!$A$4:$AO$23,39,FALSE)*5/12)*K15</f>
        <v>138906.11478098671</v>
      </c>
      <c r="Q15" s="42"/>
      <c r="R15" s="42">
        <f t="shared" si="2"/>
        <v>19156.976875529293</v>
      </c>
      <c r="S15" s="978"/>
      <c r="T15" s="808"/>
      <c r="U15" s="808"/>
      <c r="V15" s="808"/>
      <c r="W15" s="808"/>
      <c r="X15" s="808"/>
      <c r="Y15" s="808"/>
      <c r="Z15" s="808"/>
      <c r="AV15" s="34"/>
      <c r="AW15" s="34"/>
      <c r="AZ15" s="34"/>
      <c r="BA15" s="34"/>
      <c r="BB15" s="34"/>
    </row>
    <row r="16" spans="1:54" x14ac:dyDescent="0.25">
      <c r="A16" s="185">
        <v>9257009</v>
      </c>
      <c r="B16" s="38" t="s">
        <v>76</v>
      </c>
      <c r="C16" s="781">
        <v>4</v>
      </c>
      <c r="D16" s="812">
        <f>VLOOKUP(A16,'2021 Band Moderations'!$B$5:$S$22,6,(FALSE))</f>
        <v>0.17054263565891473</v>
      </c>
      <c r="E16" s="812">
        <f>VLOOKUP(A16,'2021 Band Moderations'!$B$5:$S$22,8,(FALSE))</f>
        <v>0.58139534883720934</v>
      </c>
      <c r="F16" s="812">
        <f>VLOOKUP(A16,'2021 Band Moderations'!$B$5:$S$22,10,(FALSE))</f>
        <v>8.5271317829457363E-2</v>
      </c>
      <c r="G16" s="812">
        <f>VLOOKUP(A16,'2021 Band Moderations'!$B$5:$S$22,12,(FALSE))</f>
        <v>1.5503875968992248E-2</v>
      </c>
      <c r="H16" s="812">
        <f>VLOOKUP(A16,'2021 Band Moderations'!$B$5:$S$22,14,(FALSE))</f>
        <v>3.1007751937984496E-2</v>
      </c>
      <c r="I16" s="812">
        <f>VLOOKUP(A16,'2021 Band Moderations'!$B$5:$S$22,16,(FALSE))</f>
        <v>0.11627906976744186</v>
      </c>
      <c r="J16" s="812">
        <f>VLOOKUP(A16,'2021 Band Moderations'!$B$5:$S$22,18,(FALSE))</f>
        <v>0</v>
      </c>
      <c r="K16" s="1012">
        <v>135</v>
      </c>
      <c r="L16" s="813">
        <f t="shared" si="0"/>
        <v>466377.66141391033</v>
      </c>
      <c r="M16" s="813">
        <f t="shared" si="3"/>
        <v>12638.808139534884</v>
      </c>
      <c r="N16" s="813">
        <f t="shared" si="1"/>
        <v>479016.46955344523</v>
      </c>
      <c r="O16" s="724">
        <f t="shared" si="4"/>
        <v>562500</v>
      </c>
      <c r="P16" s="724">
        <f>(VLOOKUP(A16,'2021 Funding Detail'!$A$4:$AO$23,39,FALSE)*5/12)*K16</f>
        <v>161077.35203361424</v>
      </c>
      <c r="Q16" s="42"/>
      <c r="R16" s="42">
        <f t="shared" si="2"/>
        <v>0</v>
      </c>
      <c r="S16" s="978"/>
      <c r="T16" s="808"/>
      <c r="U16" s="808"/>
      <c r="V16" s="808"/>
      <c r="W16" s="808"/>
      <c r="X16" s="808"/>
      <c r="Y16" s="808"/>
      <c r="Z16" s="808"/>
      <c r="AV16" s="34"/>
      <c r="AW16" s="34"/>
      <c r="AZ16" s="34"/>
      <c r="BA16" s="34"/>
      <c r="BB16" s="34"/>
    </row>
    <row r="17" spans="1:23" s="34" customFormat="1" x14ac:dyDescent="0.25">
      <c r="A17" s="185">
        <v>9257029</v>
      </c>
      <c r="B17" s="915" t="s">
        <v>848</v>
      </c>
      <c r="C17" s="781" t="s">
        <v>949</v>
      </c>
      <c r="D17" s="812">
        <f>VLOOKUP(A17,'2021 Band Moderations'!$B$5:$S$22,6,(FALSE))</f>
        <v>0</v>
      </c>
      <c r="E17" s="812">
        <f>VLOOKUP(A17,'2021 Band Moderations'!$B$5:$S$22,8,(FALSE))</f>
        <v>0</v>
      </c>
      <c r="F17" s="812">
        <f>VLOOKUP(A17,'2021 Band Moderations'!$B$5:$S$22,10,(FALSE))</f>
        <v>1</v>
      </c>
      <c r="G17" s="812">
        <f>VLOOKUP(A17,'2021 Band Moderations'!$B$5:$S$22,12,(FALSE))</f>
        <v>0</v>
      </c>
      <c r="H17" s="812">
        <f>VLOOKUP(A17,'2021 Band Moderations'!$B$5:$S$22,14,(FALSE))</f>
        <v>0</v>
      </c>
      <c r="I17" s="812">
        <f>VLOOKUP(A17,'2021 Band Moderations'!$B$5:$S$22,16,(FALSE))</f>
        <v>0</v>
      </c>
      <c r="J17" s="812">
        <f>VLOOKUP(A17,'2021 Band Moderations'!$B$5:$S$22,18,(FALSE))</f>
        <v>0</v>
      </c>
      <c r="K17" s="1012">
        <v>68</v>
      </c>
      <c r="L17" s="813">
        <f t="shared" si="0"/>
        <v>319130.01565356151</v>
      </c>
      <c r="M17" s="813">
        <f t="shared" si="3"/>
        <v>74658.333333333343</v>
      </c>
      <c r="N17" s="813">
        <f t="shared" si="1"/>
        <v>393788.34898689482</v>
      </c>
      <c r="O17" s="724">
        <f t="shared" si="4"/>
        <v>283333.33333333337</v>
      </c>
      <c r="P17" s="724">
        <f>(VLOOKUP(A17,'2021 Funding Detail'!$A$4:$AO$23,39,FALSE)*5/12)*K17</f>
        <v>289873.30689053034</v>
      </c>
      <c r="Q17" s="42"/>
      <c r="R17" s="42">
        <f t="shared" si="2"/>
        <v>0</v>
      </c>
      <c r="S17" s="978"/>
      <c r="T17" s="625"/>
      <c r="W17" s="42"/>
    </row>
    <row r="18" spans="1:23" s="34" customFormat="1" x14ac:dyDescent="0.25">
      <c r="A18" s="185">
        <v>9257032</v>
      </c>
      <c r="B18" s="915" t="s">
        <v>934</v>
      </c>
      <c r="C18" s="781" t="s">
        <v>949</v>
      </c>
      <c r="D18" s="812">
        <f>VLOOKUP(A18,'2021 Band Moderations'!$B$5:$S$22,6,(FALSE))</f>
        <v>0</v>
      </c>
      <c r="E18" s="812">
        <f>VLOOKUP(A18,'2021 Band Moderations'!$B$5:$S$22,8,(FALSE))</f>
        <v>0</v>
      </c>
      <c r="F18" s="812">
        <f>VLOOKUP(A18,'2021 Band Moderations'!$B$5:$S$22,10,(FALSE))</f>
        <v>1</v>
      </c>
      <c r="G18" s="812">
        <f>VLOOKUP(A18,'2021 Band Moderations'!$B$5:$S$22,12,(FALSE))</f>
        <v>0</v>
      </c>
      <c r="H18" s="812">
        <f>VLOOKUP(A18,'2021 Band Moderations'!$B$5:$S$22,14,(FALSE))</f>
        <v>0</v>
      </c>
      <c r="I18" s="812">
        <f>VLOOKUP(A18,'2021 Band Moderations'!$B$5:$S$22,16,(FALSE))</f>
        <v>0</v>
      </c>
      <c r="J18" s="812">
        <f>VLOOKUP(A18,'2021 Band Moderations'!$B$5:$S$22,18,(FALSE))</f>
        <v>0</v>
      </c>
      <c r="K18" s="1012">
        <v>71</v>
      </c>
      <c r="L18" s="813">
        <f t="shared" si="0"/>
        <v>333209.28105004219</v>
      </c>
      <c r="M18" s="813">
        <f t="shared" si="3"/>
        <v>77952.083333333343</v>
      </c>
      <c r="N18" s="813">
        <f t="shared" si="1"/>
        <v>411161.3643833755</v>
      </c>
      <c r="O18" s="724">
        <f t="shared" si="4"/>
        <v>295833.33333333337</v>
      </c>
      <c r="P18" s="724">
        <f>(VLOOKUP(A18,'2021 Funding Detail'!$A$4:$AO$23,39,FALSE)*5/12)*K18</f>
        <v>295164.7944304095</v>
      </c>
      <c r="Q18" s="42"/>
      <c r="R18" s="42">
        <f t="shared" si="2"/>
        <v>0</v>
      </c>
      <c r="S18" s="168"/>
      <c r="W18" s="42"/>
    </row>
    <row r="19" spans="1:23" s="34" customFormat="1" x14ac:dyDescent="0.25">
      <c r="A19" s="185">
        <v>9257030</v>
      </c>
      <c r="B19" s="915" t="s">
        <v>933</v>
      </c>
      <c r="C19" s="781" t="s">
        <v>949</v>
      </c>
      <c r="D19" s="812">
        <f>VLOOKUP(A19,'2021 Band Moderations'!$B$5:$S$22,6,(FALSE))</f>
        <v>0</v>
      </c>
      <c r="E19" s="812">
        <f>VLOOKUP(A19,'2021 Band Moderations'!$B$5:$S$22,8,(FALSE))</f>
        <v>0</v>
      </c>
      <c r="F19" s="812">
        <f>VLOOKUP(A19,'2021 Band Moderations'!$B$5:$S$22,10,(FALSE))</f>
        <v>1</v>
      </c>
      <c r="G19" s="812">
        <f>VLOOKUP(A19,'2021 Band Moderations'!$B$5:$S$22,12,(FALSE))</f>
        <v>0</v>
      </c>
      <c r="H19" s="812">
        <f>VLOOKUP(A19,'2021 Band Moderations'!$B$5:$S$22,14,(FALSE))</f>
        <v>0</v>
      </c>
      <c r="I19" s="812">
        <f>VLOOKUP(A19,'2021 Band Moderations'!$B$5:$S$22,16,(FALSE))</f>
        <v>0</v>
      </c>
      <c r="J19" s="812">
        <f>VLOOKUP(A19,'2021 Band Moderations'!$B$5:$S$22,18,(FALSE))</f>
        <v>0</v>
      </c>
      <c r="K19" s="1012">
        <v>74</v>
      </c>
      <c r="L19" s="813">
        <f t="shared" si="0"/>
        <v>347288.54644652281</v>
      </c>
      <c r="M19" s="813">
        <f t="shared" si="3"/>
        <v>81245.833333333343</v>
      </c>
      <c r="N19" s="813">
        <f t="shared" si="1"/>
        <v>428534.37977985619</v>
      </c>
      <c r="O19" s="724">
        <f t="shared" si="4"/>
        <v>308333.33333333337</v>
      </c>
      <c r="P19" s="724">
        <f>(VLOOKUP(A19,'2021 Funding Detail'!$A$4:$AO$23,39,FALSE)*5/12)*K19</f>
        <v>314510.27733802598</v>
      </c>
      <c r="Q19" s="42"/>
      <c r="R19" s="42">
        <f t="shared" si="2"/>
        <v>0</v>
      </c>
      <c r="S19" s="168"/>
      <c r="W19" s="42"/>
    </row>
    <row r="20" spans="1:23" s="34" customFormat="1" x14ac:dyDescent="0.25">
      <c r="A20" s="185">
        <v>9257028</v>
      </c>
      <c r="B20" s="38" t="s">
        <v>77</v>
      </c>
      <c r="C20" s="781">
        <v>4</v>
      </c>
      <c r="D20" s="812">
        <f>VLOOKUP(A20,'2021 Band Moderations'!$B$5:$S$22,6,(FALSE))</f>
        <v>9.4736842105263161E-2</v>
      </c>
      <c r="E20" s="812">
        <f>VLOOKUP(A20,'2021 Band Moderations'!$B$5:$S$22,8,(FALSE))</f>
        <v>0.35789473684210527</v>
      </c>
      <c r="F20" s="812">
        <f>VLOOKUP(A20,'2021 Band Moderations'!$B$5:$S$22,10,(FALSE))</f>
        <v>4.2105263157894736E-2</v>
      </c>
      <c r="G20" s="812">
        <f>VLOOKUP(A20,'2021 Band Moderations'!$B$5:$S$22,12,(FALSE))</f>
        <v>9.4736842105263161E-2</v>
      </c>
      <c r="H20" s="812">
        <f>VLOOKUP(A20,'2021 Band Moderations'!$B$5:$S$22,14,(FALSE))</f>
        <v>0.14736842105263157</v>
      </c>
      <c r="I20" s="812">
        <f>VLOOKUP(A20,'2021 Band Moderations'!$B$5:$S$22,16,(FALSE))</f>
        <v>0.1368421052631579</v>
      </c>
      <c r="J20" s="812">
        <f>VLOOKUP(A20,'2021 Band Moderations'!$B$5:$S$22,18,(FALSE))</f>
        <v>0.12631578947368421</v>
      </c>
      <c r="K20" s="1012">
        <v>74</v>
      </c>
      <c r="L20" s="813">
        <f t="shared" si="0"/>
        <v>361743.87146043795</v>
      </c>
      <c r="M20" s="813">
        <f t="shared" si="3"/>
        <v>3420.8771929824566</v>
      </c>
      <c r="N20" s="813">
        <f t="shared" si="1"/>
        <v>365164.74865342042</v>
      </c>
      <c r="O20" s="724">
        <f t="shared" si="4"/>
        <v>308333.33333333337</v>
      </c>
      <c r="P20" s="724">
        <f>(VLOOKUP(A20,'2021 Funding Detail'!$A$4:$AO$23,39,FALSE)*5/12)*K20</f>
        <v>225274.27903769203</v>
      </c>
      <c r="Q20" s="42"/>
      <c r="R20" s="42">
        <f t="shared" si="2"/>
        <v>87681.239785725658</v>
      </c>
      <c r="S20" s="168"/>
      <c r="W20" s="42"/>
    </row>
    <row r="21" spans="1:23" s="34" customFormat="1" x14ac:dyDescent="0.25">
      <c r="A21" s="185">
        <v>9257021</v>
      </c>
      <c r="B21" s="38" t="s">
        <v>78</v>
      </c>
      <c r="C21" s="781" t="s">
        <v>947</v>
      </c>
      <c r="D21" s="812">
        <f>VLOOKUP(A21,'2021 Band Moderations'!$B$5:$S$22,6,(FALSE))</f>
        <v>0.28834355828220859</v>
      </c>
      <c r="E21" s="812">
        <f>VLOOKUP(A21,'2021 Band Moderations'!$B$5:$S$22,8,(FALSE))</f>
        <v>0.35582822085889571</v>
      </c>
      <c r="F21" s="812">
        <f>VLOOKUP(A21,'2021 Band Moderations'!$B$5:$S$22,10,(FALSE))</f>
        <v>9.815950920245399E-2</v>
      </c>
      <c r="G21" s="812">
        <f>VLOOKUP(A21,'2021 Band Moderations'!$B$5:$S$22,12,(FALSE))</f>
        <v>6.1349693251533742E-2</v>
      </c>
      <c r="H21" s="812">
        <f>VLOOKUP(A21,'2021 Band Moderations'!$B$5:$S$22,14,(FALSE))</f>
        <v>6.1349693251533742E-2</v>
      </c>
      <c r="I21" s="812">
        <f>VLOOKUP(A21,'2021 Band Moderations'!$B$5:$S$22,16,(FALSE))</f>
        <v>0.12269938650306748</v>
      </c>
      <c r="J21" s="812">
        <f>VLOOKUP(A21,'2021 Band Moderations'!$B$5:$S$22,18,(FALSE))</f>
        <v>1.2269938650306749E-2</v>
      </c>
      <c r="K21" s="1012">
        <v>162</v>
      </c>
      <c r="L21" s="813">
        <f t="shared" si="0"/>
        <v>608235.02408930613</v>
      </c>
      <c r="M21" s="813">
        <f t="shared" si="3"/>
        <v>17458.895705521474</v>
      </c>
      <c r="N21" s="813">
        <f t="shared" si="1"/>
        <v>625693.91979482758</v>
      </c>
      <c r="O21" s="724">
        <f t="shared" si="4"/>
        <v>675000</v>
      </c>
      <c r="P21" s="724">
        <f>(VLOOKUP(A21,'2021 Funding Detail'!$A$4:$AO$23,39,FALSE)*5/12)*K21</f>
        <v>191567.54414437566</v>
      </c>
      <c r="Q21" s="42"/>
      <c r="R21" s="42">
        <f t="shared" si="2"/>
        <v>18645.529767069005</v>
      </c>
      <c r="S21" s="168"/>
      <c r="W21" s="42"/>
    </row>
    <row r="22" spans="1:23" s="34" customFormat="1" x14ac:dyDescent="0.25">
      <c r="A22" s="185">
        <v>9257015</v>
      </c>
      <c r="B22" s="38" t="s">
        <v>55</v>
      </c>
      <c r="C22" s="781" t="s">
        <v>948</v>
      </c>
      <c r="D22" s="812">
        <f>VLOOKUP(A22,'2021 Band Moderations'!$B$5:$S$22,6,(FALSE))</f>
        <v>0.37931034482758619</v>
      </c>
      <c r="E22" s="812">
        <f>VLOOKUP(A22,'2021 Band Moderations'!$B$5:$S$22,8,(FALSE))</f>
        <v>0.33189655172413796</v>
      </c>
      <c r="F22" s="812">
        <f>VLOOKUP(A22,'2021 Band Moderations'!$B$5:$S$22,10,(FALSE))</f>
        <v>2.5862068965517241E-2</v>
      </c>
      <c r="G22" s="812">
        <f>VLOOKUP(A22,'2021 Band Moderations'!$B$5:$S$22,12,(FALSE))</f>
        <v>6.4655172413793108E-2</v>
      </c>
      <c r="H22" s="812">
        <f>VLOOKUP(A22,'2021 Band Moderations'!$B$5:$S$22,14,(FALSE))</f>
        <v>3.8793103448275863E-2</v>
      </c>
      <c r="I22" s="812">
        <f>VLOOKUP(A22,'2021 Band Moderations'!$B$5:$S$22,16,(FALSE))</f>
        <v>0.14655172413793102</v>
      </c>
      <c r="J22" s="812">
        <f>VLOOKUP(A22,'2021 Band Moderations'!$B$5:$S$22,18,(FALSE))</f>
        <v>1.2931034482758621E-2</v>
      </c>
      <c r="K22" s="1012">
        <v>221</v>
      </c>
      <c r="L22" s="813">
        <f t="shared" si="0"/>
        <v>797028.43917490938</v>
      </c>
      <c r="M22" s="813">
        <f t="shared" si="3"/>
        <v>6275.1616379310353</v>
      </c>
      <c r="N22" s="813">
        <f t="shared" si="1"/>
        <v>803303.60081284039</v>
      </c>
      <c r="O22" s="724">
        <f t="shared" si="4"/>
        <v>920833.33333333337</v>
      </c>
      <c r="P22" s="724">
        <f>(VLOOKUP(A22,'2021 Funding Detail'!$A$4:$AO$23,39,FALSE)*5/12)*K22</f>
        <v>126433.43777582981</v>
      </c>
      <c r="Q22" s="42"/>
      <c r="R22" s="42">
        <f t="shared" si="2"/>
        <v>26806.669811587111</v>
      </c>
      <c r="S22" s="168"/>
      <c r="W22" s="42"/>
    </row>
    <row r="23" spans="1:23" s="34" customFormat="1" x14ac:dyDescent="0.25">
      <c r="A23" s="185">
        <v>9257016</v>
      </c>
      <c r="B23" s="38" t="s">
        <v>80</v>
      </c>
      <c r="C23" s="781" t="s">
        <v>948</v>
      </c>
      <c r="D23" s="812">
        <f>VLOOKUP(A23,'2021 Band Moderations'!$B$5:$S$22,6,(FALSE))</f>
        <v>0.21052631578947367</v>
      </c>
      <c r="E23" s="812">
        <f>VLOOKUP(A23,'2021 Band Moderations'!$B$5:$S$22,8,(FALSE))</f>
        <v>0.13815789473684212</v>
      </c>
      <c r="F23" s="812">
        <f>VLOOKUP(A23,'2021 Band Moderations'!$B$5:$S$22,10,(FALSE))</f>
        <v>6.5789473684210523E-3</v>
      </c>
      <c r="G23" s="812">
        <f>VLOOKUP(A23,'2021 Band Moderations'!$B$5:$S$22,12,(FALSE))</f>
        <v>0.21710526315789475</v>
      </c>
      <c r="H23" s="812">
        <f>VLOOKUP(A23,'2021 Band Moderations'!$B$5:$S$22,14,(FALSE))</f>
        <v>0.19736842105263158</v>
      </c>
      <c r="I23" s="812">
        <f>VLOOKUP(A23,'2021 Band Moderations'!$B$5:$S$22,16,(FALSE))</f>
        <v>6.5789473684210523E-3</v>
      </c>
      <c r="J23" s="812">
        <f>VLOOKUP(A23,'2021 Band Moderations'!$B$5:$S$22,18,(FALSE))</f>
        <v>0.22368421052631579</v>
      </c>
      <c r="K23" s="1012">
        <v>94</v>
      </c>
      <c r="L23" s="813">
        <f t="shared" si="0"/>
        <v>515598.51276803919</v>
      </c>
      <c r="M23" s="813">
        <f t="shared" si="3"/>
        <v>678.97478070175441</v>
      </c>
      <c r="N23" s="813">
        <f t="shared" si="1"/>
        <v>516277.48754874093</v>
      </c>
      <c r="O23" s="724">
        <f t="shared" si="4"/>
        <v>391666.66666666669</v>
      </c>
      <c r="P23" s="724">
        <f>(VLOOKUP(A23,'2021 Funding Detail'!$A$4:$AO$23,39,FALSE)*5/12)*K23</f>
        <v>282920.22692234267</v>
      </c>
      <c r="Q23" s="628" t="s">
        <v>402</v>
      </c>
      <c r="R23" s="42">
        <f t="shared" si="2"/>
        <v>197233.41945043582</v>
      </c>
      <c r="S23" s="168"/>
      <c r="W23" s="42"/>
    </row>
    <row r="24" spans="1:23" s="34" customFormat="1" x14ac:dyDescent="0.25">
      <c r="A24" s="75"/>
      <c r="B24" s="50"/>
      <c r="C24" s="61"/>
      <c r="D24" s="49"/>
      <c r="E24" s="49"/>
      <c r="G24" s="628"/>
      <c r="H24" s="49"/>
      <c r="I24" s="49"/>
      <c r="J24" s="628"/>
      <c r="K24" s="628"/>
      <c r="L24" s="168"/>
      <c r="M24" s="628" t="s">
        <v>402</v>
      </c>
      <c r="N24" s="80"/>
      <c r="O24" s="80"/>
      <c r="P24" s="80"/>
      <c r="Q24" s="628" t="s">
        <v>402</v>
      </c>
      <c r="R24" s="168"/>
      <c r="S24" s="168"/>
    </row>
    <row r="25" spans="1:23" s="34" customFormat="1" ht="13" x14ac:dyDescent="0.3">
      <c r="A25" s="230" t="s">
        <v>930</v>
      </c>
      <c r="B25" s="50"/>
      <c r="C25" s="61"/>
      <c r="D25" s="49"/>
      <c r="E25" s="49"/>
      <c r="G25" s="49"/>
      <c r="H25" s="49"/>
      <c r="I25" s="49"/>
      <c r="J25" s="49"/>
      <c r="K25" s="168"/>
      <c r="L25" s="168"/>
      <c r="M25" s="168"/>
      <c r="N25" s="80"/>
      <c r="O25" s="80"/>
      <c r="P25" s="80"/>
      <c r="Q25" s="80"/>
      <c r="R25" s="168"/>
      <c r="S25" s="168"/>
    </row>
    <row r="26" spans="1:23" s="34" customFormat="1" x14ac:dyDescent="0.25">
      <c r="A26" s="75"/>
      <c r="B26" s="50"/>
      <c r="C26" s="61"/>
      <c r="D26" s="49"/>
      <c r="E26" s="49"/>
      <c r="G26" s="49"/>
      <c r="H26" s="49"/>
      <c r="I26" s="49"/>
      <c r="J26" s="49"/>
      <c r="K26" s="231" t="s">
        <v>853</v>
      </c>
      <c r="L26" s="168"/>
      <c r="M26" s="168"/>
      <c r="N26" s="80"/>
      <c r="O26" s="1893" t="s">
        <v>332</v>
      </c>
      <c r="P26" s="1894"/>
      <c r="Q26" s="80"/>
      <c r="R26" s="168"/>
      <c r="S26" s="168"/>
    </row>
    <row r="27" spans="1:23" s="34" customFormat="1" ht="37.5" x14ac:dyDescent="0.25">
      <c r="A27" s="183" t="s">
        <v>201</v>
      </c>
      <c r="B27" s="36" t="s">
        <v>66</v>
      </c>
      <c r="C27" s="39" t="s">
        <v>51</v>
      </c>
      <c r="D27" s="1002" t="s">
        <v>858</v>
      </c>
      <c r="E27" s="1002" t="s">
        <v>859</v>
      </c>
      <c r="F27" s="1002" t="s">
        <v>860</v>
      </c>
      <c r="G27" s="1002" t="s">
        <v>861</v>
      </c>
      <c r="H27" s="1002" t="s">
        <v>862</v>
      </c>
      <c r="I27" s="1002" t="s">
        <v>863</v>
      </c>
      <c r="J27" s="1002" t="s">
        <v>864</v>
      </c>
      <c r="K27" s="1004" t="s">
        <v>185</v>
      </c>
      <c r="L27" s="1004" t="s">
        <v>288</v>
      </c>
      <c r="M27" s="1004" t="s">
        <v>388</v>
      </c>
      <c r="N27" s="1004" t="s">
        <v>288</v>
      </c>
      <c r="O27" s="252" t="s">
        <v>330</v>
      </c>
      <c r="P27" s="694" t="s">
        <v>339</v>
      </c>
      <c r="Q27" s="1004"/>
      <c r="R27" s="1004"/>
      <c r="S27" s="252"/>
    </row>
    <row r="28" spans="1:23" s="34" customFormat="1" x14ac:dyDescent="0.25">
      <c r="A28" s="185">
        <v>9257010</v>
      </c>
      <c r="B28" s="38" t="s">
        <v>67</v>
      </c>
      <c r="C28" s="781">
        <v>4</v>
      </c>
      <c r="D28" s="812">
        <f>VLOOKUP(A28,'2021 Band Moderations'!$B$5:$S$22,6,(FALSE))</f>
        <v>6.25E-2</v>
      </c>
      <c r="E28" s="812">
        <f>VLOOKUP(A28,'2021 Band Moderations'!$B$5:$S$22,8,(FALSE))</f>
        <v>0.34375</v>
      </c>
      <c r="F28" s="812">
        <f>VLOOKUP(A28,'2021 Band Moderations'!$B$5:$S$22,10,(FALSE))</f>
        <v>6.25E-2</v>
      </c>
      <c r="G28" s="812">
        <f>VLOOKUP(A28,'2021 Band Moderations'!$B$5:$S$22,12,(FALSE))</f>
        <v>0.171875</v>
      </c>
      <c r="H28" s="812">
        <f>VLOOKUP(A28,'2021 Band Moderations'!$B$5:$S$22,14,(FALSE))</f>
        <v>4.6875E-2</v>
      </c>
      <c r="I28" s="812">
        <f>VLOOKUP(A28,'2021 Band Moderations'!$B$5:$S$22,16,(FALSE))</f>
        <v>0.171875</v>
      </c>
      <c r="J28" s="812">
        <f>VLOOKUP(A28,'2021 Band Moderations'!$B$5:$S$22,18,(FALSE))</f>
        <v>0.140625</v>
      </c>
      <c r="K28" s="1012">
        <v>8</v>
      </c>
      <c r="L28" s="813">
        <f>((((K28*D28)*$G$92)+((K28*E28)*$G$94)+((K28*F28)*$G$96)+((K28*G28)*$G$98)+((K28*H28)*$G$100)+((K28*I28)*$G$102)+((K28*J28)*$G$104)))*(4/12)</f>
        <v>32524.092540204641</v>
      </c>
      <c r="M28" s="813">
        <f t="shared" ref="M28:M45" si="5">((K28*F28)*$G$106)*(4/12)</f>
        <v>439.16666666666663</v>
      </c>
      <c r="N28" s="813">
        <f>SUM(L28:M28)</f>
        <v>32963.259206871306</v>
      </c>
      <c r="O28" s="724">
        <f>(K28*(4/12))*10000</f>
        <v>26666.666666666664</v>
      </c>
      <c r="P28" s="724">
        <f>(VLOOKUP(A28,'2021 Funding Detail'!$A$4:$AO$23,39,FALSE)*4/12)*K28</f>
        <v>26239.032458912625</v>
      </c>
      <c r="Q28" s="80"/>
      <c r="R28" s="42">
        <f t="shared" ref="R28:R45" si="6">(J28*K28*$G$104)*4/12</f>
        <v>8442.2815334229108</v>
      </c>
      <c r="S28" s="233"/>
      <c r="T28" s="80"/>
      <c r="U28" s="42"/>
      <c r="V28" s="626"/>
      <c r="W28" s="625"/>
    </row>
    <row r="29" spans="1:23" s="34" customFormat="1" x14ac:dyDescent="0.25">
      <c r="A29" s="185">
        <v>9257005</v>
      </c>
      <c r="B29" s="38" t="s">
        <v>68</v>
      </c>
      <c r="C29" s="781" t="s">
        <v>946</v>
      </c>
      <c r="D29" s="812">
        <f>VLOOKUP(A29,'2021 Band Moderations'!$B$5:$S$22,6,(FALSE))</f>
        <v>7.8947368421052627E-2</v>
      </c>
      <c r="E29" s="812">
        <f>VLOOKUP(A29,'2021 Band Moderations'!$B$5:$S$22,8,(FALSE))</f>
        <v>0.35526315789473684</v>
      </c>
      <c r="F29" s="812">
        <f>VLOOKUP(A29,'2021 Band Moderations'!$B$5:$S$22,10,(FALSE))</f>
        <v>6.5789473684210523E-2</v>
      </c>
      <c r="G29" s="812">
        <f>VLOOKUP(A29,'2021 Band Moderations'!$B$5:$S$22,12,(FALSE))</f>
        <v>0.14473684210526316</v>
      </c>
      <c r="H29" s="812">
        <f>VLOOKUP(A29,'2021 Band Moderations'!$B$5:$S$22,14,(FALSE))</f>
        <v>0.14473684210526316</v>
      </c>
      <c r="I29" s="812">
        <f>VLOOKUP(A29,'2021 Band Moderations'!$B$5:$S$22,16,(FALSE))</f>
        <v>0.15789473684210525</v>
      </c>
      <c r="J29" s="812">
        <f>VLOOKUP(A29,'2021 Band Moderations'!$B$5:$S$22,18,(FALSE))</f>
        <v>5.2631578947368418E-2</v>
      </c>
      <c r="K29" s="1012">
        <v>23</v>
      </c>
      <c r="L29" s="813">
        <f t="shared" ref="L29:L45" si="7">((((K29*D29)*$G$92)+((K29*E29)*$G$94)+((K29*F29)*$G$96)+((K29*G29)*$G$98)+((K29*H29)*$G$100)+((K29*I29)*$G$102)+((K29*J29)*$G$104)))*(4/12)</f>
        <v>85928.809485751568</v>
      </c>
      <c r="M29" s="813">
        <f t="shared" si="5"/>
        <v>1329.0570175438595</v>
      </c>
      <c r="N29" s="813">
        <f>SUM(L29:M29)</f>
        <v>87257.86650329543</v>
      </c>
      <c r="O29" s="724">
        <f>(K29*(4/12))*10000</f>
        <v>76666.666666666657</v>
      </c>
      <c r="P29" s="724">
        <f>(VLOOKUP(A29,'2021 Funding Detail'!$A$4:$AO$23,39,FALSE)*4/12)*K29</f>
        <v>55970.708095551083</v>
      </c>
      <c r="Q29" s="80"/>
      <c r="R29" s="42">
        <f t="shared" si="6"/>
        <v>9084.092410232839</v>
      </c>
      <c r="S29" s="233"/>
      <c r="T29" s="80"/>
      <c r="U29" s="42"/>
      <c r="V29" s="42"/>
    </row>
    <row r="30" spans="1:23" s="34" customFormat="1" x14ac:dyDescent="0.25">
      <c r="A30" s="185">
        <v>9257025</v>
      </c>
      <c r="B30" s="38" t="s">
        <v>69</v>
      </c>
      <c r="C30" s="781">
        <v>4</v>
      </c>
      <c r="D30" s="812">
        <f>VLOOKUP(A30,'2021 Band Moderations'!$B$5:$S$22,6,(FALSE))</f>
        <v>0.16216216216216217</v>
      </c>
      <c r="E30" s="812">
        <f>VLOOKUP(A30,'2021 Band Moderations'!$B$5:$S$22,8,(FALSE))</f>
        <v>0.35135135135135137</v>
      </c>
      <c r="F30" s="812">
        <f>VLOOKUP(A30,'2021 Band Moderations'!$B$5:$S$22,10,(FALSE))</f>
        <v>6.7567567567567571E-2</v>
      </c>
      <c r="G30" s="812">
        <f>VLOOKUP(A30,'2021 Band Moderations'!$B$5:$S$22,12,(FALSE))</f>
        <v>0.17567567567567569</v>
      </c>
      <c r="H30" s="812">
        <f>VLOOKUP(A30,'2021 Band Moderations'!$B$5:$S$22,14,(FALSE))</f>
        <v>5.4054054054054057E-2</v>
      </c>
      <c r="I30" s="812">
        <f>VLOOKUP(A30,'2021 Band Moderations'!$B$5:$S$22,16,(FALSE))</f>
        <v>0.13513513513513514</v>
      </c>
      <c r="J30" s="812">
        <f>VLOOKUP(A30,'2021 Band Moderations'!$B$5:$S$22,18,(FALSE))</f>
        <v>5.4054054054054057E-2</v>
      </c>
      <c r="K30" s="1012">
        <v>18</v>
      </c>
      <c r="L30" s="813">
        <f t="shared" si="7"/>
        <v>63215.456089676249</v>
      </c>
      <c r="M30" s="813">
        <f t="shared" si="5"/>
        <v>1068.2432432432431</v>
      </c>
      <c r="N30" s="813">
        <f t="shared" ref="N30:N45" si="8">SUM(L30:M30)</f>
        <v>64283.699332919488</v>
      </c>
      <c r="O30" s="724">
        <f t="shared" ref="O30:O45" si="9">(K30*(4/12))*10000</f>
        <v>60000</v>
      </c>
      <c r="P30" s="724">
        <f>(VLOOKUP(A30,'2021 Funding Detail'!$A$4:$AO$23,39,FALSE)*4/12)*K30</f>
        <v>42878.630510792311</v>
      </c>
      <c r="Q30" s="80"/>
      <c r="R30" s="42">
        <f t="shared" si="6"/>
        <v>7301.4326775549489</v>
      </c>
      <c r="S30" s="233"/>
      <c r="T30" s="80"/>
      <c r="U30" s="42"/>
      <c r="V30" s="42"/>
    </row>
    <row r="31" spans="1:23" s="34" customFormat="1" x14ac:dyDescent="0.25">
      <c r="A31" s="185">
        <v>9257011</v>
      </c>
      <c r="B31" s="38" t="s">
        <v>70</v>
      </c>
      <c r="C31" s="781">
        <v>4</v>
      </c>
      <c r="D31" s="812">
        <f>VLOOKUP(A31,'2021 Band Moderations'!$B$5:$S$22,6,(FALSE))</f>
        <v>5.6603773584905662E-2</v>
      </c>
      <c r="E31" s="812">
        <f>VLOOKUP(A31,'2021 Band Moderations'!$B$5:$S$22,8,(FALSE))</f>
        <v>0.32075471698113206</v>
      </c>
      <c r="F31" s="812">
        <f>VLOOKUP(A31,'2021 Band Moderations'!$B$5:$S$22,10,(FALSE))</f>
        <v>3.7735849056603772E-2</v>
      </c>
      <c r="G31" s="812">
        <f>VLOOKUP(A31,'2021 Band Moderations'!$B$5:$S$22,12,(FALSE))</f>
        <v>0.16981132075471697</v>
      </c>
      <c r="H31" s="812">
        <f>VLOOKUP(A31,'2021 Band Moderations'!$B$5:$S$22,14,(FALSE))</f>
        <v>0.16981132075471697</v>
      </c>
      <c r="I31" s="812">
        <f>VLOOKUP(A31,'2021 Band Moderations'!$B$5:$S$22,16,(FALSE))</f>
        <v>0.15094339622641509</v>
      </c>
      <c r="J31" s="812">
        <f>VLOOKUP(A31,'2021 Band Moderations'!$B$5:$S$22,18,(FALSE))</f>
        <v>9.4339622641509441E-2</v>
      </c>
      <c r="K31" s="1012">
        <v>15</v>
      </c>
      <c r="L31" s="813">
        <f t="shared" si="7"/>
        <v>60330.188715996635</v>
      </c>
      <c r="M31" s="813">
        <f t="shared" si="5"/>
        <v>497.16981132075472</v>
      </c>
      <c r="N31" s="813">
        <f t="shared" si="8"/>
        <v>60827.358527317389</v>
      </c>
      <c r="O31" s="724">
        <f t="shared" si="9"/>
        <v>50000</v>
      </c>
      <c r="P31" s="724">
        <f>(VLOOKUP(A31,'2021 Funding Detail'!$A$4:$AO$23,39,FALSE)*4/12)*K31</f>
        <v>50270.117893311624</v>
      </c>
      <c r="Q31" s="80"/>
      <c r="R31" s="42">
        <f t="shared" si="6"/>
        <v>10619.222054620013</v>
      </c>
      <c r="S31" s="233"/>
      <c r="T31" s="80"/>
      <c r="U31" s="42"/>
      <c r="V31" s="42"/>
    </row>
    <row r="32" spans="1:23" s="34" customFormat="1" x14ac:dyDescent="0.25">
      <c r="A32" s="185">
        <v>9257024</v>
      </c>
      <c r="B32" s="38" t="s">
        <v>71</v>
      </c>
      <c r="C32" s="781">
        <v>4</v>
      </c>
      <c r="D32" s="812">
        <f>VLOOKUP(A32,'2021 Band Moderations'!$B$5:$S$22,6,(FALSE))</f>
        <v>0.10843373493975904</v>
      </c>
      <c r="E32" s="812">
        <f>VLOOKUP(A32,'2021 Band Moderations'!$B$5:$S$22,8,(FALSE))</f>
        <v>0.43373493975903615</v>
      </c>
      <c r="F32" s="812">
        <f>VLOOKUP(A32,'2021 Band Moderations'!$B$5:$S$22,10,(FALSE))</f>
        <v>2.4096385542168676E-2</v>
      </c>
      <c r="G32" s="812">
        <f>VLOOKUP(A32,'2021 Band Moderations'!$B$5:$S$22,12,(FALSE))</f>
        <v>0.15662650602409639</v>
      </c>
      <c r="H32" s="812">
        <f>VLOOKUP(A32,'2021 Band Moderations'!$B$5:$S$22,14,(FALSE))</f>
        <v>0.10843373493975904</v>
      </c>
      <c r="I32" s="812">
        <f>VLOOKUP(A32,'2021 Band Moderations'!$B$5:$S$22,16,(FALSE))</f>
        <v>7.2289156626506021E-2</v>
      </c>
      <c r="J32" s="812">
        <f>VLOOKUP(A32,'2021 Band Moderations'!$B$5:$S$22,18,(FALSE))</f>
        <v>9.6385542168674704E-2</v>
      </c>
      <c r="K32" s="1012">
        <v>15</v>
      </c>
      <c r="L32" s="813">
        <f t="shared" si="7"/>
        <v>54066.222650144577</v>
      </c>
      <c r="M32" s="813">
        <f t="shared" si="5"/>
        <v>317.46987951807228</v>
      </c>
      <c r="N32" s="813">
        <f t="shared" si="8"/>
        <v>54383.69252966265</v>
      </c>
      <c r="O32" s="724">
        <f t="shared" si="9"/>
        <v>50000</v>
      </c>
      <c r="P32" s="724">
        <f>(VLOOKUP(A32,'2021 Funding Detail'!$A$4:$AO$23,39,FALSE)*4/12)*K32</f>
        <v>33866.602480412672</v>
      </c>
      <c r="Q32" s="80"/>
      <c r="R32" s="42">
        <f t="shared" si="6"/>
        <v>10849.518436527434</v>
      </c>
      <c r="S32" s="233"/>
      <c r="T32" s="80"/>
      <c r="U32" s="42"/>
      <c r="V32" s="42"/>
    </row>
    <row r="33" spans="1:22" s="34" customFormat="1" x14ac:dyDescent="0.25">
      <c r="A33" s="185">
        <v>9257031</v>
      </c>
      <c r="B33" s="38" t="s">
        <v>98</v>
      </c>
      <c r="C33" s="781" t="s">
        <v>949</v>
      </c>
      <c r="D33" s="812">
        <f>VLOOKUP(A33,'2021 Band Moderations'!$B$5:$S$22,6,(FALSE))</f>
        <v>0</v>
      </c>
      <c r="E33" s="812">
        <f>VLOOKUP(A33,'2021 Band Moderations'!$B$5:$S$22,8,(FALSE))</f>
        <v>0</v>
      </c>
      <c r="F33" s="812">
        <f>VLOOKUP(A33,'2021 Band Moderations'!$B$5:$S$22,10,(FALSE))</f>
        <v>1</v>
      </c>
      <c r="G33" s="812">
        <f>VLOOKUP(A33,'2021 Band Moderations'!$B$5:$S$22,12,(FALSE))</f>
        <v>0</v>
      </c>
      <c r="H33" s="812">
        <f>VLOOKUP(A33,'2021 Band Moderations'!$B$5:$S$22,14,(FALSE))</f>
        <v>0</v>
      </c>
      <c r="I33" s="812">
        <f>VLOOKUP(A33,'2021 Band Moderations'!$B$5:$S$22,16,(FALSE))</f>
        <v>0</v>
      </c>
      <c r="J33" s="812">
        <f>VLOOKUP(A33,'2021 Band Moderations'!$B$5:$S$22,18,(FALSE))</f>
        <v>0</v>
      </c>
      <c r="K33" s="1012">
        <v>0</v>
      </c>
      <c r="L33" s="813">
        <f t="shared" si="7"/>
        <v>0</v>
      </c>
      <c r="M33" s="813">
        <f t="shared" si="5"/>
        <v>0</v>
      </c>
      <c r="N33" s="813">
        <f t="shared" si="8"/>
        <v>0</v>
      </c>
      <c r="O33" s="724">
        <f t="shared" si="9"/>
        <v>0</v>
      </c>
      <c r="P33" s="724">
        <f>(VLOOKUP(A33,'2021 Funding Detail'!$A$4:$AO$23,39,FALSE)*4/12)*K33</f>
        <v>0</v>
      </c>
      <c r="Q33" s="80"/>
      <c r="R33" s="42">
        <f t="shared" si="6"/>
        <v>0</v>
      </c>
      <c r="S33" s="233"/>
      <c r="T33" s="80"/>
      <c r="U33" s="42"/>
      <c r="V33" s="42"/>
    </row>
    <row r="34" spans="1:22" s="34" customFormat="1" x14ac:dyDescent="0.25">
      <c r="A34" s="185">
        <v>9257033</v>
      </c>
      <c r="B34" s="38" t="s">
        <v>72</v>
      </c>
      <c r="C34" s="781" t="s">
        <v>946</v>
      </c>
      <c r="D34" s="812">
        <f>VLOOKUP(A34,'2021 Band Moderations'!$B$5:$S$22,6,(FALSE))</f>
        <v>0.17894736842105263</v>
      </c>
      <c r="E34" s="812">
        <f>VLOOKUP(A34,'2021 Band Moderations'!$B$5:$S$22,8,(FALSE))</f>
        <v>0.44210526315789472</v>
      </c>
      <c r="F34" s="812">
        <f>VLOOKUP(A34,'2021 Band Moderations'!$B$5:$S$22,10,(FALSE))</f>
        <v>0.12631578947368421</v>
      </c>
      <c r="G34" s="812">
        <f>VLOOKUP(A34,'2021 Band Moderations'!$B$5:$S$22,12,(FALSE))</f>
        <v>0.15789473684210525</v>
      </c>
      <c r="H34" s="812">
        <f>VLOOKUP(A34,'2021 Band Moderations'!$B$5:$S$22,14,(FALSE))</f>
        <v>4.2105263157894736E-2</v>
      </c>
      <c r="I34" s="812">
        <f>VLOOKUP(A34,'2021 Band Moderations'!$B$5:$S$22,16,(FALSE))</f>
        <v>5.2631578947368418E-2</v>
      </c>
      <c r="J34" s="812">
        <f>VLOOKUP(A34,'2021 Band Moderations'!$B$5:$S$22,18,(FALSE))</f>
        <v>0</v>
      </c>
      <c r="K34" s="1012">
        <v>0</v>
      </c>
      <c r="L34" s="813">
        <f t="shared" si="7"/>
        <v>0</v>
      </c>
      <c r="M34" s="813">
        <f t="shared" si="5"/>
        <v>0</v>
      </c>
      <c r="N34" s="813">
        <f t="shared" si="8"/>
        <v>0</v>
      </c>
      <c r="O34" s="724">
        <f t="shared" si="9"/>
        <v>0</v>
      </c>
      <c r="P34" s="724">
        <f>(VLOOKUP(A34,'2021 Funding Detail'!$A$4:$AO$23,39,FALSE)*4/12)*K34</f>
        <v>0</v>
      </c>
      <c r="Q34" s="80"/>
      <c r="R34" s="42">
        <f t="shared" si="6"/>
        <v>0</v>
      </c>
      <c r="S34" s="233"/>
      <c r="T34" s="80"/>
      <c r="U34" s="42"/>
      <c r="V34" s="42"/>
    </row>
    <row r="35" spans="1:22" s="34" customFormat="1" x14ac:dyDescent="0.25">
      <c r="A35" s="185">
        <v>9257008</v>
      </c>
      <c r="B35" s="38" t="s">
        <v>73</v>
      </c>
      <c r="C35" s="781">
        <v>4</v>
      </c>
      <c r="D35" s="812">
        <f>VLOOKUP(A35,'2021 Band Moderations'!$B$5:$S$22,6,(FALSE))</f>
        <v>0.10309278350515463</v>
      </c>
      <c r="E35" s="812">
        <f>VLOOKUP(A35,'2021 Band Moderations'!$B$5:$S$22,8,(FALSE))</f>
        <v>0.52577319587628868</v>
      </c>
      <c r="F35" s="812">
        <f>VLOOKUP(A35,'2021 Band Moderations'!$B$5:$S$22,10,(FALSE))</f>
        <v>8.247422680412371E-2</v>
      </c>
      <c r="G35" s="812">
        <f>VLOOKUP(A35,'2021 Band Moderations'!$B$5:$S$22,12,(FALSE))</f>
        <v>9.2783505154639179E-2</v>
      </c>
      <c r="H35" s="812">
        <f>VLOOKUP(A35,'2021 Band Moderations'!$B$5:$S$22,14,(FALSE))</f>
        <v>1.0309278350515464E-2</v>
      </c>
      <c r="I35" s="812">
        <f>VLOOKUP(A35,'2021 Band Moderations'!$B$5:$S$22,16,(FALSE))</f>
        <v>0.18556701030927836</v>
      </c>
      <c r="J35" s="812">
        <f>VLOOKUP(A35,'2021 Band Moderations'!$B$5:$S$22,18,(FALSE))</f>
        <v>0</v>
      </c>
      <c r="K35" s="1012">
        <v>0</v>
      </c>
      <c r="L35" s="813">
        <f t="shared" si="7"/>
        <v>0</v>
      </c>
      <c r="M35" s="813">
        <f t="shared" si="5"/>
        <v>0</v>
      </c>
      <c r="N35" s="813">
        <f t="shared" si="8"/>
        <v>0</v>
      </c>
      <c r="O35" s="724">
        <f t="shared" si="9"/>
        <v>0</v>
      </c>
      <c r="P35" s="724">
        <f>(VLOOKUP(A35,'2021 Funding Detail'!$A$4:$AO$23,39,FALSE)*4/12)*K35</f>
        <v>0</v>
      </c>
      <c r="Q35" s="80"/>
      <c r="R35" s="42">
        <f t="shared" si="6"/>
        <v>0</v>
      </c>
      <c r="S35" s="233"/>
      <c r="T35" s="80"/>
      <c r="U35" s="42"/>
      <c r="V35" s="42"/>
    </row>
    <row r="36" spans="1:22" s="34" customFormat="1" x14ac:dyDescent="0.25">
      <c r="A36" s="185">
        <v>9257034</v>
      </c>
      <c r="B36" s="38" t="s">
        <v>74</v>
      </c>
      <c r="C36" s="781" t="s">
        <v>946</v>
      </c>
      <c r="D36" s="812">
        <f>VLOOKUP(A36,'2021 Band Moderations'!$B$5:$S$22,6,(FALSE))</f>
        <v>0.42201834862385323</v>
      </c>
      <c r="E36" s="812">
        <f>VLOOKUP(A36,'2021 Band Moderations'!$B$5:$S$22,8,(FALSE))</f>
        <v>0.26605504587155965</v>
      </c>
      <c r="F36" s="812">
        <f>VLOOKUP(A36,'2021 Band Moderations'!$B$5:$S$22,10,(FALSE))</f>
        <v>0.15596330275229359</v>
      </c>
      <c r="G36" s="812">
        <f>VLOOKUP(A36,'2021 Band Moderations'!$B$5:$S$22,12,(FALSE))</f>
        <v>4.5871559633027525E-2</v>
      </c>
      <c r="H36" s="812">
        <f>VLOOKUP(A36,'2021 Band Moderations'!$B$5:$S$22,14,(FALSE))</f>
        <v>4.5871559633027525E-2</v>
      </c>
      <c r="I36" s="812">
        <f>VLOOKUP(A36,'2021 Band Moderations'!$B$5:$S$22,16,(FALSE))</f>
        <v>5.5045871559633031E-2</v>
      </c>
      <c r="J36" s="812">
        <f>VLOOKUP(A36,'2021 Band Moderations'!$B$5:$S$22,18,(FALSE))</f>
        <v>9.1743119266055051E-3</v>
      </c>
      <c r="K36" s="1012">
        <v>37</v>
      </c>
      <c r="L36" s="813">
        <f t="shared" si="7"/>
        <v>102448.23897396377</v>
      </c>
      <c r="M36" s="813">
        <f t="shared" si="5"/>
        <v>5068.547400611621</v>
      </c>
      <c r="N36" s="813">
        <f t="shared" si="8"/>
        <v>107516.7863745754</v>
      </c>
      <c r="O36" s="724">
        <f t="shared" si="9"/>
        <v>123333.33333333333</v>
      </c>
      <c r="P36" s="724">
        <f>(VLOOKUP(A36,'2021 Funding Detail'!$A$4:$AO$23,39,FALSE)*4/12)*K36</f>
        <v>40388.029190802787</v>
      </c>
      <c r="Q36" s="80"/>
      <c r="R36" s="42">
        <f t="shared" si="6"/>
        <v>2547.31430570151</v>
      </c>
      <c r="S36" s="233"/>
      <c r="T36" s="80"/>
      <c r="U36" s="42"/>
      <c r="V36" s="42"/>
    </row>
    <row r="37" spans="1:22" s="34" customFormat="1" x14ac:dyDescent="0.25">
      <c r="A37" s="185">
        <v>9257002</v>
      </c>
      <c r="B37" s="38" t="s">
        <v>75</v>
      </c>
      <c r="C37" s="781">
        <v>4</v>
      </c>
      <c r="D37" s="812">
        <f>VLOOKUP(A37,'2021 Band Moderations'!$B$5:$S$22,6,(FALSE))</f>
        <v>0.42957746478873238</v>
      </c>
      <c r="E37" s="812">
        <f>VLOOKUP(A37,'2021 Band Moderations'!$B$5:$S$22,8,(FALSE))</f>
        <v>0.25352112676056338</v>
      </c>
      <c r="F37" s="812">
        <f>VLOOKUP(A37,'2021 Band Moderations'!$B$5:$S$22,10,(FALSE))</f>
        <v>0.15492957746478872</v>
      </c>
      <c r="G37" s="812">
        <f>VLOOKUP(A37,'2021 Band Moderations'!$B$5:$S$22,12,(FALSE))</f>
        <v>2.1126760563380281E-2</v>
      </c>
      <c r="H37" s="812">
        <f>VLOOKUP(A37,'2021 Band Moderations'!$B$5:$S$22,14,(FALSE))</f>
        <v>4.2253521126760563E-2</v>
      </c>
      <c r="I37" s="812">
        <f>VLOOKUP(A37,'2021 Band Moderations'!$B$5:$S$22,16,(FALSE))</f>
        <v>8.4507042253521125E-2</v>
      </c>
      <c r="J37" s="812">
        <f>VLOOKUP(A37,'2021 Band Moderations'!$B$5:$S$22,18,(FALSE))</f>
        <v>1.4084507042253521E-2</v>
      </c>
      <c r="K37" s="1012">
        <v>0</v>
      </c>
      <c r="L37" s="813">
        <f t="shared" si="7"/>
        <v>0</v>
      </c>
      <c r="M37" s="813">
        <f t="shared" si="5"/>
        <v>0</v>
      </c>
      <c r="N37" s="813">
        <f t="shared" si="8"/>
        <v>0</v>
      </c>
      <c r="O37" s="724">
        <f t="shared" si="9"/>
        <v>0</v>
      </c>
      <c r="P37" s="724">
        <f>(VLOOKUP(A37,'2021 Funding Detail'!$A$4:$AO$23,39,FALSE)*4/12)*K37</f>
        <v>0</v>
      </c>
      <c r="Q37" s="80"/>
      <c r="R37" s="42">
        <f t="shared" si="6"/>
        <v>0</v>
      </c>
      <c r="S37" s="233"/>
      <c r="T37" s="80"/>
      <c r="U37" s="42"/>
      <c r="V37" s="42"/>
    </row>
    <row r="38" spans="1:22" s="34" customFormat="1" x14ac:dyDescent="0.25">
      <c r="A38" s="185">
        <v>9257009</v>
      </c>
      <c r="B38" s="38" t="s">
        <v>76</v>
      </c>
      <c r="C38" s="781">
        <v>4</v>
      </c>
      <c r="D38" s="812">
        <f>VLOOKUP(A38,'2021 Band Moderations'!$B$5:$S$22,6,(FALSE))</f>
        <v>0.17054263565891473</v>
      </c>
      <c r="E38" s="812">
        <f>VLOOKUP(A38,'2021 Band Moderations'!$B$5:$S$22,8,(FALSE))</f>
        <v>0.58139534883720934</v>
      </c>
      <c r="F38" s="812">
        <f>VLOOKUP(A38,'2021 Band Moderations'!$B$5:$S$22,10,(FALSE))</f>
        <v>8.5271317829457363E-2</v>
      </c>
      <c r="G38" s="812">
        <f>VLOOKUP(A38,'2021 Band Moderations'!$B$5:$S$22,12,(FALSE))</f>
        <v>1.5503875968992248E-2</v>
      </c>
      <c r="H38" s="812">
        <f>VLOOKUP(A38,'2021 Band Moderations'!$B$5:$S$22,14,(FALSE))</f>
        <v>3.1007751937984496E-2</v>
      </c>
      <c r="I38" s="812">
        <f>VLOOKUP(A38,'2021 Band Moderations'!$B$5:$S$22,16,(FALSE))</f>
        <v>0.11627906976744186</v>
      </c>
      <c r="J38" s="812">
        <f>VLOOKUP(A38,'2021 Band Moderations'!$B$5:$S$22,18,(FALSE))</f>
        <v>0</v>
      </c>
      <c r="K38" s="1012">
        <v>0</v>
      </c>
      <c r="L38" s="813">
        <f t="shared" si="7"/>
        <v>0</v>
      </c>
      <c r="M38" s="813">
        <f t="shared" si="5"/>
        <v>0</v>
      </c>
      <c r="N38" s="813">
        <f t="shared" si="8"/>
        <v>0</v>
      </c>
      <c r="O38" s="724">
        <f t="shared" si="9"/>
        <v>0</v>
      </c>
      <c r="P38" s="724">
        <f>(VLOOKUP(A38,'2021 Funding Detail'!$A$4:$AO$23,39,FALSE)*4/12)*K38</f>
        <v>0</v>
      </c>
      <c r="Q38" s="80"/>
      <c r="R38" s="42">
        <f t="shared" si="6"/>
        <v>0</v>
      </c>
      <c r="S38" s="233"/>
      <c r="T38" s="80"/>
      <c r="U38" s="42"/>
      <c r="V38" s="42"/>
    </row>
    <row r="39" spans="1:22" s="34" customFormat="1" x14ac:dyDescent="0.25">
      <c r="A39" s="185">
        <v>9257029</v>
      </c>
      <c r="B39" s="915" t="s">
        <v>848</v>
      </c>
      <c r="C39" s="781" t="s">
        <v>949</v>
      </c>
      <c r="D39" s="812">
        <f>VLOOKUP(A39,'2021 Band Moderations'!$B$5:$S$22,6,(FALSE))</f>
        <v>0</v>
      </c>
      <c r="E39" s="812">
        <f>VLOOKUP(A39,'2021 Band Moderations'!$B$5:$S$22,8,(FALSE))</f>
        <v>0</v>
      </c>
      <c r="F39" s="812">
        <f>VLOOKUP(A39,'2021 Band Moderations'!$B$5:$S$22,10,(FALSE))</f>
        <v>1</v>
      </c>
      <c r="G39" s="812">
        <f>VLOOKUP(A39,'2021 Band Moderations'!$B$5:$S$22,12,(FALSE))</f>
        <v>0</v>
      </c>
      <c r="H39" s="812">
        <f>VLOOKUP(A39,'2021 Band Moderations'!$B$5:$S$22,14,(FALSE))</f>
        <v>0</v>
      </c>
      <c r="I39" s="812">
        <f>VLOOKUP(A39,'2021 Band Moderations'!$B$5:$S$22,16,(FALSE))</f>
        <v>0</v>
      </c>
      <c r="J39" s="812">
        <f>VLOOKUP(A39,'2021 Band Moderations'!$B$5:$S$22,18,(FALSE))</f>
        <v>0</v>
      </c>
      <c r="K39" s="1012">
        <v>0</v>
      </c>
      <c r="L39" s="813">
        <f t="shared" si="7"/>
        <v>0</v>
      </c>
      <c r="M39" s="813">
        <f t="shared" si="5"/>
        <v>0</v>
      </c>
      <c r="N39" s="813">
        <f t="shared" si="8"/>
        <v>0</v>
      </c>
      <c r="O39" s="724">
        <f t="shared" si="9"/>
        <v>0</v>
      </c>
      <c r="P39" s="724">
        <f>(VLOOKUP(A39,'2021 Funding Detail'!$A$4:$AO$23,39,FALSE)*4/12)*K39</f>
        <v>0</v>
      </c>
      <c r="Q39" s="80"/>
      <c r="R39" s="42">
        <f t="shared" si="6"/>
        <v>0</v>
      </c>
      <c r="S39" s="233"/>
      <c r="T39" s="80"/>
      <c r="U39" s="42"/>
      <c r="V39" s="42"/>
    </row>
    <row r="40" spans="1:22" s="34" customFormat="1" x14ac:dyDescent="0.25">
      <c r="A40" s="185">
        <v>9257032</v>
      </c>
      <c r="B40" s="915" t="s">
        <v>934</v>
      </c>
      <c r="C40" s="781" t="s">
        <v>949</v>
      </c>
      <c r="D40" s="812">
        <f>VLOOKUP(A40,'2021 Band Moderations'!$B$5:$S$22,6,(FALSE))</f>
        <v>0</v>
      </c>
      <c r="E40" s="812">
        <f>VLOOKUP(A40,'2021 Band Moderations'!$B$5:$S$22,8,(FALSE))</f>
        <v>0</v>
      </c>
      <c r="F40" s="812">
        <f>VLOOKUP(A40,'2021 Band Moderations'!$B$5:$S$22,10,(FALSE))</f>
        <v>1</v>
      </c>
      <c r="G40" s="812">
        <f>VLOOKUP(A40,'2021 Band Moderations'!$B$5:$S$22,12,(FALSE))</f>
        <v>0</v>
      </c>
      <c r="H40" s="812">
        <f>VLOOKUP(A40,'2021 Band Moderations'!$B$5:$S$22,14,(FALSE))</f>
        <v>0</v>
      </c>
      <c r="I40" s="812">
        <f>VLOOKUP(A40,'2021 Band Moderations'!$B$5:$S$22,16,(FALSE))</f>
        <v>0</v>
      </c>
      <c r="J40" s="812">
        <f>VLOOKUP(A40,'2021 Band Moderations'!$B$5:$S$22,18,(FALSE))</f>
        <v>0</v>
      </c>
      <c r="K40" s="1012">
        <v>0</v>
      </c>
      <c r="L40" s="813">
        <f t="shared" si="7"/>
        <v>0</v>
      </c>
      <c r="M40" s="813">
        <f t="shared" si="5"/>
        <v>0</v>
      </c>
      <c r="N40" s="813">
        <f t="shared" si="8"/>
        <v>0</v>
      </c>
      <c r="O40" s="724">
        <f t="shared" si="9"/>
        <v>0</v>
      </c>
      <c r="P40" s="724">
        <f>(VLOOKUP(A40,'2021 Funding Detail'!$A$4:$AO$23,39,FALSE)*4/12)*K40</f>
        <v>0</v>
      </c>
      <c r="Q40" s="80"/>
      <c r="R40" s="42">
        <f t="shared" si="6"/>
        <v>0</v>
      </c>
      <c r="S40" s="233"/>
      <c r="T40" s="80"/>
      <c r="U40" s="42"/>
      <c r="V40" s="42"/>
    </row>
    <row r="41" spans="1:22" s="34" customFormat="1" x14ac:dyDescent="0.25">
      <c r="A41" s="185">
        <v>9257030</v>
      </c>
      <c r="B41" s="915" t="s">
        <v>933</v>
      </c>
      <c r="C41" s="781" t="s">
        <v>949</v>
      </c>
      <c r="D41" s="812">
        <f>VLOOKUP(A41,'2021 Band Moderations'!$B$5:$S$22,6,(FALSE))</f>
        <v>0</v>
      </c>
      <c r="E41" s="812">
        <f>VLOOKUP(A41,'2021 Band Moderations'!$B$5:$S$22,8,(FALSE))</f>
        <v>0</v>
      </c>
      <c r="F41" s="812">
        <f>VLOOKUP(A41,'2021 Band Moderations'!$B$5:$S$22,10,(FALSE))</f>
        <v>1</v>
      </c>
      <c r="G41" s="812">
        <f>VLOOKUP(A41,'2021 Band Moderations'!$B$5:$S$22,12,(FALSE))</f>
        <v>0</v>
      </c>
      <c r="H41" s="812">
        <f>VLOOKUP(A41,'2021 Band Moderations'!$B$5:$S$22,14,(FALSE))</f>
        <v>0</v>
      </c>
      <c r="I41" s="812">
        <f>VLOOKUP(A41,'2021 Band Moderations'!$B$5:$S$22,16,(FALSE))</f>
        <v>0</v>
      </c>
      <c r="J41" s="812">
        <f>VLOOKUP(A41,'2021 Band Moderations'!$B$5:$S$22,18,(FALSE))</f>
        <v>0</v>
      </c>
      <c r="K41" s="1012">
        <v>0</v>
      </c>
      <c r="L41" s="813">
        <f t="shared" si="7"/>
        <v>0</v>
      </c>
      <c r="M41" s="813">
        <f t="shared" si="5"/>
        <v>0</v>
      </c>
      <c r="N41" s="813">
        <f t="shared" si="8"/>
        <v>0</v>
      </c>
      <c r="O41" s="724">
        <f t="shared" si="9"/>
        <v>0</v>
      </c>
      <c r="P41" s="724">
        <f>(VLOOKUP(A41,'2021 Funding Detail'!$A$4:$AO$23,39,FALSE)*4/12)*K41</f>
        <v>0</v>
      </c>
      <c r="Q41" s="80"/>
      <c r="R41" s="42">
        <f t="shared" si="6"/>
        <v>0</v>
      </c>
      <c r="S41" s="233"/>
      <c r="T41" s="80"/>
      <c r="U41" s="42"/>
      <c r="V41" s="42"/>
    </row>
    <row r="42" spans="1:22" s="34" customFormat="1" x14ac:dyDescent="0.25">
      <c r="A42" s="185">
        <v>9257028</v>
      </c>
      <c r="B42" s="38" t="s">
        <v>77</v>
      </c>
      <c r="C42" s="781">
        <v>4</v>
      </c>
      <c r="D42" s="812">
        <f>VLOOKUP(A42,'2021 Band Moderations'!$B$5:$S$22,6,(FALSE))</f>
        <v>9.4736842105263161E-2</v>
      </c>
      <c r="E42" s="812">
        <f>VLOOKUP(A42,'2021 Band Moderations'!$B$5:$S$22,8,(FALSE))</f>
        <v>0.35789473684210527</v>
      </c>
      <c r="F42" s="812">
        <f>VLOOKUP(A42,'2021 Band Moderations'!$B$5:$S$22,10,(FALSE))</f>
        <v>4.2105263157894736E-2</v>
      </c>
      <c r="G42" s="812">
        <f>VLOOKUP(A42,'2021 Band Moderations'!$B$5:$S$22,12,(FALSE))</f>
        <v>9.4736842105263161E-2</v>
      </c>
      <c r="H42" s="812">
        <f>VLOOKUP(A42,'2021 Band Moderations'!$B$5:$S$22,14,(FALSE))</f>
        <v>0.14736842105263157</v>
      </c>
      <c r="I42" s="812">
        <f>VLOOKUP(A42,'2021 Band Moderations'!$B$5:$S$22,16,(FALSE))</f>
        <v>0.1368421052631579</v>
      </c>
      <c r="J42" s="812">
        <f>VLOOKUP(A42,'2021 Band Moderations'!$B$5:$S$22,18,(FALSE))</f>
        <v>0.12631578947368421</v>
      </c>
      <c r="K42" s="1012">
        <v>12</v>
      </c>
      <c r="L42" s="813">
        <f t="shared" si="7"/>
        <v>46928.934675948702</v>
      </c>
      <c r="M42" s="813">
        <f t="shared" si="5"/>
        <v>443.78947368421052</v>
      </c>
      <c r="N42" s="813">
        <f t="shared" si="8"/>
        <v>47372.724149632915</v>
      </c>
      <c r="O42" s="724">
        <f t="shared" si="9"/>
        <v>40000</v>
      </c>
      <c r="P42" s="724">
        <f>(VLOOKUP(A42,'2021 Funding Detail'!$A$4:$AO$23,39,FALSE)*4/12)*K42</f>
        <v>29224.771334619509</v>
      </c>
      <c r="Q42" s="80"/>
      <c r="R42" s="42">
        <f t="shared" si="6"/>
        <v>11374.863539769816</v>
      </c>
      <c r="S42" s="233"/>
      <c r="T42" s="80"/>
      <c r="U42" s="42"/>
      <c r="V42" s="42"/>
    </row>
    <row r="43" spans="1:22" s="34" customFormat="1" x14ac:dyDescent="0.25">
      <c r="A43" s="185">
        <v>9257021</v>
      </c>
      <c r="B43" s="38" t="s">
        <v>78</v>
      </c>
      <c r="C43" s="781" t="s">
        <v>947</v>
      </c>
      <c r="D43" s="812">
        <f>VLOOKUP(A43,'2021 Band Moderations'!$B$5:$S$22,6,(FALSE))</f>
        <v>0.28834355828220859</v>
      </c>
      <c r="E43" s="812">
        <f>VLOOKUP(A43,'2021 Band Moderations'!$B$5:$S$22,8,(FALSE))</f>
        <v>0.35582822085889571</v>
      </c>
      <c r="F43" s="812">
        <f>VLOOKUP(A43,'2021 Band Moderations'!$B$5:$S$22,10,(FALSE))</f>
        <v>9.815950920245399E-2</v>
      </c>
      <c r="G43" s="812">
        <f>VLOOKUP(A43,'2021 Band Moderations'!$B$5:$S$22,12,(FALSE))</f>
        <v>6.1349693251533742E-2</v>
      </c>
      <c r="H43" s="812">
        <f>VLOOKUP(A43,'2021 Band Moderations'!$B$5:$S$22,14,(FALSE))</f>
        <v>6.1349693251533742E-2</v>
      </c>
      <c r="I43" s="812">
        <f>VLOOKUP(A43,'2021 Band Moderations'!$B$5:$S$22,16,(FALSE))</f>
        <v>0.12269938650306748</v>
      </c>
      <c r="J43" s="812">
        <f>VLOOKUP(A43,'2021 Band Moderations'!$B$5:$S$22,18,(FALSE))</f>
        <v>1.2269938650306749E-2</v>
      </c>
      <c r="K43" s="1012">
        <v>0</v>
      </c>
      <c r="L43" s="813">
        <f t="shared" si="7"/>
        <v>0</v>
      </c>
      <c r="M43" s="813">
        <f t="shared" si="5"/>
        <v>0</v>
      </c>
      <c r="N43" s="813">
        <f t="shared" si="8"/>
        <v>0</v>
      </c>
      <c r="O43" s="724">
        <f t="shared" si="9"/>
        <v>0</v>
      </c>
      <c r="P43" s="724">
        <f>(VLOOKUP(A43,'2021 Funding Detail'!$A$4:$AO$23,39,FALSE)*4/12)*K43</f>
        <v>0</v>
      </c>
      <c r="Q43" s="80"/>
      <c r="R43" s="42">
        <f t="shared" si="6"/>
        <v>0</v>
      </c>
      <c r="S43" s="233"/>
      <c r="T43" s="80"/>
      <c r="U43" s="42"/>
      <c r="V43" s="42"/>
    </row>
    <row r="44" spans="1:22" s="34" customFormat="1" x14ac:dyDescent="0.25">
      <c r="A44" s="185">
        <v>9257015</v>
      </c>
      <c r="B44" s="38" t="s">
        <v>55</v>
      </c>
      <c r="C44" s="781" t="s">
        <v>948</v>
      </c>
      <c r="D44" s="812">
        <f>VLOOKUP(A44,'2021 Band Moderations'!$B$5:$S$22,6,(FALSE))</f>
        <v>0.37931034482758619</v>
      </c>
      <c r="E44" s="812">
        <f>VLOOKUP(A44,'2021 Band Moderations'!$B$5:$S$22,8,(FALSE))</f>
        <v>0.33189655172413796</v>
      </c>
      <c r="F44" s="812">
        <f>VLOOKUP(A44,'2021 Band Moderations'!$B$5:$S$22,10,(FALSE))</f>
        <v>2.5862068965517241E-2</v>
      </c>
      <c r="G44" s="812">
        <f>VLOOKUP(A44,'2021 Band Moderations'!$B$5:$S$22,12,(FALSE))</f>
        <v>6.4655172413793108E-2</v>
      </c>
      <c r="H44" s="812">
        <f>VLOOKUP(A44,'2021 Band Moderations'!$B$5:$S$22,14,(FALSE))</f>
        <v>3.8793103448275863E-2</v>
      </c>
      <c r="I44" s="812">
        <f>VLOOKUP(A44,'2021 Band Moderations'!$B$5:$S$22,16,(FALSE))</f>
        <v>0.14655172413793102</v>
      </c>
      <c r="J44" s="812">
        <f>VLOOKUP(A44,'2021 Band Moderations'!$B$5:$S$22,18,(FALSE))</f>
        <v>1.2931034482758621E-2</v>
      </c>
      <c r="K44" s="1012">
        <v>16</v>
      </c>
      <c r="L44" s="813">
        <f t="shared" si="7"/>
        <v>46162.733128682536</v>
      </c>
      <c r="M44" s="813">
        <f t="shared" si="5"/>
        <v>363.44827586206895</v>
      </c>
      <c r="N44" s="813">
        <f t="shared" si="8"/>
        <v>46526.181404544608</v>
      </c>
      <c r="O44" s="724">
        <f t="shared" si="9"/>
        <v>53333.333333333328</v>
      </c>
      <c r="P44" s="724">
        <f>(VLOOKUP(A44,'2021 Funding Detail'!$A$4:$AO$23,39,FALSE)*4/12)*K44</f>
        <v>7322.8416449349388</v>
      </c>
      <c r="Q44" s="80"/>
      <c r="R44" s="42">
        <f t="shared" si="6"/>
        <v>1552.6035003996155</v>
      </c>
      <c r="S44" s="233"/>
      <c r="T44" s="80"/>
      <c r="U44" s="42"/>
      <c r="V44" s="42"/>
    </row>
    <row r="45" spans="1:22" s="34" customFormat="1" x14ac:dyDescent="0.25">
      <c r="A45" s="185">
        <v>9257016</v>
      </c>
      <c r="B45" s="38" t="s">
        <v>80</v>
      </c>
      <c r="C45" s="781" t="s">
        <v>948</v>
      </c>
      <c r="D45" s="812">
        <f>VLOOKUP(A45,'2021 Band Moderations'!$B$5:$S$22,6,(FALSE))</f>
        <v>0.21052631578947367</v>
      </c>
      <c r="E45" s="812">
        <f>VLOOKUP(A45,'2021 Band Moderations'!$B$5:$S$22,8,(FALSE))</f>
        <v>0.13815789473684212</v>
      </c>
      <c r="F45" s="812">
        <f>VLOOKUP(A45,'2021 Band Moderations'!$B$5:$S$22,10,(FALSE))</f>
        <v>6.5789473684210523E-3</v>
      </c>
      <c r="G45" s="812">
        <f>VLOOKUP(A45,'2021 Band Moderations'!$B$5:$S$22,12,(FALSE))</f>
        <v>0.21710526315789475</v>
      </c>
      <c r="H45" s="812">
        <f>VLOOKUP(A45,'2021 Band Moderations'!$B$5:$S$22,14,(FALSE))</f>
        <v>0.19736842105263158</v>
      </c>
      <c r="I45" s="812">
        <f>VLOOKUP(A45,'2021 Band Moderations'!$B$5:$S$22,16,(FALSE))</f>
        <v>6.5789473684210523E-3</v>
      </c>
      <c r="J45" s="812">
        <f>VLOOKUP(A45,'2021 Band Moderations'!$B$5:$S$22,18,(FALSE))</f>
        <v>0.22368421052631579</v>
      </c>
      <c r="K45" s="1012">
        <v>43</v>
      </c>
      <c r="L45" s="813">
        <f t="shared" si="7"/>
        <v>188687.11531085687</v>
      </c>
      <c r="M45" s="813">
        <f t="shared" si="5"/>
        <v>248.47587719298247</v>
      </c>
      <c r="N45" s="813">
        <f t="shared" si="8"/>
        <v>188935.59118804985</v>
      </c>
      <c r="O45" s="724">
        <f t="shared" si="9"/>
        <v>143333.33333333331</v>
      </c>
      <c r="P45" s="724">
        <f>(VLOOKUP(A45,'2021 Funding Detail'!$A$4:$AO$23,39,FALSE)*4/12)*K45</f>
        <v>103536.76389498496</v>
      </c>
      <c r="Q45" s="628" t="s">
        <v>402</v>
      </c>
      <c r="R45" s="42">
        <f t="shared" si="6"/>
        <v>72179.038607393537</v>
      </c>
      <c r="S45" s="233"/>
      <c r="T45" s="80"/>
      <c r="U45" s="42"/>
      <c r="V45" s="42"/>
    </row>
    <row r="46" spans="1:22" s="34" customFormat="1" x14ac:dyDescent="0.25">
      <c r="A46" s="75"/>
      <c r="B46" s="50"/>
      <c r="C46" s="61"/>
      <c r="D46" s="49"/>
      <c r="E46" s="49"/>
      <c r="F46" s="628" t="s">
        <v>402</v>
      </c>
      <c r="G46" s="49"/>
      <c r="H46" s="49"/>
      <c r="I46" s="49"/>
      <c r="J46" s="628" t="s">
        <v>402</v>
      </c>
      <c r="L46" s="168"/>
      <c r="M46" s="168"/>
      <c r="N46" s="628" t="s">
        <v>402</v>
      </c>
      <c r="O46" s="80"/>
      <c r="P46" s="80"/>
      <c r="Q46" s="80"/>
      <c r="R46" s="233"/>
      <c r="S46" s="233"/>
      <c r="T46" s="40"/>
    </row>
    <row r="47" spans="1:22" s="34" customFormat="1" ht="13" x14ac:dyDescent="0.3">
      <c r="A47" s="230" t="s">
        <v>931</v>
      </c>
      <c r="B47" s="50"/>
      <c r="C47" s="50"/>
      <c r="K47" s="996"/>
      <c r="L47" s="996"/>
      <c r="S47" s="347"/>
    </row>
    <row r="48" spans="1:22" s="34" customFormat="1" x14ac:dyDescent="0.25">
      <c r="B48" s="50"/>
      <c r="C48" s="50"/>
      <c r="K48" s="231" t="s">
        <v>921</v>
      </c>
      <c r="L48" s="996"/>
      <c r="O48" s="1893" t="s">
        <v>332</v>
      </c>
      <c r="P48" s="1894"/>
    </row>
    <row r="49" spans="1:20" s="34" customFormat="1" ht="39.75" customHeight="1" x14ac:dyDescent="0.25">
      <c r="A49" s="183" t="s">
        <v>201</v>
      </c>
      <c r="B49" s="36" t="s">
        <v>66</v>
      </c>
      <c r="C49" s="39" t="s">
        <v>51</v>
      </c>
      <c r="D49" s="1002" t="s">
        <v>858</v>
      </c>
      <c r="E49" s="1002" t="s">
        <v>859</v>
      </c>
      <c r="F49" s="1002" t="s">
        <v>860</v>
      </c>
      <c r="G49" s="1002" t="s">
        <v>861</v>
      </c>
      <c r="H49" s="1002" t="s">
        <v>862</v>
      </c>
      <c r="I49" s="1002" t="s">
        <v>863</v>
      </c>
      <c r="J49" s="1002" t="s">
        <v>864</v>
      </c>
      <c r="K49" s="1004" t="s">
        <v>253</v>
      </c>
      <c r="L49" s="1004" t="s">
        <v>390</v>
      </c>
      <c r="M49" s="1004" t="s">
        <v>391</v>
      </c>
      <c r="N49" s="1004" t="s">
        <v>287</v>
      </c>
      <c r="O49" s="93" t="s">
        <v>329</v>
      </c>
      <c r="P49" s="694" t="s">
        <v>340</v>
      </c>
      <c r="S49" s="347"/>
    </row>
    <row r="50" spans="1:20" s="34" customFormat="1" x14ac:dyDescent="0.25">
      <c r="A50" s="131">
        <v>9257010</v>
      </c>
      <c r="B50" s="38" t="s">
        <v>67</v>
      </c>
      <c r="C50" s="781">
        <v>4</v>
      </c>
      <c r="D50" s="812">
        <f>VLOOKUP(A50,'2021 Band Moderations'!$B$5:$S$22,6,(FALSE))</f>
        <v>6.25E-2</v>
      </c>
      <c r="E50" s="812">
        <f>VLOOKUP(A50,'2021 Band Moderations'!$B$5:$S$22,8,(FALSE))</f>
        <v>0.34375</v>
      </c>
      <c r="F50" s="812">
        <f>VLOOKUP(A50,'2021 Band Moderations'!$B$5:$S$22,10,(FALSE))</f>
        <v>6.25E-2</v>
      </c>
      <c r="G50" s="812">
        <f>VLOOKUP(A50,'2021 Band Moderations'!$B$5:$S$22,12,(FALSE))</f>
        <v>0.171875</v>
      </c>
      <c r="H50" s="812">
        <f>VLOOKUP(A50,'2021 Band Moderations'!$B$5:$S$22,14,(FALSE))</f>
        <v>4.6875E-2</v>
      </c>
      <c r="I50" s="812">
        <f>VLOOKUP(A50,'2021 Band Moderations'!$B$5:$S$22,16,(FALSE))</f>
        <v>0.171875</v>
      </c>
      <c r="J50" s="812">
        <f>VLOOKUP(A50,'2021 Band Moderations'!$B$5:$S$22,18,(FALSE))</f>
        <v>0.140625</v>
      </c>
      <c r="K50" s="1012">
        <v>58</v>
      </c>
      <c r="L50" s="813">
        <f t="shared" ref="L50:L67" si="10">((((K50*D50)*$G$92)+((K50*E50)*$G$94)+((K50*F50)*$G$96)+((K50*G50)*$G$98)+((K50*H50)*$G$100)+((K50*I50)*$G$102)+((K50*J50)*$G$104))*(7/12))</f>
        <v>412649.42410384642</v>
      </c>
      <c r="M50" s="813">
        <f>((F50*K50)*$G$106)*(7/12)</f>
        <v>5571.9270833333339</v>
      </c>
      <c r="N50" s="813">
        <f t="shared" ref="N50:N67" si="11">SUM(L50:M50)</f>
        <v>418221.35118717974</v>
      </c>
      <c r="O50" s="724">
        <f>(K50*(7/12))*10000</f>
        <v>338333.33333333337</v>
      </c>
      <c r="P50" s="724">
        <f>(VLOOKUP(A50,'2021 Funding Detail'!$A$4:$AO$23,39,FALSE)*7/12)*K50</f>
        <v>332907.72432245396</v>
      </c>
      <c r="Q50" s="42"/>
      <c r="R50" s="42">
        <f t="shared" ref="R50:R67" si="12">(J50*K50*$G$104)*7/12</f>
        <v>107111.44695530315</v>
      </c>
      <c r="S50" s="978" t="s">
        <v>402</v>
      </c>
      <c r="T50" s="625" t="s">
        <v>595</v>
      </c>
    </row>
    <row r="51" spans="1:20" s="34" customFormat="1" x14ac:dyDescent="0.25">
      <c r="A51" s="131">
        <v>9257005</v>
      </c>
      <c r="B51" s="38" t="s">
        <v>68</v>
      </c>
      <c r="C51" s="781" t="s">
        <v>946</v>
      </c>
      <c r="D51" s="812">
        <f>VLOOKUP(A51,'2021 Band Moderations'!$B$5:$S$22,6,(FALSE))</f>
        <v>7.8947368421052627E-2</v>
      </c>
      <c r="E51" s="812">
        <f>VLOOKUP(A51,'2021 Band Moderations'!$B$5:$S$22,8,(FALSE))</f>
        <v>0.35526315789473684</v>
      </c>
      <c r="F51" s="812">
        <f>VLOOKUP(A51,'2021 Band Moderations'!$B$5:$S$22,10,(FALSE))</f>
        <v>6.5789473684210523E-2</v>
      </c>
      <c r="G51" s="812">
        <f>VLOOKUP(A51,'2021 Band Moderations'!$B$5:$S$22,12,(FALSE))</f>
        <v>0.14473684210526316</v>
      </c>
      <c r="H51" s="812">
        <f>VLOOKUP(A51,'2021 Band Moderations'!$B$5:$S$22,14,(FALSE))</f>
        <v>0.14473684210526316</v>
      </c>
      <c r="I51" s="812">
        <f>VLOOKUP(A51,'2021 Band Moderations'!$B$5:$S$22,16,(FALSE))</f>
        <v>0.15789473684210525</v>
      </c>
      <c r="J51" s="812">
        <f>VLOOKUP(A51,'2021 Band Moderations'!$B$5:$S$22,18,(FALSE))</f>
        <v>5.2631578947368418E-2</v>
      </c>
      <c r="K51" s="1012">
        <v>53</v>
      </c>
      <c r="L51" s="813">
        <f t="shared" si="10"/>
        <v>346517.26433928084</v>
      </c>
      <c r="M51" s="813">
        <f t="shared" ref="M51:M67" si="13">((F51*K51)*$G$106)*(7/12)</f>
        <v>5359.5668859649122</v>
      </c>
      <c r="N51" s="813">
        <f t="shared" si="11"/>
        <v>351876.83122524573</v>
      </c>
      <c r="O51" s="724">
        <f t="shared" ref="O51:O67" si="14">(K51*(7/12))*10000</f>
        <v>309166.66666666669</v>
      </c>
      <c r="P51" s="724">
        <f>(VLOOKUP(A51,'2021 Funding Detail'!$A$4:$AO$23,39,FALSE)*7/12)*K51</f>
        <v>225707.96416792885</v>
      </c>
      <c r="Q51" s="42"/>
      <c r="R51" s="42">
        <f t="shared" si="12"/>
        <v>36632.590045612858</v>
      </c>
      <c r="S51" s="168"/>
    </row>
    <row r="52" spans="1:20" s="34" customFormat="1" x14ac:dyDescent="0.25">
      <c r="A52" s="131">
        <v>9257025</v>
      </c>
      <c r="B52" s="38" t="s">
        <v>69</v>
      </c>
      <c r="C52" s="781">
        <v>4</v>
      </c>
      <c r="D52" s="812">
        <f>VLOOKUP(A52,'2021 Band Moderations'!$B$5:$S$22,6,(FALSE))</f>
        <v>0.16216216216216217</v>
      </c>
      <c r="E52" s="812">
        <f>VLOOKUP(A52,'2021 Band Moderations'!$B$5:$S$22,8,(FALSE))</f>
        <v>0.35135135135135137</v>
      </c>
      <c r="F52" s="812">
        <f>VLOOKUP(A52,'2021 Band Moderations'!$B$5:$S$22,10,(FALSE))</f>
        <v>6.7567567567567571E-2</v>
      </c>
      <c r="G52" s="812">
        <f>VLOOKUP(A52,'2021 Band Moderations'!$B$5:$S$22,12,(FALSE))</f>
        <v>0.17567567567567569</v>
      </c>
      <c r="H52" s="812">
        <f>VLOOKUP(A52,'2021 Band Moderations'!$B$5:$S$22,14,(FALSE))</f>
        <v>5.4054054054054057E-2</v>
      </c>
      <c r="I52" s="812">
        <f>VLOOKUP(A52,'2021 Band Moderations'!$B$5:$S$22,16,(FALSE))</f>
        <v>0.13513513513513514</v>
      </c>
      <c r="J52" s="812">
        <f>VLOOKUP(A52,'2021 Band Moderations'!$B$5:$S$22,18,(FALSE))</f>
        <v>5.4054054054054057E-2</v>
      </c>
      <c r="K52" s="1012">
        <v>56</v>
      </c>
      <c r="L52" s="813">
        <f t="shared" si="10"/>
        <v>344173.0387104596</v>
      </c>
      <c r="M52" s="813">
        <f t="shared" si="13"/>
        <v>5815.990990990992</v>
      </c>
      <c r="N52" s="813">
        <f t="shared" si="11"/>
        <v>349989.02970145061</v>
      </c>
      <c r="O52" s="724">
        <f t="shared" si="14"/>
        <v>326666.66666666669</v>
      </c>
      <c r="P52" s="724">
        <f>(VLOOKUP(A52,'2021 Funding Detail'!$A$4:$AO$23,39,FALSE)*7/12)*K52</f>
        <v>233450.32166986927</v>
      </c>
      <c r="Q52" s="42"/>
      <c r="R52" s="42">
        <f t="shared" si="12"/>
        <v>39752.244577799174</v>
      </c>
      <c r="S52" s="168"/>
    </row>
    <row r="53" spans="1:20" s="34" customFormat="1" x14ac:dyDescent="0.25">
      <c r="A53" s="131">
        <v>9257011</v>
      </c>
      <c r="B53" s="38" t="s">
        <v>70</v>
      </c>
      <c r="C53" s="781">
        <v>4</v>
      </c>
      <c r="D53" s="812">
        <f>VLOOKUP(A53,'2021 Band Moderations'!$B$5:$S$22,6,(FALSE))</f>
        <v>5.6603773584905662E-2</v>
      </c>
      <c r="E53" s="812">
        <f>VLOOKUP(A53,'2021 Band Moderations'!$B$5:$S$22,8,(FALSE))</f>
        <v>0.32075471698113206</v>
      </c>
      <c r="F53" s="812">
        <f>VLOOKUP(A53,'2021 Band Moderations'!$B$5:$S$22,10,(FALSE))</f>
        <v>3.7735849056603772E-2</v>
      </c>
      <c r="G53" s="812">
        <f>VLOOKUP(A53,'2021 Band Moderations'!$B$5:$S$22,12,(FALSE))</f>
        <v>0.16981132075471697</v>
      </c>
      <c r="H53" s="812">
        <f>VLOOKUP(A53,'2021 Band Moderations'!$B$5:$S$22,14,(FALSE))</f>
        <v>0.16981132075471697</v>
      </c>
      <c r="I53" s="812">
        <f>VLOOKUP(A53,'2021 Band Moderations'!$B$5:$S$22,16,(FALSE))</f>
        <v>0.15094339622641509</v>
      </c>
      <c r="J53" s="812">
        <f>VLOOKUP(A53,'2021 Band Moderations'!$B$5:$S$22,18,(FALSE))</f>
        <v>9.4339622641509441E-2</v>
      </c>
      <c r="K53" s="1012">
        <v>50</v>
      </c>
      <c r="L53" s="813">
        <f t="shared" si="10"/>
        <v>351926.10084331373</v>
      </c>
      <c r="M53" s="813">
        <f t="shared" si="13"/>
        <v>2900.1572327044028</v>
      </c>
      <c r="N53" s="813">
        <f t="shared" si="11"/>
        <v>354826.25807601813</v>
      </c>
      <c r="O53" s="724">
        <f t="shared" si="14"/>
        <v>291666.66666666669</v>
      </c>
      <c r="P53" s="724">
        <f>(VLOOKUP(A53,'2021 Funding Detail'!$A$4:$AO$23,39,FALSE)*7/12)*K53</f>
        <v>293242.35437765112</v>
      </c>
      <c r="Q53" s="42"/>
      <c r="R53" s="42">
        <f t="shared" si="12"/>
        <v>61945.461985283408</v>
      </c>
      <c r="S53" s="168"/>
    </row>
    <row r="54" spans="1:20" s="34" customFormat="1" x14ac:dyDescent="0.25">
      <c r="A54" s="131">
        <v>9257024</v>
      </c>
      <c r="B54" s="38" t="s">
        <v>71</v>
      </c>
      <c r="C54" s="781">
        <v>4</v>
      </c>
      <c r="D54" s="812">
        <f>VLOOKUP(A54,'2021 Band Moderations'!$B$5:$S$22,6,(FALSE))</f>
        <v>0.10843373493975904</v>
      </c>
      <c r="E54" s="812">
        <f>VLOOKUP(A54,'2021 Band Moderations'!$B$5:$S$22,8,(FALSE))</f>
        <v>0.43373493975903615</v>
      </c>
      <c r="F54" s="812">
        <f>VLOOKUP(A54,'2021 Band Moderations'!$B$5:$S$22,10,(FALSE))</f>
        <v>2.4096385542168676E-2</v>
      </c>
      <c r="G54" s="812">
        <f>VLOOKUP(A54,'2021 Band Moderations'!$B$5:$S$22,12,(FALSE))</f>
        <v>0.15662650602409639</v>
      </c>
      <c r="H54" s="812">
        <f>VLOOKUP(A54,'2021 Band Moderations'!$B$5:$S$22,14,(FALSE))</f>
        <v>0.10843373493975904</v>
      </c>
      <c r="I54" s="812">
        <f>VLOOKUP(A54,'2021 Band Moderations'!$B$5:$S$22,16,(FALSE))</f>
        <v>7.2289156626506021E-2</v>
      </c>
      <c r="J54" s="812">
        <f>VLOOKUP(A54,'2021 Band Moderations'!$B$5:$S$22,18,(FALSE))</f>
        <v>9.6385542168674704E-2</v>
      </c>
      <c r="K54" s="1012">
        <v>70</v>
      </c>
      <c r="L54" s="813">
        <f t="shared" si="10"/>
        <v>441540.81830951403</v>
      </c>
      <c r="M54" s="813">
        <f t="shared" si="13"/>
        <v>2592.670682730924</v>
      </c>
      <c r="N54" s="813">
        <f t="shared" si="11"/>
        <v>444133.48899224494</v>
      </c>
      <c r="O54" s="724">
        <f t="shared" si="14"/>
        <v>408333.33333333337</v>
      </c>
      <c r="P54" s="724">
        <f>(VLOOKUP(A54,'2021 Funding Detail'!$A$4:$AO$23,39,FALSE)*7/12)*K54</f>
        <v>276577.25359003682</v>
      </c>
      <c r="Q54" s="42"/>
      <c r="R54" s="42">
        <f t="shared" si="12"/>
        <v>88604.400564974057</v>
      </c>
      <c r="S54" s="168"/>
    </row>
    <row r="55" spans="1:20" s="34" customFormat="1" x14ac:dyDescent="0.25">
      <c r="A55" s="131">
        <v>9257031</v>
      </c>
      <c r="B55" s="38" t="s">
        <v>98</v>
      </c>
      <c r="C55" s="781" t="s">
        <v>949</v>
      </c>
      <c r="D55" s="812">
        <f>VLOOKUP(A55,'2021 Band Moderations'!$B$5:$S$22,6,(FALSE))</f>
        <v>0</v>
      </c>
      <c r="E55" s="812">
        <f>VLOOKUP(A55,'2021 Band Moderations'!$B$5:$S$22,8,(FALSE))</f>
        <v>0</v>
      </c>
      <c r="F55" s="812">
        <f>VLOOKUP(A55,'2021 Band Moderations'!$B$5:$S$22,10,(FALSE))</f>
        <v>1</v>
      </c>
      <c r="G55" s="812">
        <f>VLOOKUP(A55,'2021 Band Moderations'!$B$5:$S$22,12,(FALSE))</f>
        <v>0</v>
      </c>
      <c r="H55" s="812">
        <f>VLOOKUP(A55,'2021 Band Moderations'!$B$5:$S$22,14,(FALSE))</f>
        <v>0</v>
      </c>
      <c r="I55" s="812">
        <f>VLOOKUP(A55,'2021 Band Moderations'!$B$5:$S$22,16,(FALSE))</f>
        <v>0</v>
      </c>
      <c r="J55" s="812">
        <f>VLOOKUP(A55,'2021 Band Moderations'!$B$5:$S$22,18,(FALSE))</f>
        <v>0</v>
      </c>
      <c r="K55" s="1012">
        <v>80</v>
      </c>
      <c r="L55" s="813">
        <f t="shared" si="10"/>
        <v>525625.9081352778</v>
      </c>
      <c r="M55" s="813">
        <f t="shared" si="13"/>
        <v>122966.66666666667</v>
      </c>
      <c r="N55" s="813">
        <f t="shared" si="11"/>
        <v>648592.57480194443</v>
      </c>
      <c r="O55" s="724">
        <f t="shared" si="14"/>
        <v>466666.66666666669</v>
      </c>
      <c r="P55" s="724">
        <f>(VLOOKUP(A55,'2021 Funding Detail'!$A$4:$AO$23,39,FALSE)*7/12)*K55</f>
        <v>457315.36282572895</v>
      </c>
      <c r="Q55" s="42"/>
      <c r="R55" s="42">
        <f t="shared" si="12"/>
        <v>0</v>
      </c>
      <c r="S55" s="168"/>
    </row>
    <row r="56" spans="1:20" s="34" customFormat="1" x14ac:dyDescent="0.25">
      <c r="A56" s="131">
        <v>9257033</v>
      </c>
      <c r="B56" s="38" t="s">
        <v>72</v>
      </c>
      <c r="C56" s="781" t="s">
        <v>946</v>
      </c>
      <c r="D56" s="812">
        <f>VLOOKUP(A56,'2021 Band Moderations'!$B$5:$S$22,6,(FALSE))</f>
        <v>0.17894736842105263</v>
      </c>
      <c r="E56" s="812">
        <f>VLOOKUP(A56,'2021 Band Moderations'!$B$5:$S$22,8,(FALSE))</f>
        <v>0.44210526315789472</v>
      </c>
      <c r="F56" s="812">
        <f>VLOOKUP(A56,'2021 Band Moderations'!$B$5:$S$22,10,(FALSE))</f>
        <v>0.12631578947368421</v>
      </c>
      <c r="G56" s="812">
        <f>VLOOKUP(A56,'2021 Band Moderations'!$B$5:$S$22,12,(FALSE))</f>
        <v>0.15789473684210525</v>
      </c>
      <c r="H56" s="812">
        <f>VLOOKUP(A56,'2021 Band Moderations'!$B$5:$S$22,14,(FALSE))</f>
        <v>4.2105263157894736E-2</v>
      </c>
      <c r="I56" s="812">
        <f>VLOOKUP(A56,'2021 Band Moderations'!$B$5:$S$22,16,(FALSE))</f>
        <v>5.2631578947368418E-2</v>
      </c>
      <c r="J56" s="812">
        <f>VLOOKUP(A56,'2021 Band Moderations'!$B$5:$S$22,18,(FALSE))</f>
        <v>0</v>
      </c>
      <c r="K56" s="1012">
        <v>99</v>
      </c>
      <c r="L56" s="813">
        <f t="shared" si="10"/>
        <v>522815.96264741663</v>
      </c>
      <c r="M56" s="813">
        <f t="shared" si="13"/>
        <v>19221.63157894737</v>
      </c>
      <c r="N56" s="813">
        <f t="shared" si="11"/>
        <v>542037.59422636405</v>
      </c>
      <c r="O56" s="724">
        <f t="shared" si="14"/>
        <v>577500.00000000012</v>
      </c>
      <c r="P56" s="724">
        <f>(VLOOKUP(A56,'2021 Funding Detail'!$A$4:$AO$23,39,FALSE)*7/12)*K56</f>
        <v>245629.44117758327</v>
      </c>
      <c r="Q56" s="42"/>
      <c r="R56" s="42">
        <f t="shared" si="12"/>
        <v>0</v>
      </c>
      <c r="S56" s="168"/>
    </row>
    <row r="57" spans="1:20" s="34" customFormat="1" x14ac:dyDescent="0.25">
      <c r="A57" s="131">
        <v>9257008</v>
      </c>
      <c r="B57" s="38" t="s">
        <v>73</v>
      </c>
      <c r="C57" s="781">
        <v>4</v>
      </c>
      <c r="D57" s="812">
        <f>VLOOKUP(A57,'2021 Band Moderations'!$B$5:$S$22,6,(FALSE))</f>
        <v>0.10309278350515463</v>
      </c>
      <c r="E57" s="812">
        <f>VLOOKUP(A57,'2021 Band Moderations'!$B$5:$S$22,8,(FALSE))</f>
        <v>0.52577319587628868</v>
      </c>
      <c r="F57" s="812">
        <f>VLOOKUP(A57,'2021 Band Moderations'!$B$5:$S$22,10,(FALSE))</f>
        <v>8.247422680412371E-2</v>
      </c>
      <c r="G57" s="812">
        <f>VLOOKUP(A57,'2021 Band Moderations'!$B$5:$S$22,12,(FALSE))</f>
        <v>9.2783505154639179E-2</v>
      </c>
      <c r="H57" s="812">
        <f>VLOOKUP(A57,'2021 Band Moderations'!$B$5:$S$22,14,(FALSE))</f>
        <v>1.0309278350515464E-2</v>
      </c>
      <c r="I57" s="812">
        <f>VLOOKUP(A57,'2021 Band Moderations'!$B$5:$S$22,16,(FALSE))</f>
        <v>0.18556701030927836</v>
      </c>
      <c r="J57" s="812">
        <f>VLOOKUP(A57,'2021 Band Moderations'!$B$5:$S$22,18,(FALSE))</f>
        <v>0</v>
      </c>
      <c r="K57" s="1012">
        <v>98</v>
      </c>
      <c r="L57" s="813">
        <f t="shared" si="10"/>
        <v>532550.58172602078</v>
      </c>
      <c r="M57" s="813">
        <f t="shared" si="13"/>
        <v>12423.436426116839</v>
      </c>
      <c r="N57" s="813">
        <f t="shared" si="11"/>
        <v>544974.01815213764</v>
      </c>
      <c r="O57" s="724">
        <f t="shared" si="14"/>
        <v>571666.66666666674</v>
      </c>
      <c r="P57" s="724">
        <f>(VLOOKUP(A57,'2021 Funding Detail'!$A$4:$AO$23,39,FALSE)*7/12)*K57</f>
        <v>244996.4697455916</v>
      </c>
      <c r="Q57" s="42"/>
      <c r="R57" s="42">
        <f t="shared" si="12"/>
        <v>0</v>
      </c>
      <c r="S57" s="168"/>
    </row>
    <row r="58" spans="1:20" s="34" customFormat="1" x14ac:dyDescent="0.25">
      <c r="A58" s="131">
        <v>9257034</v>
      </c>
      <c r="B58" s="38" t="s">
        <v>74</v>
      </c>
      <c r="C58" s="781" t="s">
        <v>946</v>
      </c>
      <c r="D58" s="812">
        <f>VLOOKUP(A58,'2021 Band Moderations'!$B$5:$S$22,6,(FALSE))</f>
        <v>0.42201834862385323</v>
      </c>
      <c r="E58" s="812">
        <f>VLOOKUP(A58,'2021 Band Moderations'!$B$5:$S$22,8,(FALSE))</f>
        <v>0.26605504587155965</v>
      </c>
      <c r="F58" s="812">
        <f>VLOOKUP(A58,'2021 Band Moderations'!$B$5:$S$22,10,(FALSE))</f>
        <v>0.15596330275229359</v>
      </c>
      <c r="G58" s="812">
        <f>VLOOKUP(A58,'2021 Band Moderations'!$B$5:$S$22,12,(FALSE))</f>
        <v>4.5871559633027525E-2</v>
      </c>
      <c r="H58" s="812">
        <f>VLOOKUP(A58,'2021 Band Moderations'!$B$5:$S$22,14,(FALSE))</f>
        <v>4.5871559633027525E-2</v>
      </c>
      <c r="I58" s="812">
        <f>VLOOKUP(A58,'2021 Band Moderations'!$B$5:$S$22,16,(FALSE))</f>
        <v>5.5045871559633031E-2</v>
      </c>
      <c r="J58" s="812">
        <f>VLOOKUP(A58,'2021 Band Moderations'!$B$5:$S$22,18,(FALSE))</f>
        <v>9.1743119266055051E-3</v>
      </c>
      <c r="K58" s="1012">
        <v>94</v>
      </c>
      <c r="L58" s="813">
        <f t="shared" si="10"/>
        <v>455479.33273559564</v>
      </c>
      <c r="M58" s="813">
        <f t="shared" si="13"/>
        <v>22534.487767584102</v>
      </c>
      <c r="N58" s="813">
        <f t="shared" si="11"/>
        <v>478013.82050317974</v>
      </c>
      <c r="O58" s="724">
        <f t="shared" si="14"/>
        <v>548333.33333333337</v>
      </c>
      <c r="P58" s="724">
        <f>(VLOOKUP(A58,'2021 Funding Detail'!$A$4:$AO$23,39,FALSE)*7/12)*K58</f>
        <v>179562.99464559616</v>
      </c>
      <c r="Q58" s="42"/>
      <c r="R58" s="42">
        <f t="shared" si="12"/>
        <v>11325.221710483742</v>
      </c>
      <c r="S58" s="168"/>
    </row>
    <row r="59" spans="1:20" s="34" customFormat="1" x14ac:dyDescent="0.25">
      <c r="A59" s="131">
        <v>9257002</v>
      </c>
      <c r="B59" s="38" t="s">
        <v>75</v>
      </c>
      <c r="C59" s="781">
        <v>4</v>
      </c>
      <c r="D59" s="812">
        <f>VLOOKUP(A59,'2021 Band Moderations'!$B$5:$S$22,6,(FALSE))</f>
        <v>0.42957746478873238</v>
      </c>
      <c r="E59" s="812">
        <f>VLOOKUP(A59,'2021 Band Moderations'!$B$5:$S$22,8,(FALSE))</f>
        <v>0.25352112676056338</v>
      </c>
      <c r="F59" s="812">
        <f>VLOOKUP(A59,'2021 Band Moderations'!$B$5:$S$22,10,(FALSE))</f>
        <v>0.15492957746478872</v>
      </c>
      <c r="G59" s="812">
        <f>VLOOKUP(A59,'2021 Band Moderations'!$B$5:$S$22,12,(FALSE))</f>
        <v>2.1126760563380281E-2</v>
      </c>
      <c r="H59" s="812">
        <f>VLOOKUP(A59,'2021 Band Moderations'!$B$5:$S$22,14,(FALSE))</f>
        <v>4.2253521126760563E-2</v>
      </c>
      <c r="I59" s="812">
        <f>VLOOKUP(A59,'2021 Band Moderations'!$B$5:$S$22,16,(FALSE))</f>
        <v>8.4507042253521125E-2</v>
      </c>
      <c r="J59" s="812">
        <f>VLOOKUP(A59,'2021 Band Moderations'!$B$5:$S$22,18,(FALSE))</f>
        <v>1.4084507042253521E-2</v>
      </c>
      <c r="K59" s="1012">
        <v>150</v>
      </c>
      <c r="L59" s="813">
        <f t="shared" si="10"/>
        <v>735385.68299023912</v>
      </c>
      <c r="M59" s="813">
        <f t="shared" si="13"/>
        <v>35720.950704225354</v>
      </c>
      <c r="N59" s="813">
        <f t="shared" si="11"/>
        <v>771106.63369446446</v>
      </c>
      <c r="O59" s="724">
        <f t="shared" si="14"/>
        <v>875000</v>
      </c>
      <c r="P59" s="724">
        <f>(VLOOKUP(A59,'2021 Funding Detail'!$A$4:$AO$23,39,FALSE)*7/12)*K59</f>
        <v>201174.37313108417</v>
      </c>
      <c r="Q59" s="42"/>
      <c r="R59" s="42">
        <f t="shared" si="12"/>
        <v>27744.587199042424</v>
      </c>
      <c r="S59" s="168"/>
    </row>
    <row r="60" spans="1:20" s="34" customFormat="1" x14ac:dyDescent="0.25">
      <c r="A60" s="131">
        <v>9257009</v>
      </c>
      <c r="B60" s="38" t="s">
        <v>76</v>
      </c>
      <c r="C60" s="781">
        <v>4</v>
      </c>
      <c r="D60" s="812">
        <f>VLOOKUP(A60,'2021 Band Moderations'!$B$5:$S$22,6,(FALSE))</f>
        <v>0.17054263565891473</v>
      </c>
      <c r="E60" s="812">
        <f>VLOOKUP(A60,'2021 Band Moderations'!$B$5:$S$22,8,(FALSE))</f>
        <v>0.58139534883720934</v>
      </c>
      <c r="F60" s="812">
        <f>VLOOKUP(A60,'2021 Band Moderations'!$B$5:$S$22,10,(FALSE))</f>
        <v>8.5271317829457363E-2</v>
      </c>
      <c r="G60" s="812">
        <f>VLOOKUP(A60,'2021 Band Moderations'!$B$5:$S$22,12,(FALSE))</f>
        <v>1.5503875968992248E-2</v>
      </c>
      <c r="H60" s="812">
        <f>VLOOKUP(A60,'2021 Band Moderations'!$B$5:$S$22,14,(FALSE))</f>
        <v>3.1007751937984496E-2</v>
      </c>
      <c r="I60" s="812">
        <f>VLOOKUP(A60,'2021 Band Moderations'!$B$5:$S$22,16,(FALSE))</f>
        <v>0.11627906976744186</v>
      </c>
      <c r="J60" s="812">
        <f>VLOOKUP(A60,'2021 Band Moderations'!$B$5:$S$22,18,(FALSE))</f>
        <v>0</v>
      </c>
      <c r="K60" s="1012">
        <v>136</v>
      </c>
      <c r="L60" s="813">
        <f t="shared" si="10"/>
        <v>657765.23506080406</v>
      </c>
      <c r="M60" s="813">
        <f t="shared" si="13"/>
        <v>17825.400516795868</v>
      </c>
      <c r="N60" s="813">
        <f t="shared" si="11"/>
        <v>675590.63557759998</v>
      </c>
      <c r="O60" s="724">
        <f t="shared" si="14"/>
        <v>793333.33333333337</v>
      </c>
      <c r="P60" s="724">
        <f>(VLOOKUP(A60,'2021 Funding Detail'!$A$4:$AO$23,39,FALSE)*7/12)*K60</f>
        <v>227178.72464592705</v>
      </c>
      <c r="Q60" s="42"/>
      <c r="R60" s="42">
        <f t="shared" si="12"/>
        <v>0</v>
      </c>
      <c r="S60" s="168"/>
    </row>
    <row r="61" spans="1:20" s="34" customFormat="1" x14ac:dyDescent="0.25">
      <c r="A61" s="131">
        <v>9257029</v>
      </c>
      <c r="B61" s="915" t="s">
        <v>848</v>
      </c>
      <c r="C61" s="781" t="s">
        <v>949</v>
      </c>
      <c r="D61" s="812">
        <f>VLOOKUP(A61,'2021 Band Moderations'!$B$5:$S$22,6,(FALSE))</f>
        <v>0</v>
      </c>
      <c r="E61" s="812">
        <f>VLOOKUP(A61,'2021 Band Moderations'!$B$5:$S$22,8,(FALSE))</f>
        <v>0</v>
      </c>
      <c r="F61" s="812">
        <f>VLOOKUP(A61,'2021 Band Moderations'!$B$5:$S$22,10,(FALSE))</f>
        <v>1</v>
      </c>
      <c r="G61" s="812">
        <f>VLOOKUP(A61,'2021 Band Moderations'!$B$5:$S$22,12,(FALSE))</f>
        <v>0</v>
      </c>
      <c r="H61" s="812">
        <f>VLOOKUP(A61,'2021 Band Moderations'!$B$5:$S$22,14,(FALSE))</f>
        <v>0</v>
      </c>
      <c r="I61" s="812">
        <f>VLOOKUP(A61,'2021 Band Moderations'!$B$5:$S$22,16,(FALSE))</f>
        <v>0</v>
      </c>
      <c r="J61" s="812">
        <f>VLOOKUP(A61,'2021 Band Moderations'!$B$5:$S$22,18,(FALSE))</f>
        <v>0</v>
      </c>
      <c r="K61" s="1012">
        <v>70</v>
      </c>
      <c r="L61" s="813">
        <f t="shared" si="10"/>
        <v>459922.66961836809</v>
      </c>
      <c r="M61" s="813">
        <f t="shared" si="13"/>
        <v>107595.83333333334</v>
      </c>
      <c r="N61" s="813">
        <f t="shared" si="11"/>
        <v>567518.5029517014</v>
      </c>
      <c r="O61" s="724">
        <f t="shared" si="14"/>
        <v>408333.33333333337</v>
      </c>
      <c r="P61" s="724">
        <f>(VLOOKUP(A61,'2021 Funding Detail'!$A$4:$AO$23,39,FALSE)*7/12)*K61</f>
        <v>417758.58934223495</v>
      </c>
      <c r="Q61" s="42"/>
      <c r="R61" s="42">
        <f t="shared" si="12"/>
        <v>0</v>
      </c>
      <c r="S61" s="168"/>
    </row>
    <row r="62" spans="1:20" s="34" customFormat="1" x14ac:dyDescent="0.25">
      <c r="A62" s="131">
        <v>9257032</v>
      </c>
      <c r="B62" s="915" t="s">
        <v>934</v>
      </c>
      <c r="C62" s="781" t="s">
        <v>949</v>
      </c>
      <c r="D62" s="812">
        <f>VLOOKUP(A62,'2021 Band Moderations'!$B$5:$S$22,6,(FALSE))</f>
        <v>0</v>
      </c>
      <c r="E62" s="812">
        <f>VLOOKUP(A62,'2021 Band Moderations'!$B$5:$S$22,8,(FALSE))</f>
        <v>0</v>
      </c>
      <c r="F62" s="812">
        <f>VLOOKUP(A62,'2021 Band Moderations'!$B$5:$S$22,10,(FALSE))</f>
        <v>1</v>
      </c>
      <c r="G62" s="812">
        <f>VLOOKUP(A62,'2021 Band Moderations'!$B$5:$S$22,12,(FALSE))</f>
        <v>0</v>
      </c>
      <c r="H62" s="812">
        <f>VLOOKUP(A62,'2021 Band Moderations'!$B$5:$S$22,14,(FALSE))</f>
        <v>0</v>
      </c>
      <c r="I62" s="812">
        <f>VLOOKUP(A62,'2021 Band Moderations'!$B$5:$S$22,16,(FALSE))</f>
        <v>0</v>
      </c>
      <c r="J62" s="812">
        <f>VLOOKUP(A62,'2021 Band Moderations'!$B$5:$S$22,18,(FALSE))</f>
        <v>0</v>
      </c>
      <c r="K62" s="1012">
        <v>82</v>
      </c>
      <c r="L62" s="813">
        <f t="shared" si="10"/>
        <v>538766.55583865975</v>
      </c>
      <c r="M62" s="813">
        <f t="shared" si="13"/>
        <v>126040.83333333334</v>
      </c>
      <c r="N62" s="813">
        <f t="shared" si="11"/>
        <v>664807.38917199313</v>
      </c>
      <c r="O62" s="724">
        <f t="shared" si="14"/>
        <v>478333.33333333337</v>
      </c>
      <c r="P62" s="724">
        <f>(VLOOKUP(A62,'2021 Funding Detail'!$A$4:$AO$23,39,FALSE)*7/12)*K62</f>
        <v>477252.37183959153</v>
      </c>
      <c r="Q62" s="42"/>
      <c r="R62" s="42">
        <f t="shared" si="12"/>
        <v>0</v>
      </c>
      <c r="S62" s="168"/>
    </row>
    <row r="63" spans="1:20" s="34" customFormat="1" x14ac:dyDescent="0.25">
      <c r="A63" s="131">
        <v>9257030</v>
      </c>
      <c r="B63" s="915" t="s">
        <v>933</v>
      </c>
      <c r="C63" s="781" t="s">
        <v>949</v>
      </c>
      <c r="D63" s="812">
        <f>VLOOKUP(A63,'2021 Band Moderations'!$B$5:$S$22,6,(FALSE))</f>
        <v>0</v>
      </c>
      <c r="E63" s="812">
        <f>VLOOKUP(A63,'2021 Band Moderations'!$B$5:$S$22,8,(FALSE))</f>
        <v>0</v>
      </c>
      <c r="F63" s="812">
        <f>VLOOKUP(A63,'2021 Band Moderations'!$B$5:$S$22,10,(FALSE))</f>
        <v>1</v>
      </c>
      <c r="G63" s="812">
        <f>VLOOKUP(A63,'2021 Band Moderations'!$B$5:$S$22,12,(FALSE))</f>
        <v>0</v>
      </c>
      <c r="H63" s="812">
        <f>VLOOKUP(A63,'2021 Band Moderations'!$B$5:$S$22,14,(FALSE))</f>
        <v>0</v>
      </c>
      <c r="I63" s="812">
        <f>VLOOKUP(A63,'2021 Band Moderations'!$B$5:$S$22,16,(FALSE))</f>
        <v>0</v>
      </c>
      <c r="J63" s="812">
        <f>VLOOKUP(A63,'2021 Band Moderations'!$B$5:$S$22,18,(FALSE))</f>
        <v>0</v>
      </c>
      <c r="K63" s="1012">
        <v>75</v>
      </c>
      <c r="L63" s="813">
        <f t="shared" si="10"/>
        <v>492774.28887682292</v>
      </c>
      <c r="M63" s="813">
        <f t="shared" si="13"/>
        <v>115281.25000000001</v>
      </c>
      <c r="N63" s="813">
        <f t="shared" si="11"/>
        <v>608055.53887682292</v>
      </c>
      <c r="O63" s="724">
        <f t="shared" si="14"/>
        <v>437500</v>
      </c>
      <c r="P63" s="724">
        <f>(VLOOKUP(A63,'2021 Funding Detail'!$A$4:$AO$23,39,FALSE)*7/12)*K63</f>
        <v>446264.58270936122</v>
      </c>
      <c r="Q63" s="42"/>
      <c r="R63" s="42">
        <f t="shared" si="12"/>
        <v>0</v>
      </c>
      <c r="S63" s="168"/>
    </row>
    <row r="64" spans="1:20" s="34" customFormat="1" x14ac:dyDescent="0.25">
      <c r="A64" s="131">
        <v>9257028</v>
      </c>
      <c r="B64" s="38" t="s">
        <v>77</v>
      </c>
      <c r="C64" s="781">
        <v>4</v>
      </c>
      <c r="D64" s="812">
        <f>VLOOKUP(A64,'2021 Band Moderations'!$B$5:$S$22,6,(FALSE))</f>
        <v>9.4736842105263161E-2</v>
      </c>
      <c r="E64" s="812">
        <f>VLOOKUP(A64,'2021 Band Moderations'!$B$5:$S$22,8,(FALSE))</f>
        <v>0.35789473684210527</v>
      </c>
      <c r="F64" s="812">
        <f>VLOOKUP(A64,'2021 Band Moderations'!$B$5:$S$22,10,(FALSE))</f>
        <v>4.2105263157894736E-2</v>
      </c>
      <c r="G64" s="812">
        <f>VLOOKUP(A64,'2021 Band Moderations'!$B$5:$S$22,12,(FALSE))</f>
        <v>9.4736842105263161E-2</v>
      </c>
      <c r="H64" s="812">
        <f>VLOOKUP(A64,'2021 Band Moderations'!$B$5:$S$22,14,(FALSE))</f>
        <v>0.14736842105263157</v>
      </c>
      <c r="I64" s="812">
        <f>VLOOKUP(A64,'2021 Band Moderations'!$B$5:$S$22,16,(FALSE))</f>
        <v>0.1368421052631579</v>
      </c>
      <c r="J64" s="812">
        <f>VLOOKUP(A64,'2021 Band Moderations'!$B$5:$S$22,18,(FALSE))</f>
        <v>0.12631578947368421</v>
      </c>
      <c r="K64" s="1012">
        <v>91</v>
      </c>
      <c r="L64" s="813">
        <f t="shared" si="10"/>
        <v>622786.07059540262</v>
      </c>
      <c r="M64" s="813">
        <f t="shared" si="13"/>
        <v>5889.4561403508778</v>
      </c>
      <c r="N64" s="813">
        <f t="shared" si="11"/>
        <v>628675.52673575352</v>
      </c>
      <c r="O64" s="724">
        <f t="shared" si="14"/>
        <v>530833.33333333337</v>
      </c>
      <c r="P64" s="724">
        <f>(VLOOKUP(A64,'2021 Funding Detail'!$A$4:$AO$23,39,FALSE)*7/12)*K64</f>
        <v>387837.0695865131</v>
      </c>
      <c r="Q64" s="42"/>
      <c r="R64" s="42">
        <f t="shared" si="12"/>
        <v>150953.91822569526</v>
      </c>
      <c r="S64" s="168"/>
    </row>
    <row r="65" spans="1:23" s="34" customFormat="1" x14ac:dyDescent="0.25">
      <c r="A65" s="131">
        <v>9257021</v>
      </c>
      <c r="B65" s="38" t="s">
        <v>78</v>
      </c>
      <c r="C65" s="781" t="s">
        <v>947</v>
      </c>
      <c r="D65" s="812">
        <f>VLOOKUP(A65,'2021 Band Moderations'!$B$5:$S$22,6,(FALSE))</f>
        <v>0.28834355828220859</v>
      </c>
      <c r="E65" s="812">
        <f>VLOOKUP(A65,'2021 Band Moderations'!$B$5:$S$22,8,(FALSE))</f>
        <v>0.35582822085889571</v>
      </c>
      <c r="F65" s="812">
        <f>VLOOKUP(A65,'2021 Band Moderations'!$B$5:$S$22,10,(FALSE))</f>
        <v>9.815950920245399E-2</v>
      </c>
      <c r="G65" s="812">
        <f>VLOOKUP(A65,'2021 Band Moderations'!$B$5:$S$22,12,(FALSE))</f>
        <v>6.1349693251533742E-2</v>
      </c>
      <c r="H65" s="812">
        <f>VLOOKUP(A65,'2021 Band Moderations'!$B$5:$S$22,14,(FALSE))</f>
        <v>6.1349693251533742E-2</v>
      </c>
      <c r="I65" s="812">
        <f>VLOOKUP(A65,'2021 Band Moderations'!$B$5:$S$22,16,(FALSE))</f>
        <v>0.12269938650306748</v>
      </c>
      <c r="J65" s="812">
        <f>VLOOKUP(A65,'2021 Band Moderations'!$B$5:$S$22,18,(FALSE))</f>
        <v>1.2269938650306749E-2</v>
      </c>
      <c r="K65" s="1012">
        <v>166</v>
      </c>
      <c r="L65" s="813">
        <f t="shared" si="10"/>
        <v>872554.44196515286</v>
      </c>
      <c r="M65" s="813">
        <f t="shared" si="13"/>
        <v>25045.971370143154</v>
      </c>
      <c r="N65" s="813">
        <f t="shared" si="11"/>
        <v>897600.41333529598</v>
      </c>
      <c r="O65" s="724">
        <f t="shared" si="14"/>
        <v>968333.33333333337</v>
      </c>
      <c r="P65" s="724">
        <f>(VLOOKUP(A65,'2021 Funding Detail'!$A$4:$AO$23,39,FALSE)*7/12)*K65</f>
        <v>274816.64974785736</v>
      </c>
      <c r="Q65" s="42"/>
      <c r="R65" s="42">
        <f t="shared" si="12"/>
        <v>26748.278505350845</v>
      </c>
      <c r="S65" s="168"/>
    </row>
    <row r="66" spans="1:23" s="34" customFormat="1" x14ac:dyDescent="0.25">
      <c r="A66" s="131">
        <v>9257015</v>
      </c>
      <c r="B66" s="38" t="s">
        <v>55</v>
      </c>
      <c r="C66" s="781" t="s">
        <v>948</v>
      </c>
      <c r="D66" s="812">
        <f>VLOOKUP(A66,'2021 Band Moderations'!$B$5:$S$22,6,(FALSE))</f>
        <v>0.37931034482758619</v>
      </c>
      <c r="E66" s="812">
        <f>VLOOKUP(A66,'2021 Band Moderations'!$B$5:$S$22,8,(FALSE))</f>
        <v>0.33189655172413796</v>
      </c>
      <c r="F66" s="812">
        <f>VLOOKUP(A66,'2021 Band Moderations'!$B$5:$S$22,10,(FALSE))</f>
        <v>2.5862068965517241E-2</v>
      </c>
      <c r="G66" s="812">
        <f>VLOOKUP(A66,'2021 Band Moderations'!$B$5:$S$22,12,(FALSE))</f>
        <v>6.4655172413793108E-2</v>
      </c>
      <c r="H66" s="812">
        <f>VLOOKUP(A66,'2021 Band Moderations'!$B$5:$S$22,14,(FALSE))</f>
        <v>3.8793103448275863E-2</v>
      </c>
      <c r="I66" s="812">
        <f>VLOOKUP(A66,'2021 Band Moderations'!$B$5:$S$22,16,(FALSE))</f>
        <v>0.14655172413793102</v>
      </c>
      <c r="J66" s="812">
        <f>VLOOKUP(A66,'2021 Band Moderations'!$B$5:$S$22,18,(FALSE))</f>
        <v>1.2931034482758621E-2</v>
      </c>
      <c r="K66" s="1012">
        <v>224</v>
      </c>
      <c r="L66" s="813">
        <f t="shared" si="10"/>
        <v>1130986.9616527222</v>
      </c>
      <c r="M66" s="813">
        <f t="shared" si="13"/>
        <v>8904.4827586206902</v>
      </c>
      <c r="N66" s="813">
        <f t="shared" si="11"/>
        <v>1139891.444411343</v>
      </c>
      <c r="O66" s="724">
        <f t="shared" si="14"/>
        <v>1306666.6666666667</v>
      </c>
      <c r="P66" s="724">
        <f>(VLOOKUP(A66,'2021 Funding Detail'!$A$4:$AO$23,39,FALSE)*7/12)*K66</f>
        <v>179409.62030090601</v>
      </c>
      <c r="Q66" s="42"/>
      <c r="R66" s="42">
        <f t="shared" si="12"/>
        <v>38038.785759790582</v>
      </c>
      <c r="S66" s="168"/>
    </row>
    <row r="67" spans="1:23" s="34" customFormat="1" x14ac:dyDescent="0.25">
      <c r="A67" s="131">
        <v>9257016</v>
      </c>
      <c r="B67" s="38" t="s">
        <v>80</v>
      </c>
      <c r="C67" s="781" t="s">
        <v>948</v>
      </c>
      <c r="D67" s="812">
        <f>VLOOKUP(A67,'2021 Band Moderations'!$B$5:$S$22,6,(FALSE))</f>
        <v>0.21052631578947367</v>
      </c>
      <c r="E67" s="812">
        <f>VLOOKUP(A67,'2021 Band Moderations'!$B$5:$S$22,8,(FALSE))</f>
        <v>0.13815789473684212</v>
      </c>
      <c r="F67" s="812">
        <f>VLOOKUP(A67,'2021 Band Moderations'!$B$5:$S$22,10,(FALSE))</f>
        <v>6.5789473684210523E-3</v>
      </c>
      <c r="G67" s="812">
        <f>VLOOKUP(A67,'2021 Band Moderations'!$B$5:$S$22,12,(FALSE))</f>
        <v>0.21710526315789475</v>
      </c>
      <c r="H67" s="812">
        <f>VLOOKUP(A67,'2021 Band Moderations'!$B$5:$S$22,14,(FALSE))</f>
        <v>0.19736842105263158</v>
      </c>
      <c r="I67" s="812">
        <f>VLOOKUP(A67,'2021 Band Moderations'!$B$5:$S$22,16,(FALSE))</f>
        <v>6.5789473684210523E-3</v>
      </c>
      <c r="J67" s="812">
        <f>VLOOKUP(A67,'2021 Band Moderations'!$B$5:$S$22,18,(FALSE))</f>
        <v>0.22368421052631579</v>
      </c>
      <c r="K67" s="1012">
        <v>110</v>
      </c>
      <c r="L67" s="813">
        <f t="shared" si="10"/>
        <v>844703.94644976628</v>
      </c>
      <c r="M67" s="813">
        <f t="shared" si="13"/>
        <v>1112.3629385964912</v>
      </c>
      <c r="N67" s="813">
        <f t="shared" si="11"/>
        <v>845816.3093883628</v>
      </c>
      <c r="O67" s="724">
        <f t="shared" si="14"/>
        <v>641666.66666666674</v>
      </c>
      <c r="P67" s="724">
        <f>(VLOOKUP(A67,'2021 Funding Detail'!$A$4:$AO$23,39,FALSE)*7/12)*K67</f>
        <v>463507.60580894432</v>
      </c>
      <c r="Q67" s="628" t="s">
        <v>402</v>
      </c>
      <c r="R67" s="42">
        <f t="shared" si="12"/>
        <v>323127.09144007572</v>
      </c>
      <c r="S67" s="168"/>
    </row>
    <row r="68" spans="1:23" s="34" customFormat="1" x14ac:dyDescent="0.25">
      <c r="B68" s="50"/>
      <c r="C68" s="50"/>
      <c r="F68" s="628" t="s">
        <v>402</v>
      </c>
      <c r="J68" s="628" t="s">
        <v>402</v>
      </c>
      <c r="K68" s="996"/>
      <c r="N68" s="628" t="s">
        <v>402</v>
      </c>
      <c r="S68" s="347"/>
    </row>
    <row r="69" spans="1:23" s="34" customFormat="1" ht="13" x14ac:dyDescent="0.3">
      <c r="A69" s="230" t="s">
        <v>932</v>
      </c>
      <c r="B69" s="50"/>
      <c r="C69" s="50"/>
      <c r="K69" s="996"/>
      <c r="L69" s="996"/>
      <c r="S69" s="347"/>
    </row>
    <row r="70" spans="1:23" s="34" customFormat="1" x14ac:dyDescent="0.25">
      <c r="B70" s="50"/>
      <c r="C70" s="50"/>
      <c r="K70" s="996"/>
      <c r="L70" s="996"/>
      <c r="O70" s="1893" t="s">
        <v>332</v>
      </c>
      <c r="P70" s="1894"/>
      <c r="S70" s="347"/>
    </row>
    <row r="71" spans="1:23" s="34" customFormat="1" ht="37.5" x14ac:dyDescent="0.25">
      <c r="A71" s="183" t="s">
        <v>201</v>
      </c>
      <c r="B71" s="36" t="s">
        <v>66</v>
      </c>
      <c r="C71" s="39" t="s">
        <v>51</v>
      </c>
      <c r="D71" s="1002" t="s">
        <v>858</v>
      </c>
      <c r="E71" s="1002" t="s">
        <v>859</v>
      </c>
      <c r="F71" s="1002" t="s">
        <v>860</v>
      </c>
      <c r="G71" s="1002" t="s">
        <v>861</v>
      </c>
      <c r="H71" s="1002" t="s">
        <v>862</v>
      </c>
      <c r="I71" s="1002" t="s">
        <v>863</v>
      </c>
      <c r="J71" s="1002" t="s">
        <v>864</v>
      </c>
      <c r="K71" s="1004" t="s">
        <v>185</v>
      </c>
      <c r="L71" s="1004" t="s">
        <v>289</v>
      </c>
      <c r="M71" s="1004" t="s">
        <v>392</v>
      </c>
      <c r="N71" s="1004" t="s">
        <v>289</v>
      </c>
      <c r="O71" s="1004" t="s">
        <v>330</v>
      </c>
      <c r="P71" s="694" t="s">
        <v>341</v>
      </c>
      <c r="Q71" s="1004"/>
      <c r="R71" s="1004"/>
      <c r="S71" s="252"/>
    </row>
    <row r="72" spans="1:23" s="34" customFormat="1" x14ac:dyDescent="0.25">
      <c r="A72" s="185">
        <v>9257010</v>
      </c>
      <c r="B72" s="38" t="s">
        <v>67</v>
      </c>
      <c r="C72" s="781">
        <v>4</v>
      </c>
      <c r="D72" s="812">
        <f>VLOOKUP(A72,'2021 Band Moderations'!$B$5:$S$22,6,(FALSE))</f>
        <v>6.25E-2</v>
      </c>
      <c r="E72" s="812">
        <f>VLOOKUP(A72,'2021 Band Moderations'!$B$5:$S$22,8,(FALSE))</f>
        <v>0.34375</v>
      </c>
      <c r="F72" s="812">
        <f>VLOOKUP(A72,'2021 Band Moderations'!$B$5:$S$22,10,(FALSE))</f>
        <v>6.25E-2</v>
      </c>
      <c r="G72" s="812">
        <f>VLOOKUP(A72,'2021 Band Moderations'!$B$5:$S$22,12,(FALSE))</f>
        <v>0.171875</v>
      </c>
      <c r="H72" s="812">
        <f>VLOOKUP(A72,'2021 Band Moderations'!$B$5:$S$22,14,(FALSE))</f>
        <v>4.6875E-2</v>
      </c>
      <c r="I72" s="812">
        <f>VLOOKUP(A72,'2021 Band Moderations'!$B$5:$S$22,16,(FALSE))</f>
        <v>0.171875</v>
      </c>
      <c r="J72" s="812">
        <f>VLOOKUP(A72,'2021 Band Moderations'!$B$5:$S$22,18,(FALSE))</f>
        <v>0.140625</v>
      </c>
      <c r="K72" s="1012">
        <v>7</v>
      </c>
      <c r="L72" s="813">
        <f>((((K72*D72)*$G$92)+((K72*E72)*$G$94)+((K72*F72)*$G$96)+((K72*G72)*$G$98)+((K72*H72)*$G$100)+((K72*I72)*$G$102)+((K72*J72)*$G$104)))*(8/12)</f>
        <v>56917.16194535813</v>
      </c>
      <c r="M72" s="813">
        <f t="shared" ref="M72:M89" si="15">((F72*K72)*$G$106)*(8/12)</f>
        <v>768.54166666666663</v>
      </c>
      <c r="N72" s="813">
        <f>SUM(L72:M72)</f>
        <v>57685.703612024794</v>
      </c>
      <c r="O72" s="724">
        <f>(K72*(8/12))*10000</f>
        <v>46666.666666666664</v>
      </c>
      <c r="P72" s="724">
        <f>(VLOOKUP(A72,'2021 Funding Detail'!$A$4:$AO$23,39,FALSE)*8/12)*K72</f>
        <v>45918.30680309709</v>
      </c>
      <c r="Q72" s="80"/>
      <c r="R72" s="42">
        <f t="shared" ref="R72:R89" si="16">(J72*K72*$G$104)*8/12</f>
        <v>14773.992683490093</v>
      </c>
      <c r="S72" s="168"/>
      <c r="T72" s="348"/>
      <c r="V72" s="626" t="s">
        <v>402</v>
      </c>
      <c r="W72" s="625" t="s">
        <v>594</v>
      </c>
    </row>
    <row r="73" spans="1:23" s="34" customFormat="1" x14ac:dyDescent="0.25">
      <c r="A73" s="185">
        <v>9257005</v>
      </c>
      <c r="B73" s="38" t="s">
        <v>68</v>
      </c>
      <c r="C73" s="781" t="s">
        <v>946</v>
      </c>
      <c r="D73" s="812">
        <f>VLOOKUP(A73,'2021 Band Moderations'!$B$5:$S$22,6,(FALSE))</f>
        <v>7.8947368421052627E-2</v>
      </c>
      <c r="E73" s="812">
        <f>VLOOKUP(A73,'2021 Band Moderations'!$B$5:$S$22,8,(FALSE))</f>
        <v>0.35526315789473684</v>
      </c>
      <c r="F73" s="812">
        <f>VLOOKUP(A73,'2021 Band Moderations'!$B$5:$S$22,10,(FALSE))</f>
        <v>6.5789473684210523E-2</v>
      </c>
      <c r="G73" s="812">
        <f>VLOOKUP(A73,'2021 Band Moderations'!$B$5:$S$22,12,(FALSE))</f>
        <v>0.14473684210526316</v>
      </c>
      <c r="H73" s="812">
        <f>VLOOKUP(A73,'2021 Band Moderations'!$B$5:$S$22,14,(FALSE))</f>
        <v>0.14473684210526316</v>
      </c>
      <c r="I73" s="812">
        <f>VLOOKUP(A73,'2021 Band Moderations'!$B$5:$S$22,16,(FALSE))</f>
        <v>0.15789473684210525</v>
      </c>
      <c r="J73" s="812">
        <f>VLOOKUP(A73,'2021 Band Moderations'!$B$5:$S$22,18,(FALSE))</f>
        <v>5.2631578947368418E-2</v>
      </c>
      <c r="K73" s="1012">
        <v>26</v>
      </c>
      <c r="L73" s="813">
        <f t="shared" ref="L73:L89" si="17">((((K73*D73)*$G$92)+((K73*E73)*$G$94)+((K73*F73)*$G$96)+((K73*G73)*$G$98)+((K73*H73)*$G$100)+((K73*I73)*$G$102)+((K73*J73)*$G$104)))*(8/12)</f>
        <v>194273.8301416992</v>
      </c>
      <c r="M73" s="813">
        <f t="shared" si="15"/>
        <v>3004.8245614035086</v>
      </c>
      <c r="N73" s="813">
        <f>SUM(L73:M73)</f>
        <v>197278.65470310271</v>
      </c>
      <c r="O73" s="724">
        <f t="shared" ref="O73:O89" si="18">(K73*(8/12))*10000</f>
        <v>173333.33333333331</v>
      </c>
      <c r="P73" s="724">
        <f>(VLOOKUP(A73,'2021 Funding Detail'!$A$4:$AO$23,39,FALSE)*8/12)*K73</f>
        <v>126542.4704768981</v>
      </c>
      <c r="Q73" s="80"/>
      <c r="R73" s="42">
        <f t="shared" si="16"/>
        <v>20537.948057917722</v>
      </c>
      <c r="S73" s="168"/>
      <c r="T73" s="348"/>
    </row>
    <row r="74" spans="1:23" s="34" customFormat="1" x14ac:dyDescent="0.25">
      <c r="A74" s="185">
        <v>9257025</v>
      </c>
      <c r="B74" s="38" t="s">
        <v>69</v>
      </c>
      <c r="C74" s="781">
        <v>4</v>
      </c>
      <c r="D74" s="812">
        <f>VLOOKUP(A74,'2021 Band Moderations'!$B$5:$S$22,6,(FALSE))</f>
        <v>0.16216216216216217</v>
      </c>
      <c r="E74" s="812">
        <f>VLOOKUP(A74,'2021 Band Moderations'!$B$5:$S$22,8,(FALSE))</f>
        <v>0.35135135135135137</v>
      </c>
      <c r="F74" s="812">
        <f>VLOOKUP(A74,'2021 Band Moderations'!$B$5:$S$22,10,(FALSE))</f>
        <v>6.7567567567567571E-2</v>
      </c>
      <c r="G74" s="812">
        <f>VLOOKUP(A74,'2021 Band Moderations'!$B$5:$S$22,12,(FALSE))</f>
        <v>0.17567567567567569</v>
      </c>
      <c r="H74" s="812">
        <f>VLOOKUP(A74,'2021 Band Moderations'!$B$5:$S$22,14,(FALSE))</f>
        <v>5.4054054054054057E-2</v>
      </c>
      <c r="I74" s="812">
        <f>VLOOKUP(A74,'2021 Band Moderations'!$B$5:$S$22,16,(FALSE))</f>
        <v>0.13513513513513514</v>
      </c>
      <c r="J74" s="812">
        <f>VLOOKUP(A74,'2021 Band Moderations'!$B$5:$S$22,18,(FALSE))</f>
        <v>5.4054054054054057E-2</v>
      </c>
      <c r="K74" s="1012">
        <v>20</v>
      </c>
      <c r="L74" s="813">
        <f t="shared" si="17"/>
        <v>140478.79131039165</v>
      </c>
      <c r="M74" s="813">
        <f t="shared" si="15"/>
        <v>2373.8738738738739</v>
      </c>
      <c r="N74" s="813">
        <f t="shared" ref="N74:N89" si="19">SUM(L74:M74)</f>
        <v>142852.66518426553</v>
      </c>
      <c r="O74" s="724">
        <f t="shared" si="18"/>
        <v>133333.33333333331</v>
      </c>
      <c r="P74" s="724">
        <f>(VLOOKUP(A74,'2021 Funding Detail'!$A$4:$AO$23,39,FALSE)*8/12)*K74</f>
        <v>95285.845579538465</v>
      </c>
      <c r="Q74" s="80"/>
      <c r="R74" s="42">
        <f t="shared" si="16"/>
        <v>16225.405950122111</v>
      </c>
      <c r="S74" s="168"/>
      <c r="T74" s="348"/>
    </row>
    <row r="75" spans="1:23" s="34" customFormat="1" x14ac:dyDescent="0.25">
      <c r="A75" s="185">
        <v>9257011</v>
      </c>
      <c r="B75" s="38" t="s">
        <v>70</v>
      </c>
      <c r="C75" s="781">
        <v>4</v>
      </c>
      <c r="D75" s="812">
        <f>VLOOKUP(A75,'2021 Band Moderations'!$B$5:$S$22,6,(FALSE))</f>
        <v>5.6603773584905662E-2</v>
      </c>
      <c r="E75" s="812">
        <f>VLOOKUP(A75,'2021 Band Moderations'!$B$5:$S$22,8,(FALSE))</f>
        <v>0.32075471698113206</v>
      </c>
      <c r="F75" s="812">
        <f>VLOOKUP(A75,'2021 Band Moderations'!$B$5:$S$22,10,(FALSE))</f>
        <v>3.7735849056603772E-2</v>
      </c>
      <c r="G75" s="812">
        <f>VLOOKUP(A75,'2021 Band Moderations'!$B$5:$S$22,12,(FALSE))</f>
        <v>0.16981132075471697</v>
      </c>
      <c r="H75" s="812">
        <f>VLOOKUP(A75,'2021 Band Moderations'!$B$5:$S$22,14,(FALSE))</f>
        <v>0.16981132075471697</v>
      </c>
      <c r="I75" s="812">
        <f>VLOOKUP(A75,'2021 Band Moderations'!$B$5:$S$22,16,(FALSE))</f>
        <v>0.15094339622641509</v>
      </c>
      <c r="J75" s="812">
        <f>VLOOKUP(A75,'2021 Band Moderations'!$B$5:$S$22,18,(FALSE))</f>
        <v>9.4339622641509441E-2</v>
      </c>
      <c r="K75" s="1012">
        <v>8</v>
      </c>
      <c r="L75" s="813">
        <f t="shared" si="17"/>
        <v>64352.201297063075</v>
      </c>
      <c r="M75" s="813">
        <f t="shared" si="15"/>
        <v>530.31446540880495</v>
      </c>
      <c r="N75" s="813">
        <f t="shared" si="19"/>
        <v>64882.515762471878</v>
      </c>
      <c r="O75" s="724">
        <f t="shared" si="18"/>
        <v>53333.333333333328</v>
      </c>
      <c r="P75" s="724">
        <f>(VLOOKUP(A75,'2021 Funding Detail'!$A$4:$AO$23,39,FALSE)*8/12)*K75</f>
        <v>53621.459086199065</v>
      </c>
      <c r="Q75" s="80"/>
      <c r="R75" s="42">
        <f t="shared" si="16"/>
        <v>11327.170191594681</v>
      </c>
      <c r="S75" s="168"/>
      <c r="T75" s="348"/>
    </row>
    <row r="76" spans="1:23" s="34" customFormat="1" x14ac:dyDescent="0.25">
      <c r="A76" s="185">
        <v>9257024</v>
      </c>
      <c r="B76" s="38" t="s">
        <v>71</v>
      </c>
      <c r="C76" s="781">
        <v>4</v>
      </c>
      <c r="D76" s="812">
        <f>VLOOKUP(A76,'2021 Band Moderations'!$B$5:$S$22,6,(FALSE))</f>
        <v>0.10843373493975904</v>
      </c>
      <c r="E76" s="812">
        <f>VLOOKUP(A76,'2021 Band Moderations'!$B$5:$S$22,8,(FALSE))</f>
        <v>0.43373493975903615</v>
      </c>
      <c r="F76" s="812">
        <f>VLOOKUP(A76,'2021 Band Moderations'!$B$5:$S$22,10,(FALSE))</f>
        <v>2.4096385542168676E-2</v>
      </c>
      <c r="G76" s="812">
        <f>VLOOKUP(A76,'2021 Band Moderations'!$B$5:$S$22,12,(FALSE))</f>
        <v>0.15662650602409639</v>
      </c>
      <c r="H76" s="812">
        <f>VLOOKUP(A76,'2021 Band Moderations'!$B$5:$S$22,14,(FALSE))</f>
        <v>0.10843373493975904</v>
      </c>
      <c r="I76" s="812">
        <f>VLOOKUP(A76,'2021 Band Moderations'!$B$5:$S$22,16,(FALSE))</f>
        <v>7.2289156626506021E-2</v>
      </c>
      <c r="J76" s="812">
        <f>VLOOKUP(A76,'2021 Band Moderations'!$B$5:$S$22,18,(FALSE))</f>
        <v>9.6385542168674704E-2</v>
      </c>
      <c r="K76" s="1012">
        <v>14</v>
      </c>
      <c r="L76" s="813">
        <f t="shared" si="17"/>
        <v>100923.61561360321</v>
      </c>
      <c r="M76" s="813">
        <f t="shared" si="15"/>
        <v>592.61044176706832</v>
      </c>
      <c r="N76" s="813">
        <f t="shared" si="19"/>
        <v>101516.22605537028</v>
      </c>
      <c r="O76" s="724">
        <f t="shared" si="18"/>
        <v>93333.333333333328</v>
      </c>
      <c r="P76" s="724">
        <f>(VLOOKUP(A76,'2021 Funding Detail'!$A$4:$AO$23,39,FALSE)*8/12)*K76</f>
        <v>63217.657963436992</v>
      </c>
      <c r="Q76" s="80"/>
      <c r="R76" s="42">
        <f t="shared" si="16"/>
        <v>20252.434414851214</v>
      </c>
      <c r="S76" s="168"/>
      <c r="T76" s="348"/>
    </row>
    <row r="77" spans="1:23" s="34" customFormat="1" x14ac:dyDescent="0.25">
      <c r="A77" s="185">
        <v>9257031</v>
      </c>
      <c r="B77" s="38" t="s">
        <v>98</v>
      </c>
      <c r="C77" s="781" t="s">
        <v>949</v>
      </c>
      <c r="D77" s="812">
        <f>VLOOKUP(A77,'2021 Band Moderations'!$B$5:$S$22,6,(FALSE))</f>
        <v>0</v>
      </c>
      <c r="E77" s="812">
        <f>VLOOKUP(A77,'2021 Band Moderations'!$B$5:$S$22,8,(FALSE))</f>
        <v>0</v>
      </c>
      <c r="F77" s="812">
        <f>VLOOKUP(A77,'2021 Band Moderations'!$B$5:$S$22,10,(FALSE))</f>
        <v>1</v>
      </c>
      <c r="G77" s="812">
        <f>VLOOKUP(A77,'2021 Band Moderations'!$B$5:$S$22,12,(FALSE))</f>
        <v>0</v>
      </c>
      <c r="H77" s="812">
        <f>VLOOKUP(A77,'2021 Band Moderations'!$B$5:$S$22,14,(FALSE))</f>
        <v>0</v>
      </c>
      <c r="I77" s="812">
        <f>VLOOKUP(A77,'2021 Band Moderations'!$B$5:$S$22,16,(FALSE))</f>
        <v>0</v>
      </c>
      <c r="J77" s="812">
        <f>VLOOKUP(A77,'2021 Band Moderations'!$B$5:$S$22,18,(FALSE))</f>
        <v>0</v>
      </c>
      <c r="K77" s="1012">
        <v>0</v>
      </c>
      <c r="L77" s="813">
        <f t="shared" si="17"/>
        <v>0</v>
      </c>
      <c r="M77" s="813">
        <f t="shared" si="15"/>
        <v>0</v>
      </c>
      <c r="N77" s="813">
        <f t="shared" si="19"/>
        <v>0</v>
      </c>
      <c r="O77" s="724">
        <f t="shared" si="18"/>
        <v>0</v>
      </c>
      <c r="P77" s="724">
        <f>(VLOOKUP(A77,'2021 Funding Detail'!$A$4:$AO$23,39,FALSE)*8/12)*K77</f>
        <v>0</v>
      </c>
      <c r="Q77" s="80"/>
      <c r="R77" s="42">
        <f t="shared" si="16"/>
        <v>0</v>
      </c>
      <c r="S77" s="168"/>
      <c r="T77" s="348"/>
    </row>
    <row r="78" spans="1:23" s="34" customFormat="1" x14ac:dyDescent="0.25">
      <c r="A78" s="185">
        <v>9257033</v>
      </c>
      <c r="B78" s="38" t="s">
        <v>72</v>
      </c>
      <c r="C78" s="781" t="s">
        <v>946</v>
      </c>
      <c r="D78" s="812">
        <f>VLOOKUP(A78,'2021 Band Moderations'!$B$5:$S$22,6,(FALSE))</f>
        <v>0.17894736842105263</v>
      </c>
      <c r="E78" s="812">
        <f>VLOOKUP(A78,'2021 Band Moderations'!$B$5:$S$22,8,(FALSE))</f>
        <v>0.44210526315789472</v>
      </c>
      <c r="F78" s="812">
        <f>VLOOKUP(A78,'2021 Band Moderations'!$B$5:$S$22,10,(FALSE))</f>
        <v>0.12631578947368421</v>
      </c>
      <c r="G78" s="812">
        <f>VLOOKUP(A78,'2021 Band Moderations'!$B$5:$S$22,12,(FALSE))</f>
        <v>0.15789473684210525</v>
      </c>
      <c r="H78" s="812">
        <f>VLOOKUP(A78,'2021 Band Moderations'!$B$5:$S$22,14,(FALSE))</f>
        <v>4.2105263157894736E-2</v>
      </c>
      <c r="I78" s="812">
        <f>VLOOKUP(A78,'2021 Band Moderations'!$B$5:$S$22,16,(FALSE))</f>
        <v>5.2631578947368418E-2</v>
      </c>
      <c r="J78" s="812">
        <f>VLOOKUP(A78,'2021 Band Moderations'!$B$5:$S$22,18,(FALSE))</f>
        <v>0</v>
      </c>
      <c r="K78" s="1012">
        <v>0</v>
      </c>
      <c r="L78" s="813">
        <f t="shared" si="17"/>
        <v>0</v>
      </c>
      <c r="M78" s="813">
        <f t="shared" si="15"/>
        <v>0</v>
      </c>
      <c r="N78" s="813">
        <f t="shared" si="19"/>
        <v>0</v>
      </c>
      <c r="O78" s="724">
        <f t="shared" si="18"/>
        <v>0</v>
      </c>
      <c r="P78" s="724">
        <f>(VLOOKUP(A78,'2021 Funding Detail'!$A$4:$AO$23,39,FALSE)*8/12)*K78</f>
        <v>0</v>
      </c>
      <c r="Q78" s="80"/>
      <c r="R78" s="42">
        <f t="shared" si="16"/>
        <v>0</v>
      </c>
      <c r="S78" s="168"/>
      <c r="T78" s="348"/>
    </row>
    <row r="79" spans="1:23" s="34" customFormat="1" x14ac:dyDescent="0.25">
      <c r="A79" s="185">
        <v>9257008</v>
      </c>
      <c r="B79" s="38" t="s">
        <v>73</v>
      </c>
      <c r="C79" s="781">
        <v>4</v>
      </c>
      <c r="D79" s="812">
        <f>VLOOKUP(A79,'2021 Band Moderations'!$B$5:$S$22,6,(FALSE))</f>
        <v>0.10309278350515463</v>
      </c>
      <c r="E79" s="812">
        <f>VLOOKUP(A79,'2021 Band Moderations'!$B$5:$S$22,8,(FALSE))</f>
        <v>0.52577319587628868</v>
      </c>
      <c r="F79" s="812">
        <f>VLOOKUP(A79,'2021 Band Moderations'!$B$5:$S$22,10,(FALSE))</f>
        <v>8.247422680412371E-2</v>
      </c>
      <c r="G79" s="812">
        <f>VLOOKUP(A79,'2021 Band Moderations'!$B$5:$S$22,12,(FALSE))</f>
        <v>9.2783505154639179E-2</v>
      </c>
      <c r="H79" s="812">
        <f>VLOOKUP(A79,'2021 Band Moderations'!$B$5:$S$22,14,(FALSE))</f>
        <v>1.0309278350515464E-2</v>
      </c>
      <c r="I79" s="812">
        <f>VLOOKUP(A79,'2021 Band Moderations'!$B$5:$S$22,16,(FALSE))</f>
        <v>0.18556701030927836</v>
      </c>
      <c r="J79" s="812">
        <f>VLOOKUP(A79,'2021 Band Moderations'!$B$5:$S$22,18,(FALSE))</f>
        <v>0</v>
      </c>
      <c r="K79" s="1012">
        <v>0</v>
      </c>
      <c r="L79" s="813">
        <f t="shared" si="17"/>
        <v>0</v>
      </c>
      <c r="M79" s="813">
        <f t="shared" si="15"/>
        <v>0</v>
      </c>
      <c r="N79" s="813">
        <f t="shared" si="19"/>
        <v>0</v>
      </c>
      <c r="O79" s="724">
        <f t="shared" si="18"/>
        <v>0</v>
      </c>
      <c r="P79" s="724">
        <f>(VLOOKUP(A79,'2021 Funding Detail'!$A$4:$AO$23,39,FALSE)*8/12)*K79</f>
        <v>0</v>
      </c>
      <c r="Q79" s="80"/>
      <c r="R79" s="42">
        <f t="shared" si="16"/>
        <v>0</v>
      </c>
      <c r="S79" s="168"/>
      <c r="T79" s="348"/>
    </row>
    <row r="80" spans="1:23" s="34" customFormat="1" x14ac:dyDescent="0.25">
      <c r="A80" s="185">
        <v>9257034</v>
      </c>
      <c r="B80" s="38" t="s">
        <v>74</v>
      </c>
      <c r="C80" s="781" t="s">
        <v>946</v>
      </c>
      <c r="D80" s="812">
        <f>VLOOKUP(A80,'2021 Band Moderations'!$B$5:$S$22,6,(FALSE))</f>
        <v>0.42201834862385323</v>
      </c>
      <c r="E80" s="812">
        <f>VLOOKUP(A80,'2021 Band Moderations'!$B$5:$S$22,8,(FALSE))</f>
        <v>0.26605504587155965</v>
      </c>
      <c r="F80" s="812">
        <f>VLOOKUP(A80,'2021 Band Moderations'!$B$5:$S$22,10,(FALSE))</f>
        <v>0.15596330275229359</v>
      </c>
      <c r="G80" s="812">
        <f>VLOOKUP(A80,'2021 Band Moderations'!$B$5:$S$22,12,(FALSE))</f>
        <v>4.5871559633027525E-2</v>
      </c>
      <c r="H80" s="812">
        <f>VLOOKUP(A80,'2021 Band Moderations'!$B$5:$S$22,14,(FALSE))</f>
        <v>4.5871559633027525E-2</v>
      </c>
      <c r="I80" s="812">
        <f>VLOOKUP(A80,'2021 Band Moderations'!$B$5:$S$22,16,(FALSE))</f>
        <v>5.5045871559633031E-2</v>
      </c>
      <c r="J80" s="812">
        <f>VLOOKUP(A80,'2021 Band Moderations'!$B$5:$S$22,18,(FALSE))</f>
        <v>9.1743119266055051E-3</v>
      </c>
      <c r="K80" s="1012">
        <v>34</v>
      </c>
      <c r="L80" s="813">
        <f t="shared" si="17"/>
        <v>188283.25000620369</v>
      </c>
      <c r="M80" s="813">
        <f t="shared" si="15"/>
        <v>9315.1681957186556</v>
      </c>
      <c r="N80" s="813">
        <f t="shared" si="19"/>
        <v>197598.41820192235</v>
      </c>
      <c r="O80" s="724">
        <f t="shared" si="18"/>
        <v>226666.66666666666</v>
      </c>
      <c r="P80" s="724">
        <f>(VLOOKUP(A80,'2021 Funding Detail'!$A$4:$AO$23,39,FALSE)*8/12)*K80</f>
        <v>74226.648242556461</v>
      </c>
      <c r="Q80" s="80"/>
      <c r="R80" s="42">
        <f t="shared" si="16"/>
        <v>4681.5506158838571</v>
      </c>
      <c r="S80" s="168"/>
      <c r="T80" s="348"/>
    </row>
    <row r="81" spans="1:20" s="34" customFormat="1" x14ac:dyDescent="0.25">
      <c r="A81" s="185">
        <v>9257002</v>
      </c>
      <c r="B81" s="38" t="s">
        <v>75</v>
      </c>
      <c r="C81" s="781">
        <v>4</v>
      </c>
      <c r="D81" s="812">
        <f>VLOOKUP(A81,'2021 Band Moderations'!$B$5:$S$22,6,(FALSE))</f>
        <v>0.42957746478873238</v>
      </c>
      <c r="E81" s="812">
        <f>VLOOKUP(A81,'2021 Band Moderations'!$B$5:$S$22,8,(FALSE))</f>
        <v>0.25352112676056338</v>
      </c>
      <c r="F81" s="812">
        <f>VLOOKUP(A81,'2021 Band Moderations'!$B$5:$S$22,10,(FALSE))</f>
        <v>0.15492957746478872</v>
      </c>
      <c r="G81" s="812">
        <f>VLOOKUP(A81,'2021 Band Moderations'!$B$5:$S$22,12,(FALSE))</f>
        <v>2.1126760563380281E-2</v>
      </c>
      <c r="H81" s="812">
        <f>VLOOKUP(A81,'2021 Band Moderations'!$B$5:$S$22,14,(FALSE))</f>
        <v>4.2253521126760563E-2</v>
      </c>
      <c r="I81" s="812">
        <f>VLOOKUP(A81,'2021 Band Moderations'!$B$5:$S$22,16,(FALSE))</f>
        <v>8.4507042253521125E-2</v>
      </c>
      <c r="J81" s="812">
        <f>VLOOKUP(A81,'2021 Band Moderations'!$B$5:$S$22,18,(FALSE))</f>
        <v>1.4084507042253521E-2</v>
      </c>
      <c r="K81" s="1012">
        <v>0</v>
      </c>
      <c r="L81" s="813">
        <f t="shared" si="17"/>
        <v>0</v>
      </c>
      <c r="M81" s="813">
        <f t="shared" si="15"/>
        <v>0</v>
      </c>
      <c r="N81" s="813">
        <f t="shared" si="19"/>
        <v>0</v>
      </c>
      <c r="O81" s="724">
        <f t="shared" si="18"/>
        <v>0</v>
      </c>
      <c r="P81" s="724">
        <f>(VLOOKUP(A81,'2021 Funding Detail'!$A$4:$AO$23,39,FALSE)*8/12)*K81</f>
        <v>0</v>
      </c>
      <c r="Q81" s="80"/>
      <c r="R81" s="42">
        <f t="shared" si="16"/>
        <v>0</v>
      </c>
      <c r="S81" s="168"/>
      <c r="T81" s="348"/>
    </row>
    <row r="82" spans="1:20" s="34" customFormat="1" x14ac:dyDescent="0.25">
      <c r="A82" s="185">
        <v>9257009</v>
      </c>
      <c r="B82" s="38" t="s">
        <v>76</v>
      </c>
      <c r="C82" s="781">
        <v>4</v>
      </c>
      <c r="D82" s="812">
        <f>VLOOKUP(A82,'2021 Band Moderations'!$B$5:$S$22,6,(FALSE))</f>
        <v>0.17054263565891473</v>
      </c>
      <c r="E82" s="812">
        <f>VLOOKUP(A82,'2021 Band Moderations'!$B$5:$S$22,8,(FALSE))</f>
        <v>0.58139534883720934</v>
      </c>
      <c r="F82" s="812">
        <f>VLOOKUP(A82,'2021 Band Moderations'!$B$5:$S$22,10,(FALSE))</f>
        <v>8.5271317829457363E-2</v>
      </c>
      <c r="G82" s="812">
        <f>VLOOKUP(A82,'2021 Band Moderations'!$B$5:$S$22,12,(FALSE))</f>
        <v>1.5503875968992248E-2</v>
      </c>
      <c r="H82" s="812">
        <f>VLOOKUP(A82,'2021 Band Moderations'!$B$5:$S$22,14,(FALSE))</f>
        <v>3.1007751937984496E-2</v>
      </c>
      <c r="I82" s="812">
        <f>VLOOKUP(A82,'2021 Band Moderations'!$B$5:$S$22,16,(FALSE))</f>
        <v>0.11627906976744186</v>
      </c>
      <c r="J82" s="812">
        <f>VLOOKUP(A82,'2021 Band Moderations'!$B$5:$S$22,18,(FALSE))</f>
        <v>0</v>
      </c>
      <c r="K82" s="1012">
        <v>0</v>
      </c>
      <c r="L82" s="813">
        <f t="shared" si="17"/>
        <v>0</v>
      </c>
      <c r="M82" s="813">
        <f t="shared" si="15"/>
        <v>0</v>
      </c>
      <c r="N82" s="813">
        <f t="shared" si="19"/>
        <v>0</v>
      </c>
      <c r="O82" s="724">
        <f t="shared" si="18"/>
        <v>0</v>
      </c>
      <c r="P82" s="724">
        <f>(VLOOKUP(A82,'2021 Funding Detail'!$A$4:$AO$23,39,FALSE)*8/12)*K82</f>
        <v>0</v>
      </c>
      <c r="Q82" s="80"/>
      <c r="R82" s="42">
        <f t="shared" si="16"/>
        <v>0</v>
      </c>
      <c r="S82" s="168"/>
      <c r="T82" s="348"/>
    </row>
    <row r="83" spans="1:20" s="34" customFormat="1" x14ac:dyDescent="0.25">
      <c r="A83" s="185">
        <v>9257029</v>
      </c>
      <c r="B83" s="915" t="s">
        <v>848</v>
      </c>
      <c r="C83" s="781" t="s">
        <v>949</v>
      </c>
      <c r="D83" s="812">
        <f>VLOOKUP(A83,'2021 Band Moderations'!$B$5:$S$22,6,(FALSE))</f>
        <v>0</v>
      </c>
      <c r="E83" s="812">
        <f>VLOOKUP(A83,'2021 Band Moderations'!$B$5:$S$22,8,(FALSE))</f>
        <v>0</v>
      </c>
      <c r="F83" s="812">
        <f>VLOOKUP(A83,'2021 Band Moderations'!$B$5:$S$22,10,(FALSE))</f>
        <v>1</v>
      </c>
      <c r="G83" s="812">
        <f>VLOOKUP(A83,'2021 Band Moderations'!$B$5:$S$22,12,(FALSE))</f>
        <v>0</v>
      </c>
      <c r="H83" s="812">
        <f>VLOOKUP(A83,'2021 Band Moderations'!$B$5:$S$22,14,(FALSE))</f>
        <v>0</v>
      </c>
      <c r="I83" s="812">
        <f>VLOOKUP(A83,'2021 Band Moderations'!$B$5:$S$22,16,(FALSE))</f>
        <v>0</v>
      </c>
      <c r="J83" s="812">
        <f>VLOOKUP(A83,'2021 Band Moderations'!$B$5:$S$22,18,(FALSE))</f>
        <v>0</v>
      </c>
      <c r="K83" s="1012">
        <v>0</v>
      </c>
      <c r="L83" s="813">
        <f t="shared" si="17"/>
        <v>0</v>
      </c>
      <c r="M83" s="813">
        <f t="shared" si="15"/>
        <v>0</v>
      </c>
      <c r="N83" s="813">
        <f t="shared" si="19"/>
        <v>0</v>
      </c>
      <c r="O83" s="724">
        <f t="shared" si="18"/>
        <v>0</v>
      </c>
      <c r="P83" s="724">
        <f>(VLOOKUP(A83,'2021 Funding Detail'!$A$4:$AO$23,39,FALSE)*8/12)*K83</f>
        <v>0</v>
      </c>
      <c r="Q83" s="80"/>
      <c r="R83" s="42">
        <f t="shared" si="16"/>
        <v>0</v>
      </c>
      <c r="S83" s="168"/>
      <c r="T83" s="348"/>
    </row>
    <row r="84" spans="1:20" s="34" customFormat="1" x14ac:dyDescent="0.25">
      <c r="A84" s="185">
        <v>9257032</v>
      </c>
      <c r="B84" s="915" t="s">
        <v>934</v>
      </c>
      <c r="C84" s="781" t="s">
        <v>949</v>
      </c>
      <c r="D84" s="812">
        <f>VLOOKUP(A84,'2021 Band Moderations'!$B$5:$S$22,6,(FALSE))</f>
        <v>0</v>
      </c>
      <c r="E84" s="812">
        <f>VLOOKUP(A84,'2021 Band Moderations'!$B$5:$S$22,8,(FALSE))</f>
        <v>0</v>
      </c>
      <c r="F84" s="812">
        <f>VLOOKUP(A84,'2021 Band Moderations'!$B$5:$S$22,10,(FALSE))</f>
        <v>1</v>
      </c>
      <c r="G84" s="812">
        <f>VLOOKUP(A84,'2021 Band Moderations'!$B$5:$S$22,12,(FALSE))</f>
        <v>0</v>
      </c>
      <c r="H84" s="812">
        <f>VLOOKUP(A84,'2021 Band Moderations'!$B$5:$S$22,14,(FALSE))</f>
        <v>0</v>
      </c>
      <c r="I84" s="812">
        <f>VLOOKUP(A84,'2021 Band Moderations'!$B$5:$S$22,16,(FALSE))</f>
        <v>0</v>
      </c>
      <c r="J84" s="812">
        <f>VLOOKUP(A84,'2021 Band Moderations'!$B$5:$S$22,18,(FALSE))</f>
        <v>0</v>
      </c>
      <c r="K84" s="1012">
        <v>0</v>
      </c>
      <c r="L84" s="813">
        <f t="shared" si="17"/>
        <v>0</v>
      </c>
      <c r="M84" s="813">
        <f t="shared" si="15"/>
        <v>0</v>
      </c>
      <c r="N84" s="813">
        <f t="shared" si="19"/>
        <v>0</v>
      </c>
      <c r="O84" s="724">
        <f t="shared" si="18"/>
        <v>0</v>
      </c>
      <c r="P84" s="724">
        <f>(VLOOKUP(A84,'2021 Funding Detail'!$A$4:$AO$23,39,FALSE)*8/12)*K84</f>
        <v>0</v>
      </c>
      <c r="Q84" s="80"/>
      <c r="R84" s="42">
        <f t="shared" si="16"/>
        <v>0</v>
      </c>
      <c r="S84" s="168"/>
      <c r="T84" s="348"/>
    </row>
    <row r="85" spans="1:20" s="34" customFormat="1" x14ac:dyDescent="0.25">
      <c r="A85" s="185">
        <v>9257030</v>
      </c>
      <c r="B85" s="915" t="s">
        <v>933</v>
      </c>
      <c r="C85" s="781" t="s">
        <v>949</v>
      </c>
      <c r="D85" s="812">
        <f>VLOOKUP(A85,'2021 Band Moderations'!$B$5:$S$22,6,(FALSE))</f>
        <v>0</v>
      </c>
      <c r="E85" s="812">
        <f>VLOOKUP(A85,'2021 Band Moderations'!$B$5:$S$22,8,(FALSE))</f>
        <v>0</v>
      </c>
      <c r="F85" s="812">
        <f>VLOOKUP(A85,'2021 Band Moderations'!$B$5:$S$22,10,(FALSE))</f>
        <v>1</v>
      </c>
      <c r="G85" s="812">
        <f>VLOOKUP(A85,'2021 Band Moderations'!$B$5:$S$22,12,(FALSE))</f>
        <v>0</v>
      </c>
      <c r="H85" s="812">
        <f>VLOOKUP(A85,'2021 Band Moderations'!$B$5:$S$22,14,(FALSE))</f>
        <v>0</v>
      </c>
      <c r="I85" s="812">
        <f>VLOOKUP(A85,'2021 Band Moderations'!$B$5:$S$22,16,(FALSE))</f>
        <v>0</v>
      </c>
      <c r="J85" s="812">
        <f>VLOOKUP(A85,'2021 Band Moderations'!$B$5:$S$22,18,(FALSE))</f>
        <v>0</v>
      </c>
      <c r="K85" s="1012">
        <v>0</v>
      </c>
      <c r="L85" s="813">
        <f t="shared" si="17"/>
        <v>0</v>
      </c>
      <c r="M85" s="813">
        <f t="shared" si="15"/>
        <v>0</v>
      </c>
      <c r="N85" s="813">
        <f t="shared" si="19"/>
        <v>0</v>
      </c>
      <c r="O85" s="724">
        <f t="shared" si="18"/>
        <v>0</v>
      </c>
      <c r="P85" s="724">
        <f>(VLOOKUP(A85,'2021 Funding Detail'!$A$4:$AO$23,39,FALSE)*8/12)*K85</f>
        <v>0</v>
      </c>
      <c r="Q85" s="80"/>
      <c r="R85" s="42">
        <f t="shared" si="16"/>
        <v>0</v>
      </c>
      <c r="S85" s="168"/>
      <c r="T85" s="348"/>
    </row>
    <row r="86" spans="1:20" s="34" customFormat="1" x14ac:dyDescent="0.25">
      <c r="A86" s="185">
        <v>9257028</v>
      </c>
      <c r="B86" s="38" t="s">
        <v>77</v>
      </c>
      <c r="C86" s="781">
        <v>4</v>
      </c>
      <c r="D86" s="812">
        <f>VLOOKUP(A86,'2021 Band Moderations'!$B$5:$S$22,6,(FALSE))</f>
        <v>9.4736842105263161E-2</v>
      </c>
      <c r="E86" s="812">
        <f>VLOOKUP(A86,'2021 Band Moderations'!$B$5:$S$22,8,(FALSE))</f>
        <v>0.35789473684210527</v>
      </c>
      <c r="F86" s="812">
        <f>VLOOKUP(A86,'2021 Band Moderations'!$B$5:$S$22,10,(FALSE))</f>
        <v>4.2105263157894736E-2</v>
      </c>
      <c r="G86" s="812">
        <f>VLOOKUP(A86,'2021 Band Moderations'!$B$5:$S$22,12,(FALSE))</f>
        <v>9.4736842105263161E-2</v>
      </c>
      <c r="H86" s="812">
        <f>VLOOKUP(A86,'2021 Band Moderations'!$B$5:$S$22,14,(FALSE))</f>
        <v>0.14736842105263157</v>
      </c>
      <c r="I86" s="812">
        <f>VLOOKUP(A86,'2021 Band Moderations'!$B$5:$S$22,16,(FALSE))</f>
        <v>0.1368421052631579</v>
      </c>
      <c r="J86" s="812">
        <f>VLOOKUP(A86,'2021 Band Moderations'!$B$5:$S$22,18,(FALSE))</f>
        <v>0.12631578947368421</v>
      </c>
      <c r="K86" s="1012">
        <v>8</v>
      </c>
      <c r="L86" s="813">
        <f t="shared" si="17"/>
        <v>62571.912901264935</v>
      </c>
      <c r="M86" s="813">
        <f t="shared" si="15"/>
        <v>591.71929824561403</v>
      </c>
      <c r="N86" s="813">
        <f t="shared" si="19"/>
        <v>63163.632199510546</v>
      </c>
      <c r="O86" s="724">
        <f t="shared" si="18"/>
        <v>53333.333333333328</v>
      </c>
      <c r="P86" s="724">
        <f>(VLOOKUP(A86,'2021 Funding Detail'!$A$4:$AO$23,39,FALSE)*8/12)*K86</f>
        <v>38966.361779492676</v>
      </c>
      <c r="Q86" s="80"/>
      <c r="R86" s="42">
        <f t="shared" si="16"/>
        <v>15166.484719693088</v>
      </c>
      <c r="S86" s="168"/>
      <c r="T86" s="348"/>
    </row>
    <row r="87" spans="1:20" s="34" customFormat="1" x14ac:dyDescent="0.25">
      <c r="A87" s="185">
        <v>9257021</v>
      </c>
      <c r="B87" s="38" t="s">
        <v>78</v>
      </c>
      <c r="C87" s="781" t="s">
        <v>947</v>
      </c>
      <c r="D87" s="812">
        <f>VLOOKUP(A87,'2021 Band Moderations'!$B$5:$S$22,6,(FALSE))</f>
        <v>0.28834355828220859</v>
      </c>
      <c r="E87" s="812">
        <f>VLOOKUP(A87,'2021 Band Moderations'!$B$5:$S$22,8,(FALSE))</f>
        <v>0.35582822085889571</v>
      </c>
      <c r="F87" s="812">
        <f>VLOOKUP(A87,'2021 Band Moderations'!$B$5:$S$22,10,(FALSE))</f>
        <v>9.815950920245399E-2</v>
      </c>
      <c r="G87" s="812">
        <f>VLOOKUP(A87,'2021 Band Moderations'!$B$5:$S$22,12,(FALSE))</f>
        <v>6.1349693251533742E-2</v>
      </c>
      <c r="H87" s="812">
        <f>VLOOKUP(A87,'2021 Band Moderations'!$B$5:$S$22,14,(FALSE))</f>
        <v>6.1349693251533742E-2</v>
      </c>
      <c r="I87" s="812">
        <f>VLOOKUP(A87,'2021 Band Moderations'!$B$5:$S$22,16,(FALSE))</f>
        <v>0.12269938650306748</v>
      </c>
      <c r="J87" s="812">
        <f>VLOOKUP(A87,'2021 Band Moderations'!$B$5:$S$22,18,(FALSE))</f>
        <v>1.2269938650306749E-2</v>
      </c>
      <c r="K87" s="1012">
        <v>0</v>
      </c>
      <c r="L87" s="813">
        <f t="shared" si="17"/>
        <v>0</v>
      </c>
      <c r="M87" s="813">
        <f t="shared" si="15"/>
        <v>0</v>
      </c>
      <c r="N87" s="813">
        <f t="shared" si="19"/>
        <v>0</v>
      </c>
      <c r="O87" s="724">
        <f t="shared" si="18"/>
        <v>0</v>
      </c>
      <c r="P87" s="724">
        <f>(VLOOKUP(A87,'2021 Funding Detail'!$A$4:$AO$23,39,FALSE)*8/12)*K87</f>
        <v>0</v>
      </c>
      <c r="Q87" s="80"/>
      <c r="R87" s="42">
        <f t="shared" si="16"/>
        <v>0</v>
      </c>
      <c r="S87" s="168"/>
      <c r="T87" s="348"/>
    </row>
    <row r="88" spans="1:20" s="34" customFormat="1" x14ac:dyDescent="0.25">
      <c r="A88" s="185">
        <v>9257015</v>
      </c>
      <c r="B88" s="38" t="s">
        <v>55</v>
      </c>
      <c r="C88" s="781" t="s">
        <v>948</v>
      </c>
      <c r="D88" s="812">
        <f>VLOOKUP(A88,'2021 Band Moderations'!$B$5:$S$22,6,(FALSE))</f>
        <v>0.37931034482758619</v>
      </c>
      <c r="E88" s="812">
        <f>VLOOKUP(A88,'2021 Band Moderations'!$B$5:$S$22,8,(FALSE))</f>
        <v>0.33189655172413796</v>
      </c>
      <c r="F88" s="812">
        <f>VLOOKUP(A88,'2021 Band Moderations'!$B$5:$S$22,10,(FALSE))</f>
        <v>2.5862068965517241E-2</v>
      </c>
      <c r="G88" s="812">
        <f>VLOOKUP(A88,'2021 Band Moderations'!$B$5:$S$22,12,(FALSE))</f>
        <v>6.4655172413793108E-2</v>
      </c>
      <c r="H88" s="812">
        <f>VLOOKUP(A88,'2021 Band Moderations'!$B$5:$S$22,14,(FALSE))</f>
        <v>3.8793103448275863E-2</v>
      </c>
      <c r="I88" s="812">
        <f>VLOOKUP(A88,'2021 Band Moderations'!$B$5:$S$22,16,(FALSE))</f>
        <v>0.14655172413793102</v>
      </c>
      <c r="J88" s="812">
        <f>VLOOKUP(A88,'2021 Band Moderations'!$B$5:$S$22,18,(FALSE))</f>
        <v>1.2931034482758621E-2</v>
      </c>
      <c r="K88" s="1012">
        <v>8</v>
      </c>
      <c r="L88" s="813">
        <f t="shared" si="17"/>
        <v>46162.733128682536</v>
      </c>
      <c r="M88" s="813">
        <f t="shared" si="15"/>
        <v>363.44827586206895</v>
      </c>
      <c r="N88" s="813">
        <f t="shared" si="19"/>
        <v>46526.181404544608</v>
      </c>
      <c r="O88" s="724">
        <f t="shared" si="18"/>
        <v>53333.333333333328</v>
      </c>
      <c r="P88" s="724">
        <f>(VLOOKUP(A88,'2021 Funding Detail'!$A$4:$AO$23,39,FALSE)*8/12)*K88</f>
        <v>7322.8416449349388</v>
      </c>
      <c r="Q88" s="80"/>
      <c r="R88" s="42">
        <f t="shared" si="16"/>
        <v>1552.6035003996155</v>
      </c>
      <c r="S88" s="168"/>
      <c r="T88" s="348"/>
    </row>
    <row r="89" spans="1:20" s="34" customFormat="1" x14ac:dyDescent="0.25">
      <c r="A89" s="185">
        <v>9257016</v>
      </c>
      <c r="B89" s="38" t="s">
        <v>80</v>
      </c>
      <c r="C89" s="781" t="s">
        <v>948</v>
      </c>
      <c r="D89" s="812">
        <f>VLOOKUP(A89,'2021 Band Moderations'!$B$5:$S$22,6,(FALSE))</f>
        <v>0.21052631578947367</v>
      </c>
      <c r="E89" s="812">
        <f>VLOOKUP(A89,'2021 Band Moderations'!$B$5:$S$22,8,(FALSE))</f>
        <v>0.13815789473684212</v>
      </c>
      <c r="F89" s="812">
        <f>VLOOKUP(A89,'2021 Band Moderations'!$B$5:$S$22,10,(FALSE))</f>
        <v>6.5789473684210523E-3</v>
      </c>
      <c r="G89" s="812">
        <f>VLOOKUP(A89,'2021 Band Moderations'!$B$5:$S$22,12,(FALSE))</f>
        <v>0.21710526315789475</v>
      </c>
      <c r="H89" s="812">
        <f>VLOOKUP(A89,'2021 Band Moderations'!$B$5:$S$22,14,(FALSE))</f>
        <v>0.19736842105263158</v>
      </c>
      <c r="I89" s="812">
        <f>VLOOKUP(A89,'2021 Band Moderations'!$B$5:$S$22,16,(FALSE))</f>
        <v>6.5789473684210523E-3</v>
      </c>
      <c r="J89" s="812">
        <f>VLOOKUP(A89,'2021 Band Moderations'!$B$5:$S$22,18,(FALSE))</f>
        <v>0.22368421052631579</v>
      </c>
      <c r="K89" s="1012">
        <v>47</v>
      </c>
      <c r="L89" s="813">
        <f t="shared" si="17"/>
        <v>412478.81021443132</v>
      </c>
      <c r="M89" s="813">
        <f t="shared" si="15"/>
        <v>543.17982456140339</v>
      </c>
      <c r="N89" s="813">
        <f t="shared" si="19"/>
        <v>413021.99003899272</v>
      </c>
      <c r="O89" s="724">
        <f t="shared" si="18"/>
        <v>313333.33333333331</v>
      </c>
      <c r="P89" s="724">
        <f>(VLOOKUP(A89,'2021 Funding Detail'!$A$4:$AO$23,39,FALSE)*8/12)*K89</f>
        <v>226336.1815378741</v>
      </c>
      <c r="Q89" s="628" t="s">
        <v>402</v>
      </c>
      <c r="R89" s="42">
        <f t="shared" si="16"/>
        <v>157786.73556034866</v>
      </c>
      <c r="S89" s="168"/>
      <c r="T89" s="348"/>
    </row>
    <row r="90" spans="1:20" s="34" customFormat="1" x14ac:dyDescent="0.25">
      <c r="B90" s="50"/>
      <c r="C90" s="50"/>
      <c r="F90" s="628" t="s">
        <v>402</v>
      </c>
      <c r="H90" s="996"/>
      <c r="I90" s="628" t="s">
        <v>402</v>
      </c>
      <c r="S90" s="347"/>
    </row>
    <row r="91" spans="1:20" s="34" customFormat="1" x14ac:dyDescent="0.25">
      <c r="C91" s="40"/>
      <c r="I91" s="996"/>
      <c r="J91" s="996"/>
      <c r="S91" s="347"/>
    </row>
    <row r="92" spans="1:20" s="34" customFormat="1" x14ac:dyDescent="0.25">
      <c r="C92" s="921"/>
      <c r="D92" s="52"/>
      <c r="E92" s="526" t="s">
        <v>839</v>
      </c>
      <c r="G92" s="917">
        <f>'Band Values'!F11</f>
        <v>5740.9218150011166</v>
      </c>
      <c r="H92" s="53"/>
      <c r="I92" s="53"/>
      <c r="J92" s="53"/>
      <c r="K92" s="53"/>
      <c r="L92" s="53"/>
      <c r="M92" s="53"/>
      <c r="N92" s="53"/>
      <c r="O92" s="53"/>
      <c r="P92" s="53"/>
      <c r="Q92" s="53"/>
      <c r="S92" s="347"/>
    </row>
    <row r="93" spans="1:20" s="34" customFormat="1" x14ac:dyDescent="0.25">
      <c r="C93" s="921"/>
      <c r="D93" s="52"/>
      <c r="G93" s="42"/>
      <c r="H93" s="53"/>
      <c r="I93" s="53"/>
      <c r="J93" s="53"/>
      <c r="K93" s="53"/>
      <c r="L93" s="53"/>
      <c r="M93" s="53"/>
      <c r="N93" s="53"/>
      <c r="O93" s="53"/>
      <c r="P93" s="53"/>
      <c r="Q93" s="53"/>
      <c r="S93" s="347"/>
    </row>
    <row r="94" spans="1:20" s="34" customFormat="1" x14ac:dyDescent="0.25">
      <c r="C94" s="921"/>
      <c r="D94" s="52"/>
      <c r="E94" s="526" t="s">
        <v>840</v>
      </c>
      <c r="G94" s="917">
        <f>'Band Values'!F8</f>
        <v>6829.0826228613796</v>
      </c>
      <c r="H94" s="53"/>
      <c r="I94" s="53"/>
      <c r="J94" s="53"/>
      <c r="K94" s="53"/>
      <c r="L94" s="53"/>
      <c r="M94" s="53"/>
      <c r="N94" s="53"/>
      <c r="O94" s="53"/>
      <c r="P94" s="53"/>
      <c r="Q94" s="53"/>
      <c r="S94" s="347"/>
    </row>
    <row r="95" spans="1:20" s="34" customFormat="1" x14ac:dyDescent="0.25">
      <c r="C95" s="921"/>
      <c r="D95" s="52"/>
      <c r="G95" s="42"/>
      <c r="H95" s="53"/>
      <c r="I95" s="847"/>
      <c r="J95" s="53"/>
      <c r="K95" s="53"/>
      <c r="L95" s="53"/>
      <c r="M95" s="53"/>
      <c r="N95" s="53"/>
      <c r="O95" s="53"/>
      <c r="P95" s="53"/>
      <c r="Q95" s="53"/>
      <c r="S95" s="347"/>
    </row>
    <row r="96" spans="1:20" s="34" customFormat="1" x14ac:dyDescent="0.25">
      <c r="C96" s="921"/>
      <c r="D96" s="52"/>
      <c r="E96" s="526" t="s">
        <v>841</v>
      </c>
      <c r="G96" s="917">
        <f>'Band Values'!F17</f>
        <v>11263.412317184524</v>
      </c>
      <c r="H96" s="53"/>
      <c r="I96" s="847"/>
      <c r="J96" s="53"/>
      <c r="K96" s="53"/>
      <c r="L96" s="53"/>
      <c r="M96" s="53"/>
      <c r="N96" s="53"/>
      <c r="O96" s="53"/>
      <c r="P96" s="53"/>
      <c r="Q96" s="53"/>
      <c r="S96" s="347"/>
    </row>
    <row r="97" spans="1:54" x14ac:dyDescent="0.25">
      <c r="C97" s="921"/>
      <c r="D97" s="52"/>
      <c r="G97" s="42"/>
      <c r="H97" s="53"/>
      <c r="I97" s="847"/>
      <c r="J97" s="53"/>
      <c r="K97" s="53"/>
      <c r="L97" s="53"/>
      <c r="M97" s="53"/>
      <c r="N97" s="53"/>
      <c r="O97" s="53"/>
      <c r="P97" s="53"/>
      <c r="Q97" s="53"/>
    </row>
    <row r="98" spans="1:54" x14ac:dyDescent="0.25">
      <c r="C98" s="921"/>
      <c r="D98" s="52"/>
      <c r="E98" s="526" t="s">
        <v>842</v>
      </c>
      <c r="G98" s="917">
        <f>'Band Values'!F5</f>
        <v>14004.235952555704</v>
      </c>
      <c r="H98" s="53"/>
      <c r="I98" s="847"/>
      <c r="J98" s="53"/>
      <c r="K98" s="53"/>
      <c r="L98" s="53"/>
      <c r="M98" s="53"/>
      <c r="N98" s="53"/>
      <c r="O98" s="53"/>
      <c r="P98" s="53"/>
      <c r="Q98" s="53"/>
    </row>
    <row r="99" spans="1:54" x14ac:dyDescent="0.25">
      <c r="C99" s="921"/>
      <c r="D99" s="52"/>
      <c r="G99" s="42"/>
      <c r="H99" s="53"/>
      <c r="I99" s="847"/>
      <c r="J99" s="53"/>
      <c r="K99" s="53"/>
      <c r="L99" s="53"/>
      <c r="M99" s="53"/>
      <c r="N99" s="53"/>
      <c r="O99" s="53"/>
      <c r="P99" s="53"/>
      <c r="Q99" s="53"/>
    </row>
    <row r="100" spans="1:54" x14ac:dyDescent="0.25">
      <c r="C100" s="921"/>
      <c r="D100" s="52"/>
      <c r="E100" s="526" t="s">
        <v>843</v>
      </c>
      <c r="G100" s="917">
        <f>'Band Values'!F14</f>
        <v>14004.235952555704</v>
      </c>
      <c r="H100" s="53"/>
      <c r="I100" s="847"/>
      <c r="J100" s="53"/>
      <c r="K100" s="53"/>
      <c r="L100" s="53"/>
      <c r="M100" s="53"/>
      <c r="N100" s="53"/>
      <c r="O100" s="53"/>
      <c r="P100" s="53"/>
      <c r="Q100" s="53"/>
    </row>
    <row r="101" spans="1:54" x14ac:dyDescent="0.25">
      <c r="C101" s="921"/>
      <c r="D101" s="52"/>
      <c r="G101" s="42"/>
      <c r="H101" s="53"/>
      <c r="I101" s="847"/>
      <c r="J101" s="53"/>
      <c r="K101" s="53"/>
      <c r="L101" s="53"/>
      <c r="M101" s="53"/>
      <c r="N101" s="53"/>
      <c r="O101" s="53"/>
      <c r="P101" s="53"/>
      <c r="Q101" s="53"/>
    </row>
    <row r="102" spans="1:54" x14ac:dyDescent="0.25">
      <c r="C102" s="921"/>
      <c r="D102" s="52"/>
      <c r="E102" s="526" t="s">
        <v>844</v>
      </c>
      <c r="G102" s="530">
        <f>'Band Values'!F22</f>
        <v>14877.000599571715</v>
      </c>
      <c r="H102" s="53"/>
      <c r="I102" s="847"/>
      <c r="J102" s="53"/>
      <c r="K102" s="53"/>
      <c r="L102" s="53"/>
      <c r="M102" s="53"/>
      <c r="N102" s="53"/>
      <c r="O102" s="53"/>
      <c r="P102" s="53"/>
      <c r="Q102" s="53"/>
    </row>
    <row r="103" spans="1:54" x14ac:dyDescent="0.25">
      <c r="C103" s="921"/>
      <c r="D103" s="52"/>
      <c r="G103" s="42"/>
      <c r="H103" s="53"/>
      <c r="I103" s="847"/>
      <c r="J103" s="53"/>
      <c r="K103" s="53"/>
      <c r="L103" s="53"/>
      <c r="M103" s="53"/>
      <c r="N103" s="53"/>
      <c r="O103" s="53"/>
      <c r="P103" s="53"/>
      <c r="Q103" s="53"/>
    </row>
    <row r="104" spans="1:54" x14ac:dyDescent="0.25">
      <c r="C104" s="921"/>
      <c r="D104" s="52"/>
      <c r="E104" s="526" t="s">
        <v>845</v>
      </c>
      <c r="G104" s="917">
        <f>'Band Values'!F24</f>
        <v>22512.750755794426</v>
      </c>
      <c r="H104" s="53"/>
      <c r="I104" s="847"/>
      <c r="J104" s="53"/>
      <c r="K104" s="53"/>
      <c r="L104" s="53"/>
      <c r="M104" s="53"/>
      <c r="N104" s="53"/>
      <c r="O104" s="53"/>
      <c r="P104" s="53"/>
      <c r="Q104" s="53"/>
    </row>
    <row r="105" spans="1:54" ht="14" x14ac:dyDescent="0.3">
      <c r="B105" s="55"/>
      <c r="C105" s="811"/>
      <c r="D105" s="57"/>
      <c r="E105" s="58"/>
      <c r="H105" s="66"/>
      <c r="I105" s="847"/>
      <c r="J105" s="53"/>
      <c r="K105" s="66"/>
      <c r="L105" s="66"/>
      <c r="M105" s="66"/>
      <c r="N105" s="66"/>
      <c r="O105" s="66"/>
      <c r="P105" s="66"/>
      <c r="Q105" s="66"/>
    </row>
    <row r="106" spans="1:54" ht="14" x14ac:dyDescent="0.3">
      <c r="B106" s="59"/>
      <c r="C106" s="811"/>
      <c r="E106" s="526" t="s">
        <v>865</v>
      </c>
      <c r="G106" s="42">
        <f>'Band Values'!F20</f>
        <v>2635</v>
      </c>
      <c r="H106" s="53"/>
      <c r="I106" s="847"/>
      <c r="J106" s="53"/>
      <c r="K106" s="53"/>
      <c r="L106" s="53"/>
      <c r="M106" s="53"/>
      <c r="N106" s="53"/>
      <c r="O106" s="53"/>
      <c r="P106" s="53"/>
      <c r="Q106" s="53"/>
    </row>
    <row r="107" spans="1:54" x14ac:dyDescent="0.25">
      <c r="C107" s="40"/>
      <c r="F107" s="847"/>
      <c r="G107" s="996"/>
      <c r="I107" s="34"/>
      <c r="J107" s="34"/>
      <c r="AN107" s="1009"/>
      <c r="AO107" s="1009"/>
      <c r="AR107" s="1009"/>
      <c r="AS107" s="1009"/>
      <c r="AT107" s="1009"/>
      <c r="AV107" s="34"/>
      <c r="AW107" s="34"/>
      <c r="AZ107" s="34"/>
      <c r="BA107" s="34"/>
      <c r="BB107" s="34"/>
    </row>
    <row r="108" spans="1:54" x14ac:dyDescent="0.25">
      <c r="C108" s="40"/>
      <c r="F108" s="996"/>
      <c r="G108" s="996"/>
      <c r="I108" s="34"/>
      <c r="J108" s="34"/>
      <c r="AN108" s="1009"/>
      <c r="AO108" s="1009"/>
      <c r="AR108" s="1009"/>
      <c r="AS108" s="1009"/>
      <c r="AT108" s="1009"/>
      <c r="AV108" s="34"/>
      <c r="AW108" s="34"/>
      <c r="AZ108" s="34"/>
      <c r="BA108" s="34"/>
      <c r="BB108" s="34"/>
    </row>
    <row r="109" spans="1:54" ht="12.75" customHeight="1" x14ac:dyDescent="0.25">
      <c r="C109" s="40"/>
      <c r="F109" s="996"/>
      <c r="G109" s="996"/>
      <c r="I109" s="34"/>
      <c r="J109" s="34"/>
      <c r="AN109" s="1009"/>
      <c r="AO109" s="1009"/>
      <c r="AR109" s="1009"/>
      <c r="AS109" s="1009"/>
      <c r="AT109" s="1009"/>
      <c r="AV109" s="34"/>
      <c r="AW109" s="34"/>
      <c r="AZ109" s="34"/>
      <c r="BA109" s="34"/>
      <c r="BB109" s="34"/>
    </row>
    <row r="110" spans="1:54" ht="12.75" customHeight="1" x14ac:dyDescent="0.3">
      <c r="C110" s="40"/>
      <c r="D110" s="1896" t="s">
        <v>397</v>
      </c>
      <c r="E110" s="1897"/>
      <c r="F110" s="1898"/>
      <c r="G110" s="1896" t="s">
        <v>185</v>
      </c>
      <c r="H110" s="1897"/>
      <c r="I110" s="1898"/>
      <c r="J110" s="390" t="s">
        <v>399</v>
      </c>
      <c r="K110" s="1896" t="s">
        <v>397</v>
      </c>
      <c r="L110" s="1897"/>
      <c r="M110" s="1898"/>
      <c r="N110" s="1896" t="s">
        <v>185</v>
      </c>
      <c r="O110" s="1897"/>
      <c r="P110" s="1898"/>
      <c r="Q110" s="390" t="s">
        <v>399</v>
      </c>
      <c r="R110" s="391" t="s">
        <v>399</v>
      </c>
      <c r="S110" s="979"/>
      <c r="T110" s="393"/>
      <c r="AI110" s="1891" t="s">
        <v>467</v>
      </c>
      <c r="AL110" s="1009"/>
      <c r="AM110" s="1009"/>
      <c r="AP110" s="1009"/>
      <c r="AQ110" s="1009"/>
      <c r="AR110" s="1009"/>
      <c r="AV110" s="34"/>
      <c r="AW110" s="34"/>
      <c r="AZ110" s="34"/>
      <c r="BA110" s="34"/>
      <c r="BB110" s="34"/>
    </row>
    <row r="111" spans="1:54" ht="41.25" customHeight="1" x14ac:dyDescent="0.3">
      <c r="A111" s="388" t="s">
        <v>201</v>
      </c>
      <c r="B111" s="389" t="s">
        <v>66</v>
      </c>
      <c r="C111" s="39" t="s">
        <v>51</v>
      </c>
      <c r="D111" s="1006" t="str">
        <f t="shared" ref="D111:D129" si="20">L5</f>
        <v>Pre-16 Funding (Apr-Aug)</v>
      </c>
      <c r="E111" s="1005" t="str">
        <f t="shared" ref="E111:E129" si="21">L49</f>
        <v>Pre-16 Funding (Sept-Mar)</v>
      </c>
      <c r="F111" s="998" t="s">
        <v>394</v>
      </c>
      <c r="G111" s="1005" t="str">
        <f t="shared" ref="G111:G129" si="22">L27</f>
        <v>Post-16 Funding (Apr-Jul)</v>
      </c>
      <c r="H111" s="1006" t="str">
        <f t="shared" ref="H111:H129" si="23">L71</f>
        <v>Post-16 Funding (Aug-Mar)</v>
      </c>
      <c r="I111" s="998" t="s">
        <v>395</v>
      </c>
      <c r="J111" s="998" t="s">
        <v>295</v>
      </c>
      <c r="K111" s="1006" t="str">
        <f t="shared" ref="K111:K129" si="24">M5</f>
        <v>Additionality Funding (Apr-Aug)</v>
      </c>
      <c r="L111" s="1006" t="str">
        <f t="shared" ref="L111:L129" si="25">M49</f>
        <v>Additionality Funding (Sept-Mar)</v>
      </c>
      <c r="M111" s="998" t="s">
        <v>396</v>
      </c>
      <c r="N111" s="1006" t="str">
        <f t="shared" ref="N111:N129" si="26">M27</f>
        <v>Additionality Funding (Apr-Jul)</v>
      </c>
      <c r="O111" s="1005" t="str">
        <f t="shared" ref="O111:O129" si="27">M71</f>
        <v>Additionality Funding (Aug-Mar)</v>
      </c>
      <c r="P111" s="998" t="s">
        <v>396</v>
      </c>
      <c r="Q111" s="998" t="s">
        <v>401</v>
      </c>
      <c r="R111" s="998" t="s">
        <v>103</v>
      </c>
      <c r="S111" s="980" t="s">
        <v>398</v>
      </c>
      <c r="T111" s="157" t="s">
        <v>261</v>
      </c>
      <c r="U111" s="541" t="s">
        <v>909</v>
      </c>
      <c r="V111" s="1006" t="s">
        <v>328</v>
      </c>
      <c r="W111" s="1006" t="s">
        <v>330</v>
      </c>
      <c r="X111" s="998" t="s">
        <v>331</v>
      </c>
      <c r="Y111" s="690" t="s">
        <v>103</v>
      </c>
      <c r="Z111" s="1006" t="s">
        <v>310</v>
      </c>
      <c r="AA111" s="1006" t="s">
        <v>335</v>
      </c>
      <c r="AB111" s="1006" t="s">
        <v>343</v>
      </c>
      <c r="AC111" s="998" t="s">
        <v>465</v>
      </c>
      <c r="AD111" s="1006" t="s">
        <v>342</v>
      </c>
      <c r="AE111" s="1006" t="s">
        <v>344</v>
      </c>
      <c r="AF111" s="998" t="s">
        <v>466</v>
      </c>
      <c r="AG111" s="998" t="s">
        <v>345</v>
      </c>
      <c r="AH111" s="389"/>
      <c r="AI111" s="1892"/>
      <c r="AL111" s="1013" t="s">
        <v>938</v>
      </c>
      <c r="AM111" s="1013" t="s">
        <v>893</v>
      </c>
      <c r="AN111" s="1013" t="s">
        <v>939</v>
      </c>
      <c r="AP111" s="1023" t="s">
        <v>955</v>
      </c>
      <c r="AQ111" s="1013" t="s">
        <v>956</v>
      </c>
      <c r="AR111" s="1025" t="s">
        <v>939</v>
      </c>
      <c r="AV111" s="34"/>
      <c r="AW111" s="34"/>
      <c r="AZ111" s="34"/>
      <c r="BA111" s="34"/>
      <c r="BB111" s="34"/>
    </row>
    <row r="112" spans="1:54" ht="13" x14ac:dyDescent="0.3">
      <c r="A112" s="185">
        <v>9257010</v>
      </c>
      <c r="B112" s="38" t="s">
        <v>67</v>
      </c>
      <c r="C112" s="39">
        <v>4</v>
      </c>
      <c r="D112" s="1007">
        <f t="shared" si="20"/>
        <v>264258.25188916276</v>
      </c>
      <c r="E112" s="1007">
        <f t="shared" si="21"/>
        <v>412649.42410384642</v>
      </c>
      <c r="F112" s="156">
        <f>SUM(D112:E112)</f>
        <v>676907.67599300924</v>
      </c>
      <c r="G112" s="1007">
        <f t="shared" si="22"/>
        <v>32524.092540204641</v>
      </c>
      <c r="H112" s="1007">
        <f t="shared" si="23"/>
        <v>56917.16194535813</v>
      </c>
      <c r="I112" s="156">
        <f>SUM(G112:H112)</f>
        <v>89441.254485562764</v>
      </c>
      <c r="J112" s="156">
        <f>F112+I112</f>
        <v>766348.93047857203</v>
      </c>
      <c r="K112" s="1007">
        <f t="shared" si="24"/>
        <v>3568.229166666667</v>
      </c>
      <c r="L112" s="1007">
        <f t="shared" si="25"/>
        <v>5571.9270833333339</v>
      </c>
      <c r="M112" s="156">
        <f>SUM(K112:L112)</f>
        <v>9140.15625</v>
      </c>
      <c r="N112" s="1007">
        <f t="shared" si="26"/>
        <v>439.16666666666663</v>
      </c>
      <c r="O112" s="1007">
        <f t="shared" si="27"/>
        <v>768.54166666666663</v>
      </c>
      <c r="P112" s="156">
        <f>SUM(N112:O112)</f>
        <v>1207.7083333333333</v>
      </c>
      <c r="Q112" s="156">
        <f>M112+P112</f>
        <v>10347.864583333334</v>
      </c>
      <c r="R112" s="156">
        <f t="shared" ref="R112:R129" si="28">F112+I112+M112+P112</f>
        <v>776696.7950619054</v>
      </c>
      <c r="S112" s="334">
        <f>(K6*(5/12))+(K50*(7/12))+(K28*(4/12))+(K72*(8/12))</f>
        <v>62.833333333333329</v>
      </c>
      <c r="T112" s="1007">
        <f>R112/S112</f>
        <v>12361.222202576744</v>
      </c>
      <c r="U112" s="36"/>
      <c r="V112" s="94">
        <f t="shared" ref="V112:V129" si="29">O6+O50</f>
        <v>555000</v>
      </c>
      <c r="W112" s="1007">
        <f t="shared" ref="W112:W129" si="30">O28+O72</f>
        <v>73333.333333333328</v>
      </c>
      <c r="X112" s="1007">
        <f>V112+W112</f>
        <v>628333.33333333337</v>
      </c>
      <c r="Y112" s="1007">
        <f>VLOOKUP(A112,'2021 Funding Detail'!$A$4:$AO$23,34,FALSE)</f>
        <v>1246590.5356464619</v>
      </c>
      <c r="Z112" s="1007">
        <f>Y112-X112</f>
        <v>618257.20231312851</v>
      </c>
      <c r="AA112" s="1007">
        <f t="shared" ref="AA112:AA129" si="31">P6</f>
        <v>213192.13872866504</v>
      </c>
      <c r="AB112" s="1007">
        <f t="shared" ref="AB112:AB129" si="32">P50</f>
        <v>332907.72432245396</v>
      </c>
      <c r="AC112" s="1007">
        <f>AA112+AB112</f>
        <v>546099.86305111903</v>
      </c>
      <c r="AD112" s="1007">
        <f t="shared" ref="AD112:AD129" si="33">P28</f>
        <v>26239.032458912625</v>
      </c>
      <c r="AE112" s="1007">
        <f t="shared" ref="AE112:AE129" si="34">P72</f>
        <v>45918.30680309709</v>
      </c>
      <c r="AF112" s="1007">
        <f>AD112+AE112</f>
        <v>72157.339262009715</v>
      </c>
      <c r="AG112" s="1007">
        <f>AC112+AF112</f>
        <v>618257.20231312874</v>
      </c>
      <c r="AH112" s="134"/>
      <c r="AI112" s="726">
        <f>X112+AC112+AF112</f>
        <v>1246590.5356464619</v>
      </c>
      <c r="AJ112" s="926" t="s">
        <v>556</v>
      </c>
      <c r="AK112" s="627"/>
      <c r="AL112" s="42">
        <f>SUM(R6,R28,R50,R72)</f>
        <v>198921.25863127731</v>
      </c>
      <c r="AM112" s="42">
        <f>SUM('1920 Band Calculations'!R6,'1920 Band Calculations'!R28,'1920 Band Calculations'!R50,'1920 Band Calculations'!R72)</f>
        <v>154743.89373670361</v>
      </c>
      <c r="AN112" s="42">
        <f>AL112-AM112</f>
        <v>44177.364894573693</v>
      </c>
      <c r="AP112" s="168">
        <f>'2021 Funding Detail'!M4-'1920 Funding Detail'!M4</f>
        <v>3.9166666666666572</v>
      </c>
      <c r="AQ112" s="168">
        <f>'2021 Band Moderations'!R51</f>
        <v>2</v>
      </c>
      <c r="AR112" s="168">
        <f t="shared" ref="AR112:AR122" si="35">AP112-AQ112</f>
        <v>1.9166666666666572</v>
      </c>
      <c r="AV112" s="34"/>
      <c r="AW112" s="34"/>
      <c r="AZ112" s="34"/>
      <c r="BA112" s="34"/>
      <c r="BB112" s="34"/>
    </row>
    <row r="113" spans="1:54" ht="13" x14ac:dyDescent="0.3">
      <c r="A113" s="185">
        <v>9257005</v>
      </c>
      <c r="B113" s="38" t="s">
        <v>68</v>
      </c>
      <c r="C113" s="39">
        <v>4</v>
      </c>
      <c r="D113" s="1007">
        <f t="shared" si="20"/>
        <v>242842.28767712403</v>
      </c>
      <c r="E113" s="1007">
        <f t="shared" si="21"/>
        <v>346517.26433928084</v>
      </c>
      <c r="F113" s="156">
        <f t="shared" ref="F113:F129" si="36">SUM(D113:E113)</f>
        <v>589359.55201640492</v>
      </c>
      <c r="G113" s="1007">
        <f t="shared" si="22"/>
        <v>85928.809485751568</v>
      </c>
      <c r="H113" s="1007">
        <f t="shared" si="23"/>
        <v>194273.8301416992</v>
      </c>
      <c r="I113" s="156">
        <f t="shared" ref="I113:I129" si="37">SUM(G113:H113)</f>
        <v>280202.63962745079</v>
      </c>
      <c r="J113" s="156">
        <f t="shared" ref="J113:J128" si="38">F113+I113</f>
        <v>869562.19164385577</v>
      </c>
      <c r="K113" s="1007">
        <f t="shared" si="24"/>
        <v>3756.0307017543864</v>
      </c>
      <c r="L113" s="1007">
        <f t="shared" si="25"/>
        <v>5359.5668859649122</v>
      </c>
      <c r="M113" s="156">
        <f t="shared" ref="M113:M129" si="39">SUM(K113:L113)</f>
        <v>9115.5975877192977</v>
      </c>
      <c r="N113" s="1007">
        <f t="shared" si="26"/>
        <v>1329.0570175438595</v>
      </c>
      <c r="O113" s="1007">
        <f t="shared" si="27"/>
        <v>3004.8245614035086</v>
      </c>
      <c r="P113" s="156">
        <f t="shared" ref="P113:P129" si="40">SUM(N113:O113)</f>
        <v>4333.8815789473683</v>
      </c>
      <c r="Q113" s="156">
        <f t="shared" ref="Q113:Q129" si="41">M113+P113</f>
        <v>13449.479166666666</v>
      </c>
      <c r="R113" s="156">
        <f t="shared" si="28"/>
        <v>883011.67081052251</v>
      </c>
      <c r="S113" s="334">
        <f t="shared" ref="S113:S129" si="42">(K7*(5/12))+(K51*(7/12))+(K29*(4/12))+(K73*(8/12))</f>
        <v>77.583333333333329</v>
      </c>
      <c r="T113" s="1007">
        <f t="shared" ref="T113:T129" si="43">R113/S113</f>
        <v>11381.460848255931</v>
      </c>
      <c r="U113" s="36"/>
      <c r="V113" s="94">
        <f t="shared" si="29"/>
        <v>525833.33333333337</v>
      </c>
      <c r="W113" s="1007">
        <f t="shared" si="30"/>
        <v>249999.99999999997</v>
      </c>
      <c r="X113" s="1007">
        <f t="shared" ref="X113:X129" si="44">V113+W113</f>
        <v>775833.33333333337</v>
      </c>
      <c r="Y113" s="1070">
        <f>VLOOKUP(A113,'2021 Funding Detail'!$A$4:$AO$23,34,FALSE)</f>
        <v>1342232.5641698339</v>
      </c>
      <c r="Z113" s="1007">
        <f t="shared" ref="Z113:Z129" si="45">Y113-X113</f>
        <v>566399.23083650053</v>
      </c>
      <c r="AA113" s="1007">
        <f t="shared" si="31"/>
        <v>158178.08809612261</v>
      </c>
      <c r="AB113" s="1007">
        <f t="shared" si="32"/>
        <v>225707.96416792885</v>
      </c>
      <c r="AC113" s="1007">
        <f t="shared" ref="AC113:AC129" si="46">AA113+AB113</f>
        <v>383886.05226405145</v>
      </c>
      <c r="AD113" s="1007">
        <f t="shared" si="33"/>
        <v>55970.708095551083</v>
      </c>
      <c r="AE113" s="1007">
        <f t="shared" si="34"/>
        <v>126542.4704768981</v>
      </c>
      <c r="AF113" s="1007">
        <f t="shared" ref="AF113:AF129" si="47">AD113+AE113</f>
        <v>182513.17857244919</v>
      </c>
      <c r="AG113" s="1007">
        <f t="shared" ref="AG113:AG129" si="48">AC113+AF113</f>
        <v>566399.23083650065</v>
      </c>
      <c r="AH113" s="134"/>
      <c r="AI113" s="726">
        <f t="shared" ref="AI113:AI129" si="49">X113+AC113+AF113</f>
        <v>1342232.5641698339</v>
      </c>
      <c r="AJ113" s="926" t="s">
        <v>556</v>
      </c>
      <c r="AK113" s="627"/>
      <c r="AL113" s="42">
        <f t="shared" ref="AL113:AL129" si="50">SUM(R7,R29,R51,R73)</f>
        <v>91927.065586160563</v>
      </c>
      <c r="AM113" s="42">
        <f>SUM('1920 Band Calculations'!R7,'1920 Band Calculations'!R29,'1920 Band Calculations'!R51,'1920 Band Calculations'!R73)</f>
        <v>133707.485907725</v>
      </c>
      <c r="AN113" s="42">
        <f t="shared" ref="AN113:AN129" si="51">AL113-AM113</f>
        <v>-41780.420321564437</v>
      </c>
      <c r="AP113" s="168">
        <f>'2021 Funding Detail'!M5-'1920 Funding Detail'!M5</f>
        <v>4.3333333333333286</v>
      </c>
      <c r="AQ113" s="168">
        <f>'2021 Band Moderations'!R52</f>
        <v>-2</v>
      </c>
      <c r="AR113" s="168">
        <f t="shared" si="35"/>
        <v>6.3333333333333286</v>
      </c>
      <c r="AV113" s="34"/>
      <c r="AW113" s="34"/>
      <c r="AZ113" s="34"/>
      <c r="BA113" s="34"/>
      <c r="BB113" s="34"/>
    </row>
    <row r="114" spans="1:54" ht="13" x14ac:dyDescent="0.3">
      <c r="A114" s="185">
        <v>9257025</v>
      </c>
      <c r="B114" s="38" t="s">
        <v>69</v>
      </c>
      <c r="C114" s="39">
        <v>4</v>
      </c>
      <c r="D114" s="1007">
        <f t="shared" si="20"/>
        <v>245837.88479318543</v>
      </c>
      <c r="E114" s="1007">
        <f t="shared" si="21"/>
        <v>344173.0387104596</v>
      </c>
      <c r="F114" s="156">
        <f t="shared" si="36"/>
        <v>590010.923503645</v>
      </c>
      <c r="G114" s="1007">
        <f t="shared" si="22"/>
        <v>63215.456089676249</v>
      </c>
      <c r="H114" s="1007">
        <f t="shared" si="23"/>
        <v>140478.79131039165</v>
      </c>
      <c r="I114" s="156">
        <f t="shared" si="37"/>
        <v>203694.24740006789</v>
      </c>
      <c r="J114" s="156">
        <f t="shared" si="38"/>
        <v>793705.17090371286</v>
      </c>
      <c r="K114" s="1007">
        <f t="shared" si="24"/>
        <v>4154.2792792792798</v>
      </c>
      <c r="L114" s="1007">
        <f t="shared" si="25"/>
        <v>5815.990990990992</v>
      </c>
      <c r="M114" s="156">
        <f t="shared" si="39"/>
        <v>9970.2702702702718</v>
      </c>
      <c r="N114" s="1007">
        <f t="shared" si="26"/>
        <v>1068.2432432432431</v>
      </c>
      <c r="O114" s="1007">
        <f t="shared" si="27"/>
        <v>2373.8738738738739</v>
      </c>
      <c r="P114" s="156">
        <f t="shared" si="40"/>
        <v>3442.1171171171172</v>
      </c>
      <c r="Q114" s="156">
        <f t="shared" si="41"/>
        <v>13412.387387387389</v>
      </c>
      <c r="R114" s="156">
        <f t="shared" si="28"/>
        <v>807117.55829110031</v>
      </c>
      <c r="S114" s="334">
        <f t="shared" si="42"/>
        <v>75.333333333333343</v>
      </c>
      <c r="T114" s="1007">
        <f t="shared" si="43"/>
        <v>10713.949888819914</v>
      </c>
      <c r="U114" s="36"/>
      <c r="V114" s="94">
        <f t="shared" si="29"/>
        <v>560000</v>
      </c>
      <c r="W114" s="1007">
        <f t="shared" si="30"/>
        <v>193333.33333333331</v>
      </c>
      <c r="X114" s="1007">
        <f t="shared" si="44"/>
        <v>753333.33333333326</v>
      </c>
      <c r="Y114" s="1070">
        <f>VLOOKUP(A114,'2021 Funding Detail'!$A$4:$AO$23,34,FALSE)</f>
        <v>1291698.3608577258</v>
      </c>
      <c r="Z114" s="1007">
        <f t="shared" si="45"/>
        <v>538365.02752439259</v>
      </c>
      <c r="AA114" s="1007">
        <f t="shared" si="31"/>
        <v>166750.22976419234</v>
      </c>
      <c r="AB114" s="1007">
        <f t="shared" si="32"/>
        <v>233450.32166986927</v>
      </c>
      <c r="AC114" s="1007">
        <f t="shared" si="46"/>
        <v>400200.55143406161</v>
      </c>
      <c r="AD114" s="1007">
        <f t="shared" si="33"/>
        <v>42878.630510792311</v>
      </c>
      <c r="AE114" s="1007">
        <f t="shared" si="34"/>
        <v>95285.845579538465</v>
      </c>
      <c r="AF114" s="1007">
        <f t="shared" si="47"/>
        <v>138164.47609033078</v>
      </c>
      <c r="AG114" s="1007">
        <f t="shared" si="48"/>
        <v>538365.02752439235</v>
      </c>
      <c r="AH114" s="134"/>
      <c r="AI114" s="726">
        <f t="shared" si="49"/>
        <v>1291698.3608577258</v>
      </c>
      <c r="AJ114" s="926" t="s">
        <v>556</v>
      </c>
      <c r="AK114" s="627"/>
      <c r="AL114" s="42">
        <f t="shared" si="50"/>
        <v>91673.543618189928</v>
      </c>
      <c r="AM114" s="42">
        <f>SUM('1920 Band Calculations'!R8,'1920 Band Calculations'!R30,'1920 Band Calculations'!R52,'1920 Band Calculations'!R74)</f>
        <v>65180.497965256167</v>
      </c>
      <c r="AN114" s="42">
        <f t="shared" si="51"/>
        <v>26493.045652933761</v>
      </c>
      <c r="AP114" s="168">
        <f>'2021 Funding Detail'!M6-'1920 Funding Detail'!M6</f>
        <v>3.9166666666666572</v>
      </c>
      <c r="AQ114" s="168">
        <f>'2021 Band Moderations'!R53</f>
        <v>1</v>
      </c>
      <c r="AR114" s="168">
        <f t="shared" si="35"/>
        <v>2.9166666666666572</v>
      </c>
      <c r="AV114" s="34"/>
      <c r="AW114" s="34"/>
      <c r="AZ114" s="34"/>
      <c r="BA114" s="34"/>
      <c r="BB114" s="34"/>
    </row>
    <row r="115" spans="1:54" ht="13" x14ac:dyDescent="0.3">
      <c r="A115" s="185">
        <v>9257011</v>
      </c>
      <c r="B115" s="38" t="s">
        <v>70</v>
      </c>
      <c r="C115" s="39">
        <v>4</v>
      </c>
      <c r="D115" s="1007">
        <f t="shared" si="20"/>
        <v>221210.69195865435</v>
      </c>
      <c r="E115" s="1007">
        <f t="shared" si="21"/>
        <v>351926.10084331373</v>
      </c>
      <c r="F115" s="156">
        <f t="shared" si="36"/>
        <v>573136.79280196805</v>
      </c>
      <c r="G115" s="1007">
        <f t="shared" si="22"/>
        <v>60330.188715996635</v>
      </c>
      <c r="H115" s="1007">
        <f t="shared" si="23"/>
        <v>64352.201297063075</v>
      </c>
      <c r="I115" s="156">
        <f t="shared" si="37"/>
        <v>124682.39001305972</v>
      </c>
      <c r="J115" s="156">
        <f t="shared" si="38"/>
        <v>697819.18281502777</v>
      </c>
      <c r="K115" s="1007">
        <f t="shared" si="24"/>
        <v>1822.9559748427673</v>
      </c>
      <c r="L115" s="1007">
        <f t="shared" si="25"/>
        <v>2900.1572327044028</v>
      </c>
      <c r="M115" s="156">
        <f t="shared" si="39"/>
        <v>4723.1132075471705</v>
      </c>
      <c r="N115" s="1007">
        <f t="shared" si="26"/>
        <v>497.16981132075472</v>
      </c>
      <c r="O115" s="1007">
        <f t="shared" si="27"/>
        <v>530.31446540880495</v>
      </c>
      <c r="P115" s="156">
        <f t="shared" si="40"/>
        <v>1027.4842767295597</v>
      </c>
      <c r="Q115" s="156">
        <f t="shared" si="41"/>
        <v>5750.59748427673</v>
      </c>
      <c r="R115" s="156">
        <f t="shared" si="28"/>
        <v>703569.78029930452</v>
      </c>
      <c r="S115" s="334">
        <f t="shared" si="42"/>
        <v>57.833333333333336</v>
      </c>
      <c r="T115" s="1007">
        <f t="shared" si="43"/>
        <v>12165.471705463478</v>
      </c>
      <c r="U115" s="36"/>
      <c r="V115" s="94">
        <f t="shared" si="29"/>
        <v>475000</v>
      </c>
      <c r="W115" s="1007">
        <f t="shared" si="30"/>
        <v>103333.33333333333</v>
      </c>
      <c r="X115" s="1007">
        <f t="shared" si="44"/>
        <v>578333.33333333337</v>
      </c>
      <c r="Y115" s="1070">
        <f>VLOOKUP(A115,'2021 Funding Detail'!$A$4:$AO$23,34,FALSE)</f>
        <v>1159791.0302993045</v>
      </c>
      <c r="Z115" s="1007">
        <f t="shared" si="45"/>
        <v>581457.69696597115</v>
      </c>
      <c r="AA115" s="1007">
        <f t="shared" si="31"/>
        <v>184323.76560880931</v>
      </c>
      <c r="AB115" s="1007">
        <f t="shared" si="32"/>
        <v>293242.35437765112</v>
      </c>
      <c r="AC115" s="1007">
        <f t="shared" si="46"/>
        <v>477566.11998646043</v>
      </c>
      <c r="AD115" s="1007">
        <f t="shared" si="33"/>
        <v>50270.117893311624</v>
      </c>
      <c r="AE115" s="1007">
        <f t="shared" si="34"/>
        <v>53621.459086199065</v>
      </c>
      <c r="AF115" s="1007">
        <f t="shared" si="47"/>
        <v>103891.57697951069</v>
      </c>
      <c r="AG115" s="1007">
        <f t="shared" si="48"/>
        <v>581457.69696597115</v>
      </c>
      <c r="AH115" s="134"/>
      <c r="AI115" s="726">
        <f t="shared" si="49"/>
        <v>1159791.0302993045</v>
      </c>
      <c r="AJ115" s="926" t="s">
        <v>556</v>
      </c>
      <c r="AK115" s="627"/>
      <c r="AL115" s="42">
        <f t="shared" si="50"/>
        <v>122829.00176510481</v>
      </c>
      <c r="AM115" s="42">
        <f>SUM('1920 Band Calculations'!R9,'1920 Band Calculations'!R31,'1920 Band Calculations'!R53,'1920 Band Calculations'!R75)</f>
        <v>120750.20859926101</v>
      </c>
      <c r="AN115" s="42">
        <f t="shared" si="51"/>
        <v>2078.7931658438029</v>
      </c>
      <c r="AP115" s="168">
        <f>'2021 Funding Detail'!M7-'1920 Funding Detail'!M7</f>
        <v>-1.1666666666666643</v>
      </c>
      <c r="AQ115" s="168">
        <f>'2021 Band Moderations'!R54</f>
        <v>0</v>
      </c>
      <c r="AR115" s="168">
        <f t="shared" si="35"/>
        <v>-1.1666666666666643</v>
      </c>
      <c r="AV115" s="34"/>
      <c r="AW115" s="34"/>
      <c r="AZ115" s="34"/>
      <c r="BA115" s="34"/>
      <c r="BB115" s="34"/>
    </row>
    <row r="116" spans="1:54" ht="13" x14ac:dyDescent="0.3">
      <c r="A116" s="185">
        <v>9257024</v>
      </c>
      <c r="B116" s="38" t="s">
        <v>71</v>
      </c>
      <c r="C116" s="39">
        <v>3</v>
      </c>
      <c r="D116" s="1007">
        <f t="shared" si="20"/>
        <v>301869.74312997388</v>
      </c>
      <c r="E116" s="1007">
        <f t="shared" si="21"/>
        <v>441540.81830951403</v>
      </c>
      <c r="F116" s="156">
        <f t="shared" si="36"/>
        <v>743410.56143948785</v>
      </c>
      <c r="G116" s="1007">
        <f t="shared" si="22"/>
        <v>54066.222650144577</v>
      </c>
      <c r="H116" s="1007">
        <f t="shared" si="23"/>
        <v>100923.61561360321</v>
      </c>
      <c r="I116" s="156">
        <f t="shared" si="37"/>
        <v>154989.83826374778</v>
      </c>
      <c r="J116" s="156">
        <f t="shared" si="38"/>
        <v>898400.3997032356</v>
      </c>
      <c r="K116" s="1007">
        <f t="shared" si="24"/>
        <v>1772.5401606425703</v>
      </c>
      <c r="L116" s="1007">
        <f t="shared" si="25"/>
        <v>2592.670682730924</v>
      </c>
      <c r="M116" s="156">
        <f t="shared" si="39"/>
        <v>4365.2108433734938</v>
      </c>
      <c r="N116" s="1007">
        <f t="shared" si="26"/>
        <v>317.46987951807228</v>
      </c>
      <c r="O116" s="1007">
        <f t="shared" si="27"/>
        <v>592.61044176706832</v>
      </c>
      <c r="P116" s="156">
        <f t="shared" si="40"/>
        <v>910.0803212851406</v>
      </c>
      <c r="Q116" s="156">
        <f t="shared" si="41"/>
        <v>5275.2911646586344</v>
      </c>
      <c r="R116" s="156">
        <f t="shared" si="28"/>
        <v>903675.69086789421</v>
      </c>
      <c r="S116" s="334">
        <f t="shared" si="42"/>
        <v>83.083333333333329</v>
      </c>
      <c r="T116" s="1007">
        <f t="shared" si="43"/>
        <v>10876.738505932528</v>
      </c>
      <c r="U116" s="36"/>
      <c r="V116" s="94">
        <f t="shared" si="29"/>
        <v>687500</v>
      </c>
      <c r="W116" s="1007">
        <f t="shared" si="30"/>
        <v>143333.33333333331</v>
      </c>
      <c r="X116" s="1007">
        <f t="shared" si="44"/>
        <v>830833.33333333326</v>
      </c>
      <c r="Y116" s="1070">
        <f>VLOOKUP(A116,'2021 Funding Detail'!$A$4:$AO$23,34,FALSE)</f>
        <v>1393583.3778828571</v>
      </c>
      <c r="Z116" s="1007">
        <f t="shared" si="45"/>
        <v>562750.04454952385</v>
      </c>
      <c r="AA116" s="1007">
        <f t="shared" si="31"/>
        <v>189088.53051563742</v>
      </c>
      <c r="AB116" s="1007">
        <f t="shared" si="32"/>
        <v>276577.25359003682</v>
      </c>
      <c r="AC116" s="1007">
        <f t="shared" si="46"/>
        <v>465665.78410567425</v>
      </c>
      <c r="AD116" s="1007">
        <f t="shared" si="33"/>
        <v>33866.602480412672</v>
      </c>
      <c r="AE116" s="1007">
        <f t="shared" si="34"/>
        <v>63217.657963436992</v>
      </c>
      <c r="AF116" s="1007">
        <f t="shared" si="47"/>
        <v>97084.260443849664</v>
      </c>
      <c r="AG116" s="1007">
        <f t="shared" si="48"/>
        <v>562750.04454952385</v>
      </c>
      <c r="AH116" s="134"/>
      <c r="AI116" s="726">
        <f t="shared" si="49"/>
        <v>1393583.3778828571</v>
      </c>
      <c r="AJ116" s="926" t="s">
        <v>556</v>
      </c>
      <c r="AK116" s="627"/>
      <c r="AL116" s="42">
        <f t="shared" si="50"/>
        <v>180282.8313536309</v>
      </c>
      <c r="AM116" s="42">
        <f>SUM('1920 Band Calculations'!R10,'1920 Band Calculations'!R32,'1920 Band Calculations'!R54,'1920 Band Calculations'!R76)</f>
        <v>222610.83826613796</v>
      </c>
      <c r="AN116" s="42">
        <f t="shared" si="51"/>
        <v>-42328.006912507059</v>
      </c>
      <c r="AP116" s="168">
        <f>'2021 Funding Detail'!M8-'1920 Funding Detail'!M8</f>
        <v>1.9999999999999858</v>
      </c>
      <c r="AQ116" s="168">
        <f>'2021 Band Moderations'!R55</f>
        <v>-2</v>
      </c>
      <c r="AR116" s="168">
        <f t="shared" si="35"/>
        <v>3.9999999999999858</v>
      </c>
      <c r="AV116" s="34"/>
      <c r="AW116" s="34"/>
      <c r="AZ116" s="34"/>
      <c r="BA116" s="34"/>
      <c r="BB116" s="34"/>
    </row>
    <row r="117" spans="1:54" ht="13" x14ac:dyDescent="0.3">
      <c r="A117" s="185">
        <v>9257031</v>
      </c>
      <c r="B117" s="38" t="s">
        <v>98</v>
      </c>
      <c r="C117" s="39">
        <v>4</v>
      </c>
      <c r="D117" s="1007">
        <f t="shared" si="20"/>
        <v>351981.63491201639</v>
      </c>
      <c r="E117" s="1007">
        <f t="shared" si="21"/>
        <v>525625.9081352778</v>
      </c>
      <c r="F117" s="156">
        <f t="shared" si="36"/>
        <v>877607.54304729425</v>
      </c>
      <c r="G117" s="1007">
        <f t="shared" si="22"/>
        <v>0</v>
      </c>
      <c r="H117" s="1007">
        <f t="shared" si="23"/>
        <v>0</v>
      </c>
      <c r="I117" s="156">
        <f t="shared" si="37"/>
        <v>0</v>
      </c>
      <c r="J117" s="156">
        <f t="shared" si="38"/>
        <v>877607.54304729425</v>
      </c>
      <c r="K117" s="1007">
        <f t="shared" si="24"/>
        <v>82343.75</v>
      </c>
      <c r="L117" s="1007">
        <f t="shared" si="25"/>
        <v>122966.66666666667</v>
      </c>
      <c r="M117" s="156">
        <f t="shared" si="39"/>
        <v>205310.41666666669</v>
      </c>
      <c r="N117" s="1007">
        <f t="shared" si="26"/>
        <v>0</v>
      </c>
      <c r="O117" s="1007">
        <f t="shared" si="27"/>
        <v>0</v>
      </c>
      <c r="P117" s="156">
        <f t="shared" si="40"/>
        <v>0</v>
      </c>
      <c r="Q117" s="156">
        <f t="shared" si="41"/>
        <v>205310.41666666669</v>
      </c>
      <c r="R117" s="156">
        <f t="shared" si="28"/>
        <v>1082917.959713961</v>
      </c>
      <c r="S117" s="334">
        <f t="shared" si="42"/>
        <v>77.916666666666671</v>
      </c>
      <c r="T117" s="1007">
        <f t="shared" si="43"/>
        <v>13898.412317184526</v>
      </c>
      <c r="U117" s="36"/>
      <c r="V117" s="94">
        <f t="shared" si="29"/>
        <v>779166.66666666674</v>
      </c>
      <c r="W117" s="1007">
        <f t="shared" si="30"/>
        <v>0</v>
      </c>
      <c r="X117" s="1007">
        <f t="shared" si="44"/>
        <v>779166.66666666674</v>
      </c>
      <c r="Y117" s="1070">
        <f>VLOOKUP(A117,'2021 Funding Detail'!$A$4:$AO$23,34,FALSE)</f>
        <v>1542719.9956703391</v>
      </c>
      <c r="Z117" s="1007">
        <f t="shared" si="45"/>
        <v>763553.32900367235</v>
      </c>
      <c r="AA117" s="1007">
        <f t="shared" si="31"/>
        <v>306237.96617794345</v>
      </c>
      <c r="AB117" s="1007">
        <f t="shared" si="32"/>
        <v>457315.36282572895</v>
      </c>
      <c r="AC117" s="1007">
        <f t="shared" si="46"/>
        <v>763553.32900367235</v>
      </c>
      <c r="AD117" s="1007">
        <f t="shared" si="33"/>
        <v>0</v>
      </c>
      <c r="AE117" s="1007">
        <f t="shared" si="34"/>
        <v>0</v>
      </c>
      <c r="AF117" s="1007">
        <f t="shared" si="47"/>
        <v>0</v>
      </c>
      <c r="AG117" s="1007">
        <f t="shared" si="48"/>
        <v>763553.32900367235</v>
      </c>
      <c r="AH117" s="134"/>
      <c r="AI117" s="726">
        <f t="shared" si="49"/>
        <v>1542719.9956703391</v>
      </c>
      <c r="AJ117" s="1011" t="s">
        <v>556</v>
      </c>
      <c r="AK117" s="627"/>
      <c r="AL117" s="42">
        <f t="shared" si="50"/>
        <v>0</v>
      </c>
      <c r="AM117" s="42">
        <f>SUM('1920 Band Calculations'!R11,'1920 Band Calculations'!R33,'1920 Band Calculations'!R55,'1920 Band Calculations'!R77)</f>
        <v>0</v>
      </c>
      <c r="AN117" s="42">
        <f t="shared" si="51"/>
        <v>0</v>
      </c>
      <c r="AP117" s="168">
        <f>'2021 Funding Detail'!M17-'1920 Funding Detail'!M17</f>
        <v>4.1666666666666714</v>
      </c>
      <c r="AQ117" s="168">
        <f>'2021 Band Moderations'!R56</f>
        <v>0</v>
      </c>
      <c r="AR117" s="168">
        <f t="shared" si="35"/>
        <v>4.1666666666666714</v>
      </c>
      <c r="AV117" s="34"/>
      <c r="AW117" s="34"/>
      <c r="AZ117" s="34"/>
      <c r="BA117" s="34"/>
      <c r="BB117" s="34"/>
    </row>
    <row r="118" spans="1:54" ht="13" x14ac:dyDescent="0.3">
      <c r="A118" s="185">
        <v>9257033</v>
      </c>
      <c r="B118" s="38" t="s">
        <v>72</v>
      </c>
      <c r="C118" s="39">
        <v>3</v>
      </c>
      <c r="D118" s="1007">
        <f t="shared" si="20"/>
        <v>343263.00577860681</v>
      </c>
      <c r="E118" s="1007">
        <f t="shared" si="21"/>
        <v>522815.96264741663</v>
      </c>
      <c r="F118" s="156">
        <f t="shared" si="36"/>
        <v>866078.96842602338</v>
      </c>
      <c r="G118" s="1007">
        <f t="shared" si="22"/>
        <v>0</v>
      </c>
      <c r="H118" s="1007">
        <f t="shared" si="23"/>
        <v>0</v>
      </c>
      <c r="I118" s="156">
        <f t="shared" si="37"/>
        <v>0</v>
      </c>
      <c r="J118" s="156">
        <f t="shared" si="38"/>
        <v>866078.96842602338</v>
      </c>
      <c r="K118" s="1007">
        <f t="shared" si="24"/>
        <v>12620.263157894738</v>
      </c>
      <c r="L118" s="1007">
        <f t="shared" si="25"/>
        <v>19221.63157894737</v>
      </c>
      <c r="M118" s="156">
        <f t="shared" si="39"/>
        <v>31841.894736842107</v>
      </c>
      <c r="N118" s="1007">
        <f t="shared" si="26"/>
        <v>0</v>
      </c>
      <c r="O118" s="1007">
        <f t="shared" si="27"/>
        <v>0</v>
      </c>
      <c r="P118" s="156">
        <f t="shared" si="40"/>
        <v>0</v>
      </c>
      <c r="Q118" s="156">
        <f t="shared" si="41"/>
        <v>31841.894736842107</v>
      </c>
      <c r="R118" s="156">
        <f t="shared" si="28"/>
        <v>897920.86316286551</v>
      </c>
      <c r="S118" s="334">
        <f t="shared" si="42"/>
        <v>95.666666666666686</v>
      </c>
      <c r="T118" s="1007">
        <f t="shared" si="43"/>
        <v>9385.9323675560845</v>
      </c>
      <c r="U118" s="36"/>
      <c r="V118" s="94">
        <f t="shared" si="29"/>
        <v>956666.66666666674</v>
      </c>
      <c r="W118" s="1007">
        <f t="shared" si="30"/>
        <v>0</v>
      </c>
      <c r="X118" s="1007">
        <f t="shared" si="44"/>
        <v>956666.66666666674</v>
      </c>
      <c r="Y118" s="1070">
        <f>VLOOKUP(A118,'2021 Funding Detail'!$A$4:$AO$23,34,FALSE)</f>
        <v>1363567.9631628655</v>
      </c>
      <c r="Z118" s="1007">
        <f t="shared" si="45"/>
        <v>406901.29649619875</v>
      </c>
      <c r="AA118" s="1007">
        <f t="shared" si="31"/>
        <v>161271.85531861527</v>
      </c>
      <c r="AB118" s="1007">
        <f t="shared" si="32"/>
        <v>245629.44117758327</v>
      </c>
      <c r="AC118" s="1007">
        <f t="shared" si="46"/>
        <v>406901.29649619851</v>
      </c>
      <c r="AD118" s="1007">
        <f t="shared" si="33"/>
        <v>0</v>
      </c>
      <c r="AE118" s="1007">
        <f t="shared" si="34"/>
        <v>0</v>
      </c>
      <c r="AF118" s="1007">
        <f t="shared" si="47"/>
        <v>0</v>
      </c>
      <c r="AG118" s="1007">
        <f t="shared" si="48"/>
        <v>406901.29649619851</v>
      </c>
      <c r="AH118" s="134"/>
      <c r="AI118" s="726">
        <f t="shared" si="49"/>
        <v>1363567.9631628653</v>
      </c>
      <c r="AJ118" s="1011" t="s">
        <v>556</v>
      </c>
      <c r="AK118" s="627"/>
      <c r="AL118" s="42">
        <f t="shared" si="50"/>
        <v>0</v>
      </c>
      <c r="AM118" s="42">
        <f>SUM('1920 Band Calculations'!R12,'1920 Band Calculations'!R34,'1920 Band Calculations'!R56,'1920 Band Calculations'!R78)</f>
        <v>0</v>
      </c>
      <c r="AN118" s="42">
        <f t="shared" si="51"/>
        <v>0</v>
      </c>
      <c r="AP118" s="168">
        <f>'2021 Funding Detail'!M10-'1920 Funding Detail'!M10</f>
        <v>3.3333333333333428</v>
      </c>
      <c r="AQ118" s="168">
        <f>'2021 Band Moderations'!R57</f>
        <v>0</v>
      </c>
      <c r="AR118" s="168">
        <f t="shared" si="35"/>
        <v>3.3333333333333428</v>
      </c>
      <c r="AV118" s="34"/>
      <c r="AW118" s="34"/>
      <c r="AZ118" s="34"/>
      <c r="BA118" s="34"/>
      <c r="BB118" s="34"/>
    </row>
    <row r="119" spans="1:54" ht="13" x14ac:dyDescent="0.3">
      <c r="A119" s="185">
        <v>9257008</v>
      </c>
      <c r="B119" s="38" t="s">
        <v>73</v>
      </c>
      <c r="C119" s="39">
        <v>4</v>
      </c>
      <c r="D119" s="1007">
        <f t="shared" si="20"/>
        <v>368748.58064119524</v>
      </c>
      <c r="E119" s="1007">
        <f t="shared" si="21"/>
        <v>532550.58172602078</v>
      </c>
      <c r="F119" s="156">
        <f t="shared" si="36"/>
        <v>901299.16236721608</v>
      </c>
      <c r="G119" s="1007">
        <f t="shared" si="22"/>
        <v>0</v>
      </c>
      <c r="H119" s="1007">
        <f t="shared" si="23"/>
        <v>0</v>
      </c>
      <c r="I119" s="156">
        <f t="shared" si="37"/>
        <v>0</v>
      </c>
      <c r="J119" s="156">
        <f t="shared" si="38"/>
        <v>901299.16236721608</v>
      </c>
      <c r="K119" s="1007">
        <f t="shared" si="24"/>
        <v>8602.2336769759459</v>
      </c>
      <c r="L119" s="1007">
        <f t="shared" si="25"/>
        <v>12423.436426116839</v>
      </c>
      <c r="M119" s="156">
        <f t="shared" si="39"/>
        <v>21025.670103092787</v>
      </c>
      <c r="N119" s="1007">
        <f t="shared" si="26"/>
        <v>0</v>
      </c>
      <c r="O119" s="1007">
        <f t="shared" si="27"/>
        <v>0</v>
      </c>
      <c r="P119" s="156">
        <f t="shared" si="40"/>
        <v>0</v>
      </c>
      <c r="Q119" s="156">
        <f t="shared" si="41"/>
        <v>21025.670103092787</v>
      </c>
      <c r="R119" s="156">
        <f t="shared" si="28"/>
        <v>922324.83247030887</v>
      </c>
      <c r="S119" s="334">
        <f t="shared" si="42"/>
        <v>96.75</v>
      </c>
      <c r="T119" s="1007">
        <f t="shared" si="43"/>
        <v>9533.0732038274818</v>
      </c>
      <c r="U119" s="36"/>
      <c r="V119" s="94">
        <f t="shared" si="29"/>
        <v>967500.00000000012</v>
      </c>
      <c r="W119" s="1007">
        <f t="shared" si="30"/>
        <v>0</v>
      </c>
      <c r="X119" s="1007">
        <f t="shared" si="44"/>
        <v>967500.00000000012</v>
      </c>
      <c r="Y119" s="1070">
        <f>VLOOKUP(A119,'2021 Funding Detail'!$A$4:$AO$23,34,FALSE)</f>
        <v>1382136.8824703088</v>
      </c>
      <c r="Z119" s="1007">
        <f t="shared" si="45"/>
        <v>414636.88247030869</v>
      </c>
      <c r="AA119" s="1007">
        <f t="shared" si="31"/>
        <v>169640.4127247172</v>
      </c>
      <c r="AB119" s="1007">
        <f t="shared" si="32"/>
        <v>244996.4697455916</v>
      </c>
      <c r="AC119" s="1007">
        <f t="shared" si="46"/>
        <v>414636.8824703088</v>
      </c>
      <c r="AD119" s="1007">
        <f t="shared" si="33"/>
        <v>0</v>
      </c>
      <c r="AE119" s="1007">
        <f t="shared" si="34"/>
        <v>0</v>
      </c>
      <c r="AF119" s="1007">
        <f t="shared" si="47"/>
        <v>0</v>
      </c>
      <c r="AG119" s="1007">
        <f t="shared" si="48"/>
        <v>414636.8824703088</v>
      </c>
      <c r="AH119" s="134"/>
      <c r="AI119" s="726">
        <f t="shared" si="49"/>
        <v>1382136.8824703088</v>
      </c>
      <c r="AJ119" s="1011" t="s">
        <v>556</v>
      </c>
      <c r="AK119" s="627"/>
      <c r="AL119" s="42">
        <f t="shared" si="50"/>
        <v>0</v>
      </c>
      <c r="AM119" s="42">
        <f>SUM('1920 Band Calculations'!R13,'1920 Band Calculations'!R35,'1920 Band Calculations'!R57,'1920 Band Calculations'!R79)</f>
        <v>0</v>
      </c>
      <c r="AN119" s="42">
        <f t="shared" si="51"/>
        <v>0</v>
      </c>
      <c r="AP119" s="168">
        <f>'2021 Funding Detail'!M9-'1920 Funding Detail'!M9</f>
        <v>1.75</v>
      </c>
      <c r="AQ119" s="168">
        <f>'2021 Band Moderations'!R58</f>
        <v>0</v>
      </c>
      <c r="AR119" s="168">
        <f t="shared" si="35"/>
        <v>1.75</v>
      </c>
      <c r="AV119" s="34"/>
      <c r="AW119" s="34"/>
      <c r="AZ119" s="34"/>
      <c r="BA119" s="34"/>
      <c r="BB119" s="34"/>
    </row>
    <row r="120" spans="1:54" ht="13" x14ac:dyDescent="0.3">
      <c r="A120" s="185">
        <v>9257034</v>
      </c>
      <c r="B120" s="38" t="s">
        <v>74</v>
      </c>
      <c r="C120" s="39">
        <v>5</v>
      </c>
      <c r="D120" s="1007">
        <f t="shared" si="20"/>
        <v>287270.39982564177</v>
      </c>
      <c r="E120" s="1007">
        <f t="shared" si="21"/>
        <v>455479.33273559564</v>
      </c>
      <c r="F120" s="156">
        <f t="shared" si="36"/>
        <v>742749.73256123741</v>
      </c>
      <c r="G120" s="1007">
        <f t="shared" si="22"/>
        <v>102448.23897396377</v>
      </c>
      <c r="H120" s="1007">
        <f t="shared" si="23"/>
        <v>188283.25000620369</v>
      </c>
      <c r="I120" s="156">
        <f t="shared" si="37"/>
        <v>290731.48898016743</v>
      </c>
      <c r="J120" s="156">
        <f t="shared" si="38"/>
        <v>1033481.2215414048</v>
      </c>
      <c r="K120" s="1007">
        <f t="shared" si="24"/>
        <v>14212.480886850153</v>
      </c>
      <c r="L120" s="1007">
        <f t="shared" si="25"/>
        <v>22534.487767584102</v>
      </c>
      <c r="M120" s="156">
        <f t="shared" si="39"/>
        <v>36746.968654434255</v>
      </c>
      <c r="N120" s="1007">
        <f t="shared" si="26"/>
        <v>5068.547400611621</v>
      </c>
      <c r="O120" s="1007">
        <f t="shared" si="27"/>
        <v>9315.1681957186556</v>
      </c>
      <c r="P120" s="156">
        <f t="shared" si="40"/>
        <v>14383.715596330276</v>
      </c>
      <c r="Q120" s="156">
        <f t="shared" si="41"/>
        <v>51130.684250764534</v>
      </c>
      <c r="R120" s="156">
        <f t="shared" si="28"/>
        <v>1084611.9057921695</v>
      </c>
      <c r="S120" s="334">
        <f t="shared" si="42"/>
        <v>124.41666666666666</v>
      </c>
      <c r="T120" s="1007">
        <f t="shared" si="43"/>
        <v>8717.5772736142226</v>
      </c>
      <c r="U120" s="36"/>
      <c r="V120" s="94">
        <f t="shared" si="29"/>
        <v>894166.66666666674</v>
      </c>
      <c r="W120" s="1007">
        <f t="shared" si="30"/>
        <v>350000</v>
      </c>
      <c r="X120" s="1007">
        <f t="shared" si="44"/>
        <v>1244166.6666666667</v>
      </c>
      <c r="Y120" s="1070">
        <f>VLOOKUP(A120,'2021 Funding Detail'!$A$4:$AO$23,34,FALSE)</f>
        <v>1651594.5557333459</v>
      </c>
      <c r="Z120" s="1007">
        <f t="shared" si="45"/>
        <v>407427.88906667917</v>
      </c>
      <c r="AA120" s="1007">
        <f t="shared" si="31"/>
        <v>113250.21698772402</v>
      </c>
      <c r="AB120" s="1007">
        <f t="shared" si="32"/>
        <v>179562.99464559616</v>
      </c>
      <c r="AC120" s="1007">
        <f t="shared" si="46"/>
        <v>292813.2116333202</v>
      </c>
      <c r="AD120" s="1007">
        <f t="shared" si="33"/>
        <v>40388.029190802787</v>
      </c>
      <c r="AE120" s="1007">
        <f t="shared" si="34"/>
        <v>74226.648242556461</v>
      </c>
      <c r="AF120" s="1007">
        <f t="shared" si="47"/>
        <v>114614.67743335925</v>
      </c>
      <c r="AG120" s="1007">
        <f t="shared" si="48"/>
        <v>407427.88906667946</v>
      </c>
      <c r="AH120" s="134"/>
      <c r="AI120" s="726">
        <f t="shared" si="49"/>
        <v>1651594.5557333461</v>
      </c>
      <c r="AJ120" s="1011" t="s">
        <v>556</v>
      </c>
      <c r="AK120" s="627"/>
      <c r="AL120" s="42">
        <f t="shared" si="50"/>
        <v>25696.893637921319</v>
      </c>
      <c r="AM120" s="42">
        <f>SUM('1920 Band Calculations'!R14,'1920 Band Calculations'!R36,'1920 Band Calculations'!R58,'1920 Band Calculations'!R80)</f>
        <v>23434.031478687801</v>
      </c>
      <c r="AN120" s="42">
        <f t="shared" si="51"/>
        <v>2262.8621592335185</v>
      </c>
      <c r="AP120" s="168">
        <f>'2021 Funding Detail'!M23-'1920 Funding Detail'!M23</f>
        <v>7.8333333333333144</v>
      </c>
      <c r="AQ120" s="168">
        <f>'2021 Band Moderations'!R59</f>
        <v>0</v>
      </c>
      <c r="AR120" s="168">
        <f t="shared" si="35"/>
        <v>7.8333333333333144</v>
      </c>
      <c r="AV120" s="34"/>
      <c r="AW120" s="34"/>
      <c r="AZ120" s="34"/>
      <c r="BA120" s="34"/>
      <c r="BB120" s="34"/>
    </row>
    <row r="121" spans="1:54" ht="13" x14ac:dyDescent="0.3">
      <c r="A121" s="185">
        <v>9257002</v>
      </c>
      <c r="B121" s="38" t="s">
        <v>75</v>
      </c>
      <c r="C121" s="39">
        <v>5</v>
      </c>
      <c r="D121" s="1007">
        <f t="shared" si="20"/>
        <v>507766.30492183176</v>
      </c>
      <c r="E121" s="1007">
        <f t="shared" si="21"/>
        <v>735385.68299023912</v>
      </c>
      <c r="F121" s="156">
        <f t="shared" si="36"/>
        <v>1243151.9879120709</v>
      </c>
      <c r="G121" s="1007">
        <f t="shared" si="22"/>
        <v>0</v>
      </c>
      <c r="H121" s="1007">
        <f t="shared" si="23"/>
        <v>0</v>
      </c>
      <c r="I121" s="156">
        <f t="shared" si="37"/>
        <v>0</v>
      </c>
      <c r="J121" s="156">
        <f t="shared" si="38"/>
        <v>1243151.9879120709</v>
      </c>
      <c r="K121" s="1007">
        <f t="shared" si="24"/>
        <v>24664.465962441314</v>
      </c>
      <c r="L121" s="1007">
        <f t="shared" si="25"/>
        <v>35720.950704225354</v>
      </c>
      <c r="M121" s="156">
        <f t="shared" si="39"/>
        <v>60385.416666666672</v>
      </c>
      <c r="N121" s="1007">
        <f t="shared" si="26"/>
        <v>0</v>
      </c>
      <c r="O121" s="1007">
        <f t="shared" si="27"/>
        <v>0</v>
      </c>
      <c r="P121" s="156">
        <f t="shared" si="40"/>
        <v>0</v>
      </c>
      <c r="Q121" s="156">
        <f t="shared" si="41"/>
        <v>60385.416666666672</v>
      </c>
      <c r="R121" s="156">
        <f t="shared" si="28"/>
        <v>1303537.4045787377</v>
      </c>
      <c r="S121" s="334">
        <f t="shared" si="42"/>
        <v>147.91666666666669</v>
      </c>
      <c r="T121" s="1007">
        <f t="shared" si="43"/>
        <v>8812.6472422224506</v>
      </c>
      <c r="U121" s="36"/>
      <c r="V121" s="94">
        <f t="shared" si="29"/>
        <v>1479166.6666666667</v>
      </c>
      <c r="W121" s="1007">
        <f t="shared" si="30"/>
        <v>0</v>
      </c>
      <c r="X121" s="1007">
        <f t="shared" si="44"/>
        <v>1479166.6666666667</v>
      </c>
      <c r="Y121" s="1070">
        <f>VLOOKUP(A121,'2021 Funding Detail'!$A$4:$AO$23,34,FALSE)</f>
        <v>1819247.1545787377</v>
      </c>
      <c r="Z121" s="1007">
        <f t="shared" si="45"/>
        <v>340080.48791207094</v>
      </c>
      <c r="AA121" s="1007">
        <f t="shared" si="31"/>
        <v>138906.11478098671</v>
      </c>
      <c r="AB121" s="1007">
        <f t="shared" si="32"/>
        <v>201174.37313108417</v>
      </c>
      <c r="AC121" s="1007">
        <f t="shared" si="46"/>
        <v>340080.48791207088</v>
      </c>
      <c r="AD121" s="1007">
        <f t="shared" si="33"/>
        <v>0</v>
      </c>
      <c r="AE121" s="1007">
        <f t="shared" si="34"/>
        <v>0</v>
      </c>
      <c r="AF121" s="1007">
        <f t="shared" si="47"/>
        <v>0</v>
      </c>
      <c r="AG121" s="1007">
        <f t="shared" si="48"/>
        <v>340080.48791207088</v>
      </c>
      <c r="AH121" s="134"/>
      <c r="AI121" s="726">
        <f t="shared" si="49"/>
        <v>1819247.1545787377</v>
      </c>
      <c r="AJ121" s="1011" t="s">
        <v>556</v>
      </c>
      <c r="AK121" s="627"/>
      <c r="AL121" s="42">
        <f t="shared" si="50"/>
        <v>46901.564074571717</v>
      </c>
      <c r="AM121" s="42">
        <f>SUM('1920 Band Calculations'!R15,'1920 Band Calculations'!R37,'1920 Band Calculations'!R59,'1920 Band Calculations'!R81)</f>
        <v>22603.948241494982</v>
      </c>
      <c r="AN121" s="42">
        <f t="shared" si="51"/>
        <v>24297.615833076736</v>
      </c>
      <c r="AP121" s="168">
        <f>'2021 Funding Detail'!M10-'1920 Funding Detail'!M10</f>
        <v>3.3333333333333428</v>
      </c>
      <c r="AQ121" s="168">
        <f>'2021 Band Moderations'!R60</f>
        <v>1</v>
      </c>
      <c r="AR121" s="168">
        <f t="shared" si="35"/>
        <v>2.3333333333333428</v>
      </c>
      <c r="AV121" s="34"/>
      <c r="AW121" s="34"/>
      <c r="AZ121" s="34"/>
      <c r="BA121" s="34"/>
      <c r="BB121" s="34"/>
    </row>
    <row r="122" spans="1:54" ht="13" x14ac:dyDescent="0.3">
      <c r="A122" s="185">
        <v>9257009</v>
      </c>
      <c r="B122" s="38" t="s">
        <v>76</v>
      </c>
      <c r="C122" s="39">
        <v>4</v>
      </c>
      <c r="D122" s="1007">
        <f t="shared" si="20"/>
        <v>466377.66141391033</v>
      </c>
      <c r="E122" s="1007">
        <f t="shared" si="21"/>
        <v>657765.23506080406</v>
      </c>
      <c r="F122" s="156">
        <f t="shared" si="36"/>
        <v>1124142.8964747144</v>
      </c>
      <c r="G122" s="1007">
        <f t="shared" si="22"/>
        <v>0</v>
      </c>
      <c r="H122" s="1007">
        <f t="shared" si="23"/>
        <v>0</v>
      </c>
      <c r="I122" s="156">
        <f t="shared" si="37"/>
        <v>0</v>
      </c>
      <c r="J122" s="156">
        <f t="shared" si="38"/>
        <v>1124142.8964747144</v>
      </c>
      <c r="K122" s="1007">
        <f t="shared" si="24"/>
        <v>12638.808139534884</v>
      </c>
      <c r="L122" s="1007">
        <f t="shared" si="25"/>
        <v>17825.400516795868</v>
      </c>
      <c r="M122" s="156">
        <f t="shared" si="39"/>
        <v>30464.208656330753</v>
      </c>
      <c r="N122" s="1007">
        <f t="shared" si="26"/>
        <v>0</v>
      </c>
      <c r="O122" s="1007">
        <f t="shared" si="27"/>
        <v>0</v>
      </c>
      <c r="P122" s="156">
        <f t="shared" si="40"/>
        <v>0</v>
      </c>
      <c r="Q122" s="156">
        <f t="shared" si="41"/>
        <v>30464.208656330753</v>
      </c>
      <c r="R122" s="156">
        <f t="shared" si="28"/>
        <v>1154607.1051310452</v>
      </c>
      <c r="S122" s="334">
        <f t="shared" si="42"/>
        <v>135.58333333333334</v>
      </c>
      <c r="T122" s="1007">
        <f t="shared" si="43"/>
        <v>8515.8483476168058</v>
      </c>
      <c r="U122" s="36"/>
      <c r="V122" s="94">
        <f t="shared" si="29"/>
        <v>1355833.3333333335</v>
      </c>
      <c r="W122" s="1007">
        <f t="shared" si="30"/>
        <v>0</v>
      </c>
      <c r="X122" s="1007">
        <f t="shared" si="44"/>
        <v>1355833.3333333335</v>
      </c>
      <c r="Y122" s="1070">
        <f>VLOOKUP(A122,'2021 Funding Detail'!$A$4:$AO$23,34,FALSE)</f>
        <v>1744089.4100128748</v>
      </c>
      <c r="Z122" s="1007">
        <f t="shared" si="45"/>
        <v>388256.07667954126</v>
      </c>
      <c r="AA122" s="1007">
        <f t="shared" si="31"/>
        <v>161077.35203361424</v>
      </c>
      <c r="AB122" s="1007">
        <f t="shared" si="32"/>
        <v>227178.72464592705</v>
      </c>
      <c r="AC122" s="1007">
        <f t="shared" si="46"/>
        <v>388256.07667954126</v>
      </c>
      <c r="AD122" s="1007">
        <f t="shared" si="33"/>
        <v>0</v>
      </c>
      <c r="AE122" s="1007">
        <f t="shared" si="34"/>
        <v>0</v>
      </c>
      <c r="AF122" s="1007">
        <f t="shared" si="47"/>
        <v>0</v>
      </c>
      <c r="AG122" s="1007">
        <f t="shared" si="48"/>
        <v>388256.07667954126</v>
      </c>
      <c r="AH122" s="134"/>
      <c r="AI122" s="726">
        <f t="shared" si="49"/>
        <v>1744089.4100128748</v>
      </c>
      <c r="AJ122" s="1011" t="s">
        <v>556</v>
      </c>
      <c r="AK122" s="627"/>
      <c r="AL122" s="42">
        <f t="shared" si="50"/>
        <v>0</v>
      </c>
      <c r="AM122" s="42">
        <f>SUM('1920 Band Calculations'!R16,'1920 Band Calculations'!R38,'1920 Band Calculations'!R60,'1920 Band Calculations'!R82)</f>
        <v>0</v>
      </c>
      <c r="AN122" s="42">
        <f t="shared" si="51"/>
        <v>0</v>
      </c>
      <c r="AP122" s="168">
        <f>'2021 Funding Detail'!M11-'1920 Funding Detail'!M11</f>
        <v>1.4166666666666572</v>
      </c>
      <c r="AQ122" s="168">
        <f>'2021 Band Moderations'!R61</f>
        <v>0</v>
      </c>
      <c r="AR122" s="168">
        <f t="shared" si="35"/>
        <v>1.4166666666666572</v>
      </c>
      <c r="AV122" s="34"/>
      <c r="AW122" s="34"/>
      <c r="AZ122" s="34"/>
      <c r="BA122" s="34"/>
      <c r="BB122" s="34"/>
    </row>
    <row r="123" spans="1:54" ht="13" x14ac:dyDescent="0.3">
      <c r="A123" s="185">
        <v>9257029</v>
      </c>
      <c r="B123" s="915" t="s">
        <v>848</v>
      </c>
      <c r="C123" s="39">
        <v>3</v>
      </c>
      <c r="D123" s="1007">
        <f t="shared" si="20"/>
        <v>319130.01565356151</v>
      </c>
      <c r="E123" s="1007">
        <f t="shared" si="21"/>
        <v>459922.66961836809</v>
      </c>
      <c r="F123" s="156">
        <f t="shared" si="36"/>
        <v>779052.6852719296</v>
      </c>
      <c r="G123" s="1007">
        <f t="shared" si="22"/>
        <v>0</v>
      </c>
      <c r="H123" s="1007">
        <f t="shared" si="23"/>
        <v>0</v>
      </c>
      <c r="I123" s="156">
        <f t="shared" si="37"/>
        <v>0</v>
      </c>
      <c r="J123" s="156">
        <f t="shared" si="38"/>
        <v>779052.6852719296</v>
      </c>
      <c r="K123" s="1007">
        <f t="shared" si="24"/>
        <v>74658.333333333343</v>
      </c>
      <c r="L123" s="1007">
        <f t="shared" si="25"/>
        <v>107595.83333333334</v>
      </c>
      <c r="M123" s="156">
        <f t="shared" si="39"/>
        <v>182254.16666666669</v>
      </c>
      <c r="N123" s="1007">
        <f t="shared" si="26"/>
        <v>0</v>
      </c>
      <c r="O123" s="1007">
        <f t="shared" si="27"/>
        <v>0</v>
      </c>
      <c r="P123" s="156">
        <f t="shared" si="40"/>
        <v>0</v>
      </c>
      <c r="Q123" s="156">
        <f t="shared" si="41"/>
        <v>182254.16666666669</v>
      </c>
      <c r="R123" s="156">
        <f t="shared" si="28"/>
        <v>961306.85193859623</v>
      </c>
      <c r="S123" s="334">
        <f t="shared" si="42"/>
        <v>69.166666666666671</v>
      </c>
      <c r="T123" s="1007">
        <f t="shared" si="43"/>
        <v>13898.412317184522</v>
      </c>
      <c r="U123" s="36"/>
      <c r="V123" s="94">
        <f t="shared" si="29"/>
        <v>691666.66666666674</v>
      </c>
      <c r="W123" s="1007">
        <f t="shared" si="30"/>
        <v>0</v>
      </c>
      <c r="X123" s="1007">
        <f t="shared" si="44"/>
        <v>691666.66666666674</v>
      </c>
      <c r="Y123" s="1070">
        <f>VLOOKUP(A123,'2021 Funding Detail'!$A$4:$AO$23,34,FALSE)</f>
        <v>1399298.5628994321</v>
      </c>
      <c r="Z123" s="1007">
        <f t="shared" si="45"/>
        <v>707631.8962327654</v>
      </c>
      <c r="AA123" s="1007">
        <f t="shared" si="31"/>
        <v>289873.30689053034</v>
      </c>
      <c r="AB123" s="1007">
        <f t="shared" si="32"/>
        <v>417758.58934223495</v>
      </c>
      <c r="AC123" s="1007">
        <f t="shared" si="46"/>
        <v>707631.89623276528</v>
      </c>
      <c r="AD123" s="1007">
        <f t="shared" si="33"/>
        <v>0</v>
      </c>
      <c r="AE123" s="1007">
        <f t="shared" si="34"/>
        <v>0</v>
      </c>
      <c r="AF123" s="1007">
        <f t="shared" si="47"/>
        <v>0</v>
      </c>
      <c r="AG123" s="1007">
        <f t="shared" si="48"/>
        <v>707631.89623276528</v>
      </c>
      <c r="AH123" s="134"/>
      <c r="AI123" s="726">
        <f t="shared" si="49"/>
        <v>1399298.5628994321</v>
      </c>
      <c r="AJ123" s="1011" t="s">
        <v>556</v>
      </c>
      <c r="AK123" s="627"/>
      <c r="AL123" s="42">
        <f t="shared" si="50"/>
        <v>0</v>
      </c>
      <c r="AM123" s="42">
        <f>SUM('1920 Band Calculations'!R17,'1920 Band Calculations'!R39,'1920 Band Calculations'!R61,'1920 Band Calculations'!R83)</f>
        <v>0</v>
      </c>
      <c r="AN123" s="42">
        <f t="shared" si="51"/>
        <v>0</v>
      </c>
      <c r="AP123" s="168">
        <f>'2021 Funding Detail'!M18-'1920 Funding Detail'!M18</f>
        <v>12.416666666666664</v>
      </c>
      <c r="AQ123" s="168">
        <f>'2021 Band Moderations'!R62</f>
        <v>0</v>
      </c>
      <c r="AR123" s="168">
        <f t="shared" ref="AR123:AR128" si="52">AP123-AQ123</f>
        <v>12.416666666666664</v>
      </c>
      <c r="AV123" s="34"/>
      <c r="AW123" s="34"/>
      <c r="AZ123" s="34"/>
      <c r="BA123" s="34"/>
      <c r="BB123" s="34"/>
    </row>
    <row r="124" spans="1:54" ht="13" x14ac:dyDescent="0.3">
      <c r="A124" s="185">
        <v>9257032</v>
      </c>
      <c r="B124" s="38" t="s">
        <v>100</v>
      </c>
      <c r="C124" s="39">
        <v>4</v>
      </c>
      <c r="D124" s="1007">
        <f t="shared" si="20"/>
        <v>333209.28105004219</v>
      </c>
      <c r="E124" s="1007">
        <f t="shared" si="21"/>
        <v>538766.55583865975</v>
      </c>
      <c r="F124" s="156">
        <f t="shared" si="36"/>
        <v>871975.83688870189</v>
      </c>
      <c r="G124" s="1007">
        <f t="shared" si="22"/>
        <v>0</v>
      </c>
      <c r="H124" s="1007">
        <f t="shared" si="23"/>
        <v>0</v>
      </c>
      <c r="I124" s="156">
        <f t="shared" si="37"/>
        <v>0</v>
      </c>
      <c r="J124" s="156">
        <f t="shared" si="38"/>
        <v>871975.83688870189</v>
      </c>
      <c r="K124" s="1007">
        <f t="shared" si="24"/>
        <v>77952.083333333343</v>
      </c>
      <c r="L124" s="1007">
        <f t="shared" si="25"/>
        <v>126040.83333333334</v>
      </c>
      <c r="M124" s="156">
        <f t="shared" si="39"/>
        <v>203992.91666666669</v>
      </c>
      <c r="N124" s="1007">
        <f t="shared" si="26"/>
        <v>0</v>
      </c>
      <c r="O124" s="1007">
        <f t="shared" si="27"/>
        <v>0</v>
      </c>
      <c r="P124" s="156">
        <f t="shared" si="40"/>
        <v>0</v>
      </c>
      <c r="Q124" s="156">
        <f t="shared" si="41"/>
        <v>203992.91666666669</v>
      </c>
      <c r="R124" s="156">
        <f t="shared" si="28"/>
        <v>1075968.7535553686</v>
      </c>
      <c r="S124" s="334">
        <f t="shared" si="42"/>
        <v>77.416666666666671</v>
      </c>
      <c r="T124" s="1007">
        <f t="shared" si="43"/>
        <v>13898.412317184524</v>
      </c>
      <c r="U124" s="36"/>
      <c r="V124" s="94">
        <f t="shared" si="29"/>
        <v>774166.66666666674</v>
      </c>
      <c r="W124" s="1007">
        <f t="shared" si="30"/>
        <v>0</v>
      </c>
      <c r="X124" s="1007">
        <f t="shared" si="44"/>
        <v>774166.66666666674</v>
      </c>
      <c r="Y124" s="1070">
        <f>VLOOKUP(A124,'2021 Funding Detail'!$A$4:$AO$23,34,FALSE)</f>
        <v>1546583.8329366678</v>
      </c>
      <c r="Z124" s="1007">
        <f t="shared" si="45"/>
        <v>772417.16627000109</v>
      </c>
      <c r="AA124" s="1007">
        <f t="shared" si="31"/>
        <v>295164.7944304095</v>
      </c>
      <c r="AB124" s="1007">
        <f t="shared" si="32"/>
        <v>477252.37183959153</v>
      </c>
      <c r="AC124" s="1007">
        <f t="shared" si="46"/>
        <v>772417.16627000109</v>
      </c>
      <c r="AD124" s="1007">
        <f t="shared" si="33"/>
        <v>0</v>
      </c>
      <c r="AE124" s="1007">
        <f t="shared" si="34"/>
        <v>0</v>
      </c>
      <c r="AF124" s="1007">
        <f t="shared" si="47"/>
        <v>0</v>
      </c>
      <c r="AG124" s="1007">
        <f t="shared" si="48"/>
        <v>772417.16627000109</v>
      </c>
      <c r="AH124" s="134"/>
      <c r="AI124" s="726">
        <f t="shared" si="49"/>
        <v>1546583.8329366678</v>
      </c>
      <c r="AJ124" s="1011" t="s">
        <v>556</v>
      </c>
      <c r="AK124" s="627"/>
      <c r="AL124" s="42">
        <f t="shared" si="50"/>
        <v>0</v>
      </c>
      <c r="AM124" s="42">
        <f>SUM('1920 Band Calculations'!R18,'1920 Band Calculations'!R40,'1920 Band Calculations'!R62,'1920 Band Calculations'!R84)</f>
        <v>0</v>
      </c>
      <c r="AN124" s="42">
        <f t="shared" si="51"/>
        <v>0</v>
      </c>
      <c r="AP124" s="168">
        <f>'2021 Funding Detail'!M19-'1920 Funding Detail'!M19</f>
        <v>6</v>
      </c>
      <c r="AQ124" s="168">
        <f>'2021 Band Moderations'!R63</f>
        <v>0</v>
      </c>
      <c r="AR124" s="168">
        <f t="shared" si="52"/>
        <v>6</v>
      </c>
      <c r="AV124" s="34"/>
      <c r="AW124" s="34"/>
      <c r="AZ124" s="34"/>
      <c r="BA124" s="34"/>
      <c r="BB124" s="34"/>
    </row>
    <row r="125" spans="1:54" ht="13" x14ac:dyDescent="0.3">
      <c r="A125" s="185">
        <v>9257030</v>
      </c>
      <c r="B125" s="38" t="s">
        <v>92</v>
      </c>
      <c r="C125" s="39">
        <v>4</v>
      </c>
      <c r="D125" s="1007">
        <f t="shared" si="20"/>
        <v>347288.54644652281</v>
      </c>
      <c r="E125" s="1007">
        <f t="shared" si="21"/>
        <v>492774.28887682292</v>
      </c>
      <c r="F125" s="156">
        <f t="shared" si="36"/>
        <v>840062.83532334573</v>
      </c>
      <c r="G125" s="1007">
        <f t="shared" si="22"/>
        <v>0</v>
      </c>
      <c r="H125" s="1007">
        <f t="shared" si="23"/>
        <v>0</v>
      </c>
      <c r="I125" s="156">
        <f t="shared" si="37"/>
        <v>0</v>
      </c>
      <c r="J125" s="156">
        <f t="shared" si="38"/>
        <v>840062.83532334573</v>
      </c>
      <c r="K125" s="1007">
        <f t="shared" si="24"/>
        <v>81245.833333333343</v>
      </c>
      <c r="L125" s="1007">
        <f t="shared" si="25"/>
        <v>115281.25000000001</v>
      </c>
      <c r="M125" s="156">
        <f t="shared" si="39"/>
        <v>196527.08333333337</v>
      </c>
      <c r="N125" s="1007">
        <f t="shared" si="26"/>
        <v>0</v>
      </c>
      <c r="O125" s="1007">
        <f t="shared" si="27"/>
        <v>0</v>
      </c>
      <c r="P125" s="156">
        <f t="shared" si="40"/>
        <v>0</v>
      </c>
      <c r="Q125" s="156">
        <f t="shared" si="41"/>
        <v>196527.08333333337</v>
      </c>
      <c r="R125" s="156">
        <f t="shared" si="28"/>
        <v>1036589.9186566791</v>
      </c>
      <c r="S125" s="334">
        <f t="shared" si="42"/>
        <v>74.583333333333343</v>
      </c>
      <c r="T125" s="1007">
        <f t="shared" si="43"/>
        <v>13898.412317184522</v>
      </c>
      <c r="U125" s="36"/>
      <c r="V125" s="94">
        <f t="shared" si="29"/>
        <v>745833.33333333337</v>
      </c>
      <c r="W125" s="1007">
        <f t="shared" si="30"/>
        <v>0</v>
      </c>
      <c r="X125" s="1007">
        <f t="shared" si="44"/>
        <v>745833.33333333337</v>
      </c>
      <c r="Y125" s="1070">
        <f>VLOOKUP(A125,'2021 Funding Detail'!$A$4:$AO$23,34,FALSE)</f>
        <v>1506608.1933807207</v>
      </c>
      <c r="Z125" s="1007">
        <f t="shared" si="45"/>
        <v>760774.86004738731</v>
      </c>
      <c r="AA125" s="1007">
        <f t="shared" si="31"/>
        <v>314510.27733802598</v>
      </c>
      <c r="AB125" s="1007">
        <f t="shared" si="32"/>
        <v>446264.58270936122</v>
      </c>
      <c r="AC125" s="1007">
        <f t="shared" si="46"/>
        <v>760774.86004738719</v>
      </c>
      <c r="AD125" s="1007">
        <f t="shared" si="33"/>
        <v>0</v>
      </c>
      <c r="AE125" s="1007">
        <f t="shared" si="34"/>
        <v>0</v>
      </c>
      <c r="AF125" s="1007">
        <f t="shared" si="47"/>
        <v>0</v>
      </c>
      <c r="AG125" s="1007">
        <f t="shared" si="48"/>
        <v>760774.86004738719</v>
      </c>
      <c r="AH125" s="134"/>
      <c r="AI125" s="726">
        <f t="shared" si="49"/>
        <v>1506608.1933807204</v>
      </c>
      <c r="AJ125" s="1011" t="s">
        <v>556</v>
      </c>
      <c r="AK125" s="627"/>
      <c r="AL125" s="42">
        <f t="shared" si="50"/>
        <v>0</v>
      </c>
      <c r="AM125" s="42">
        <f>SUM('1920 Band Calculations'!R19,'1920 Band Calculations'!R41,'1920 Band Calculations'!R63,'1920 Band Calculations'!R85)</f>
        <v>0</v>
      </c>
      <c r="AN125" s="42">
        <f t="shared" si="51"/>
        <v>0</v>
      </c>
      <c r="AP125" s="168">
        <f>'2021 Funding Detail'!M20-'1920 Funding Detail'!M20</f>
        <v>2.25</v>
      </c>
      <c r="AQ125" s="168">
        <f>'2021 Band Moderations'!R64</f>
        <v>0</v>
      </c>
      <c r="AR125" s="168">
        <f t="shared" si="52"/>
        <v>2.25</v>
      </c>
      <c r="AV125" s="34"/>
      <c r="AW125" s="34"/>
      <c r="AZ125" s="34"/>
      <c r="BA125" s="34"/>
      <c r="BB125" s="34"/>
    </row>
    <row r="126" spans="1:54" ht="13" x14ac:dyDescent="0.3">
      <c r="A126" s="185">
        <v>9257028</v>
      </c>
      <c r="B126" s="38" t="s">
        <v>77</v>
      </c>
      <c r="C126" s="39">
        <v>5</v>
      </c>
      <c r="D126" s="1007">
        <f t="shared" si="20"/>
        <v>361743.87146043795</v>
      </c>
      <c r="E126" s="1007">
        <f t="shared" si="21"/>
        <v>622786.07059540262</v>
      </c>
      <c r="F126" s="156">
        <f t="shared" si="36"/>
        <v>984529.94205584051</v>
      </c>
      <c r="G126" s="1007">
        <f t="shared" si="22"/>
        <v>46928.934675948702</v>
      </c>
      <c r="H126" s="1007">
        <f t="shared" si="23"/>
        <v>62571.912901264935</v>
      </c>
      <c r="I126" s="156">
        <f t="shared" si="37"/>
        <v>109500.84757721363</v>
      </c>
      <c r="J126" s="156">
        <f t="shared" si="38"/>
        <v>1094030.7896330541</v>
      </c>
      <c r="K126" s="1007">
        <f t="shared" si="24"/>
        <v>3420.8771929824566</v>
      </c>
      <c r="L126" s="1007">
        <f t="shared" si="25"/>
        <v>5889.4561403508778</v>
      </c>
      <c r="M126" s="156">
        <f t="shared" si="39"/>
        <v>9310.3333333333339</v>
      </c>
      <c r="N126" s="1007">
        <f t="shared" si="26"/>
        <v>443.78947368421052</v>
      </c>
      <c r="O126" s="1007">
        <f t="shared" si="27"/>
        <v>591.71929824561403</v>
      </c>
      <c r="P126" s="156">
        <f t="shared" si="40"/>
        <v>1035.5087719298244</v>
      </c>
      <c r="Q126" s="156">
        <f t="shared" si="41"/>
        <v>10345.842105263158</v>
      </c>
      <c r="R126" s="156">
        <f t="shared" si="28"/>
        <v>1104376.6317383172</v>
      </c>
      <c r="S126" s="334">
        <f t="shared" si="42"/>
        <v>93.25</v>
      </c>
      <c r="T126" s="1007">
        <f t="shared" si="43"/>
        <v>11843.181037408227</v>
      </c>
      <c r="U126" s="36"/>
      <c r="V126" s="94">
        <f t="shared" si="29"/>
        <v>839166.66666666674</v>
      </c>
      <c r="W126" s="1007">
        <f t="shared" si="30"/>
        <v>93333.333333333328</v>
      </c>
      <c r="X126" s="1007">
        <f t="shared" si="44"/>
        <v>932500.00000000012</v>
      </c>
      <c r="Y126" s="1070">
        <f>VLOOKUP(A126,'2021 Funding Detail'!$A$4:$AO$23,34,FALSE)</f>
        <v>1613802.4817383173</v>
      </c>
      <c r="Z126" s="1007">
        <f t="shared" si="45"/>
        <v>681302.48173831718</v>
      </c>
      <c r="AA126" s="1007">
        <f t="shared" si="31"/>
        <v>225274.27903769203</v>
      </c>
      <c r="AB126" s="1007">
        <f t="shared" si="32"/>
        <v>387837.0695865131</v>
      </c>
      <c r="AC126" s="1007">
        <f t="shared" si="46"/>
        <v>613111.3486242051</v>
      </c>
      <c r="AD126" s="1007">
        <f t="shared" si="33"/>
        <v>29224.771334619509</v>
      </c>
      <c r="AE126" s="1007">
        <f t="shared" si="34"/>
        <v>38966.361779492676</v>
      </c>
      <c r="AF126" s="1007">
        <f t="shared" si="47"/>
        <v>68191.133114112192</v>
      </c>
      <c r="AG126" s="1007">
        <f t="shared" si="48"/>
        <v>681302.48173831729</v>
      </c>
      <c r="AH126" s="134"/>
      <c r="AI126" s="726">
        <f t="shared" si="49"/>
        <v>1613802.4817383173</v>
      </c>
      <c r="AJ126" s="1011" t="s">
        <v>556</v>
      </c>
      <c r="AK126" s="627"/>
      <c r="AL126" s="42">
        <f t="shared" si="50"/>
        <v>265176.50627088384</v>
      </c>
      <c r="AM126" s="42">
        <f>SUM('1920 Band Calculations'!R20,'1920 Band Calculations'!R42,'1920 Band Calculations'!R64,'1920 Band Calculations'!R86)</f>
        <v>261776.17157900496</v>
      </c>
      <c r="AN126" s="42">
        <f t="shared" si="51"/>
        <v>3400.3346918788739</v>
      </c>
      <c r="AP126" s="168">
        <f>'2021 Funding Detail'!M12-'1920 Funding Detail'!M12</f>
        <v>9.9166666666666572</v>
      </c>
      <c r="AQ126" s="168">
        <f>'2021 Band Moderations'!R65</f>
        <v>0</v>
      </c>
      <c r="AR126" s="168">
        <f t="shared" si="52"/>
        <v>9.9166666666666572</v>
      </c>
      <c r="AV126" s="34"/>
      <c r="AW126" s="34"/>
      <c r="AZ126" s="34"/>
      <c r="BA126" s="34"/>
      <c r="BB126" s="34"/>
    </row>
    <row r="127" spans="1:54" ht="13" x14ac:dyDescent="0.3">
      <c r="A127" s="185">
        <v>9257021</v>
      </c>
      <c r="B127" s="38" t="s">
        <v>78</v>
      </c>
      <c r="C127" s="39">
        <v>5</v>
      </c>
      <c r="D127" s="1007">
        <f t="shared" si="20"/>
        <v>608235.02408930613</v>
      </c>
      <c r="E127" s="1007">
        <f t="shared" si="21"/>
        <v>872554.44196515286</v>
      </c>
      <c r="F127" s="156">
        <f t="shared" si="36"/>
        <v>1480789.4660544591</v>
      </c>
      <c r="G127" s="1007">
        <f t="shared" si="22"/>
        <v>0</v>
      </c>
      <c r="H127" s="1007">
        <f t="shared" si="23"/>
        <v>0</v>
      </c>
      <c r="I127" s="156">
        <f t="shared" si="37"/>
        <v>0</v>
      </c>
      <c r="J127" s="156">
        <f t="shared" si="38"/>
        <v>1480789.4660544591</v>
      </c>
      <c r="K127" s="1007">
        <f t="shared" si="24"/>
        <v>17458.895705521474</v>
      </c>
      <c r="L127" s="1007">
        <f t="shared" si="25"/>
        <v>25045.971370143154</v>
      </c>
      <c r="M127" s="156">
        <f t="shared" si="39"/>
        <v>42504.867075664632</v>
      </c>
      <c r="N127" s="1007">
        <f t="shared" si="26"/>
        <v>0</v>
      </c>
      <c r="O127" s="1007">
        <f t="shared" si="27"/>
        <v>0</v>
      </c>
      <c r="P127" s="156">
        <f t="shared" si="40"/>
        <v>0</v>
      </c>
      <c r="Q127" s="156">
        <f t="shared" si="41"/>
        <v>42504.867075664632</v>
      </c>
      <c r="R127" s="156">
        <f t="shared" si="28"/>
        <v>1523294.3331301238</v>
      </c>
      <c r="S127" s="334">
        <f t="shared" si="42"/>
        <v>164.33333333333334</v>
      </c>
      <c r="T127" s="1007">
        <f t="shared" si="43"/>
        <v>9269.5395525159656</v>
      </c>
      <c r="U127" s="36"/>
      <c r="V127" s="94">
        <f t="shared" si="29"/>
        <v>1643333.3333333335</v>
      </c>
      <c r="W127" s="1007">
        <f t="shared" si="30"/>
        <v>0</v>
      </c>
      <c r="X127" s="1007">
        <f t="shared" si="44"/>
        <v>1643333.3333333335</v>
      </c>
      <c r="Y127" s="1070">
        <f>VLOOKUP(A127,'2021 Funding Detail'!$A$4:$AO$23,34,FALSE)</f>
        <v>2109717.5272255666</v>
      </c>
      <c r="Z127" s="1007">
        <f t="shared" si="45"/>
        <v>466384.19389223307</v>
      </c>
      <c r="AA127" s="1007">
        <f t="shared" si="31"/>
        <v>191567.54414437566</v>
      </c>
      <c r="AB127" s="1007">
        <f t="shared" si="32"/>
        <v>274816.64974785736</v>
      </c>
      <c r="AC127" s="1007">
        <f t="shared" si="46"/>
        <v>466384.19389223302</v>
      </c>
      <c r="AD127" s="1007">
        <f t="shared" si="33"/>
        <v>0</v>
      </c>
      <c r="AE127" s="1007">
        <f t="shared" si="34"/>
        <v>0</v>
      </c>
      <c r="AF127" s="1007">
        <f t="shared" si="47"/>
        <v>0</v>
      </c>
      <c r="AG127" s="1007">
        <f t="shared" si="48"/>
        <v>466384.19389223302</v>
      </c>
      <c r="AH127" s="134"/>
      <c r="AI127" s="726">
        <f t="shared" si="49"/>
        <v>2109717.5272255666</v>
      </c>
      <c r="AJ127" s="1011" t="s">
        <v>556</v>
      </c>
      <c r="AK127" s="627"/>
      <c r="AL127" s="42">
        <f t="shared" si="50"/>
        <v>45393.808272419847</v>
      </c>
      <c r="AM127" s="42">
        <f>SUM('1920 Band Calculations'!R21,'1920 Band Calculations'!R43,'1920 Band Calculations'!R65,'1920 Band Calculations'!R87)</f>
        <v>22107.42859712529</v>
      </c>
      <c r="AN127" s="42">
        <f t="shared" si="51"/>
        <v>23286.379675294556</v>
      </c>
      <c r="AP127" s="168">
        <f>'2021 Funding Detail'!M13-'1920 Funding Detail'!M13</f>
        <v>5.25</v>
      </c>
      <c r="AQ127" s="168">
        <f>'2021 Band Moderations'!R66</f>
        <v>1</v>
      </c>
      <c r="AR127" s="168">
        <f t="shared" si="52"/>
        <v>4.25</v>
      </c>
      <c r="AV127" s="34"/>
      <c r="AW127" s="34"/>
      <c r="AZ127" s="34"/>
      <c r="BA127" s="34"/>
      <c r="BB127" s="34"/>
    </row>
    <row r="128" spans="1:54" ht="13" x14ac:dyDescent="0.3">
      <c r="A128" s="131">
        <v>9257015</v>
      </c>
      <c r="B128" s="38" t="s">
        <v>55</v>
      </c>
      <c r="C128" s="39">
        <v>6</v>
      </c>
      <c r="D128" s="1007">
        <f t="shared" si="20"/>
        <v>797028.43917490938</v>
      </c>
      <c r="E128" s="1007">
        <f t="shared" si="21"/>
        <v>1130986.9616527222</v>
      </c>
      <c r="F128" s="156">
        <f t="shared" si="36"/>
        <v>1928015.4008276316</v>
      </c>
      <c r="G128" s="1007">
        <f t="shared" si="22"/>
        <v>46162.733128682536</v>
      </c>
      <c r="H128" s="1007">
        <f t="shared" si="23"/>
        <v>46162.733128682536</v>
      </c>
      <c r="I128" s="156">
        <f t="shared" si="37"/>
        <v>92325.466257365071</v>
      </c>
      <c r="J128" s="156">
        <f t="shared" si="38"/>
        <v>2020340.8670849968</v>
      </c>
      <c r="K128" s="1007">
        <f t="shared" si="24"/>
        <v>6275.1616379310353</v>
      </c>
      <c r="L128" s="1007">
        <f t="shared" si="25"/>
        <v>8904.4827586206902</v>
      </c>
      <c r="M128" s="156">
        <f t="shared" si="39"/>
        <v>15179.644396551725</v>
      </c>
      <c r="N128" s="1007">
        <f t="shared" si="26"/>
        <v>363.44827586206895</v>
      </c>
      <c r="O128" s="1007">
        <f t="shared" si="27"/>
        <v>363.44827586206895</v>
      </c>
      <c r="P128" s="156">
        <f t="shared" si="40"/>
        <v>726.89655172413791</v>
      </c>
      <c r="Q128" s="156">
        <f t="shared" si="41"/>
        <v>15906.540948275862</v>
      </c>
      <c r="R128" s="156">
        <f t="shared" si="28"/>
        <v>2036247.4080332725</v>
      </c>
      <c r="S128" s="334">
        <f t="shared" si="42"/>
        <v>233.41666666666671</v>
      </c>
      <c r="T128" s="1007">
        <f t="shared" si="43"/>
        <v>8723.6590133521113</v>
      </c>
      <c r="U128" s="36"/>
      <c r="V128" s="94">
        <f t="shared" si="29"/>
        <v>2227500</v>
      </c>
      <c r="W128" s="1007">
        <f t="shared" si="30"/>
        <v>106666.66666666666</v>
      </c>
      <c r="X128" s="1007">
        <f t="shared" si="44"/>
        <v>2334166.6666666665</v>
      </c>
      <c r="Y128" s="1070">
        <f>VLOOKUP(A128,'2021 Funding Detail'!$A$4:$AO$23,34,FALSE)</f>
        <v>2654655.4080332727</v>
      </c>
      <c r="Z128" s="1007">
        <f t="shared" si="45"/>
        <v>320488.74136660621</v>
      </c>
      <c r="AA128" s="1007">
        <f t="shared" si="31"/>
        <v>126433.43777582981</v>
      </c>
      <c r="AB128" s="1007">
        <f t="shared" si="32"/>
        <v>179409.62030090601</v>
      </c>
      <c r="AC128" s="1007">
        <f t="shared" si="46"/>
        <v>305843.05807673582</v>
      </c>
      <c r="AD128" s="1007">
        <f t="shared" si="33"/>
        <v>7322.8416449349388</v>
      </c>
      <c r="AE128" s="1007">
        <f t="shared" si="34"/>
        <v>7322.8416449349388</v>
      </c>
      <c r="AF128" s="1007">
        <f t="shared" si="47"/>
        <v>14645.683289869878</v>
      </c>
      <c r="AG128" s="1007">
        <f t="shared" si="48"/>
        <v>320488.74136660568</v>
      </c>
      <c r="AH128" s="134"/>
      <c r="AI128" s="726">
        <f t="shared" si="49"/>
        <v>2654655.4080332723</v>
      </c>
      <c r="AJ128" s="1011" t="s">
        <v>556</v>
      </c>
      <c r="AK128" s="627"/>
      <c r="AL128" s="42">
        <f t="shared" si="50"/>
        <v>67950.662572176923</v>
      </c>
      <c r="AM128" s="42">
        <f>SUM('1920 Band Calculations'!R22,'1920 Band Calculations'!R44,'1920 Band Calculations'!R66,'1920 Band Calculations'!R88)</f>
        <v>45215.482530625093</v>
      </c>
      <c r="AN128" s="42">
        <f t="shared" si="51"/>
        <v>22735.18004155183</v>
      </c>
      <c r="AP128" s="168">
        <f>'2021 Funding Detail'!M14-'1920 Funding Detail'!M14</f>
        <v>-4.5833333333333144</v>
      </c>
      <c r="AQ128" s="168">
        <f>'2021 Band Moderations'!R67</f>
        <v>1</v>
      </c>
      <c r="AR128" s="168">
        <f t="shared" si="52"/>
        <v>-5.5833333333333144</v>
      </c>
      <c r="AV128" s="34"/>
      <c r="AW128" s="34"/>
      <c r="AZ128" s="34"/>
      <c r="BA128" s="34"/>
      <c r="BB128" s="34"/>
    </row>
    <row r="129" spans="1:54" ht="13" x14ac:dyDescent="0.3">
      <c r="A129" s="185">
        <v>9257016</v>
      </c>
      <c r="B129" s="38" t="s">
        <v>80</v>
      </c>
      <c r="C129" s="39">
        <v>6</v>
      </c>
      <c r="D129" s="1007">
        <f t="shared" si="20"/>
        <v>515598.51276803919</v>
      </c>
      <c r="E129" s="1007">
        <f t="shared" si="21"/>
        <v>844703.94644976628</v>
      </c>
      <c r="F129" s="156">
        <f t="shared" si="36"/>
        <v>1360302.4592178054</v>
      </c>
      <c r="G129" s="1007">
        <f t="shared" si="22"/>
        <v>188687.11531085687</v>
      </c>
      <c r="H129" s="1007">
        <f t="shared" si="23"/>
        <v>412478.81021443132</v>
      </c>
      <c r="I129" s="156">
        <f t="shared" si="37"/>
        <v>601165.92552528821</v>
      </c>
      <c r="J129" s="156">
        <f>F129+I129</f>
        <v>1961468.3847430935</v>
      </c>
      <c r="K129" s="1007">
        <f t="shared" si="24"/>
        <v>678.97478070175441</v>
      </c>
      <c r="L129" s="1007">
        <f t="shared" si="25"/>
        <v>1112.3629385964912</v>
      </c>
      <c r="M129" s="156">
        <f t="shared" si="39"/>
        <v>1791.3377192982457</v>
      </c>
      <c r="N129" s="1007">
        <f t="shared" si="26"/>
        <v>248.47587719298247</v>
      </c>
      <c r="O129" s="1007">
        <f t="shared" si="27"/>
        <v>543.17982456140339</v>
      </c>
      <c r="P129" s="156">
        <f t="shared" si="40"/>
        <v>791.65570175438586</v>
      </c>
      <c r="Q129" s="156">
        <f t="shared" si="41"/>
        <v>2582.9934210526317</v>
      </c>
      <c r="R129" s="156">
        <f t="shared" si="28"/>
        <v>1964051.3781641461</v>
      </c>
      <c r="S129" s="334">
        <f t="shared" si="42"/>
        <v>149</v>
      </c>
      <c r="T129" s="1007">
        <f t="shared" si="43"/>
        <v>13181.552873584873</v>
      </c>
      <c r="U129" s="36"/>
      <c r="V129" s="94">
        <f t="shared" si="29"/>
        <v>1033333.3333333335</v>
      </c>
      <c r="W129" s="1007">
        <f t="shared" si="30"/>
        <v>456666.66666666663</v>
      </c>
      <c r="X129" s="1007">
        <f t="shared" si="44"/>
        <v>1490000</v>
      </c>
      <c r="Y129" s="1070">
        <f>VLOOKUP(A129,'2021 Funding Detail'!$A$4:$AO$23,34,FALSE)</f>
        <v>2566300.778164146</v>
      </c>
      <c r="Z129" s="1007">
        <f t="shared" si="45"/>
        <v>1076300.778164146</v>
      </c>
      <c r="AA129" s="1007">
        <f t="shared" si="31"/>
        <v>282920.22692234267</v>
      </c>
      <c r="AB129" s="1007">
        <f t="shared" si="32"/>
        <v>463507.60580894432</v>
      </c>
      <c r="AC129" s="1007">
        <f t="shared" si="46"/>
        <v>746427.832731287</v>
      </c>
      <c r="AD129" s="1007">
        <f t="shared" si="33"/>
        <v>103536.76389498496</v>
      </c>
      <c r="AE129" s="1007">
        <f t="shared" si="34"/>
        <v>226336.1815378741</v>
      </c>
      <c r="AF129" s="1007">
        <f t="shared" si="47"/>
        <v>329872.94543285907</v>
      </c>
      <c r="AG129" s="1007">
        <f t="shared" si="48"/>
        <v>1076300.778164146</v>
      </c>
      <c r="AH129" s="134"/>
      <c r="AI129" s="726">
        <f t="shared" si="49"/>
        <v>2566300.778164146</v>
      </c>
      <c r="AJ129" s="1011" t="s">
        <v>556</v>
      </c>
      <c r="AK129" s="627"/>
      <c r="AL129" s="42">
        <f t="shared" si="50"/>
        <v>750326.28505825368</v>
      </c>
      <c r="AM129" s="42">
        <f>SUM('1920 Band Calculations'!R23,'1920 Band Calculations'!R45,'1920 Band Calculations'!R67,'1920 Band Calculations'!R89)</f>
        <v>794222.80929219606</v>
      </c>
      <c r="AN129" s="42">
        <f t="shared" si="51"/>
        <v>-43896.524233942386</v>
      </c>
      <c r="AP129" s="168">
        <f>'2021 Funding Detail'!M15-'1920 Funding Detail'!M15</f>
        <v>11.916666666666657</v>
      </c>
      <c r="AQ129" s="168">
        <f>'2021 Band Moderations'!R68</f>
        <v>-1</v>
      </c>
      <c r="AR129" s="168">
        <f>AP129-AQ129</f>
        <v>12.916666666666657</v>
      </c>
      <c r="AV129" s="34"/>
      <c r="AW129" s="34"/>
      <c r="AZ129" s="34"/>
      <c r="BA129" s="34"/>
      <c r="BB129" s="34"/>
    </row>
    <row r="130" spans="1:54" x14ac:dyDescent="0.25">
      <c r="C130" s="40"/>
      <c r="F130" s="996"/>
      <c r="G130" s="996"/>
      <c r="I130" s="34"/>
      <c r="J130" s="34"/>
      <c r="AL130" s="1009"/>
      <c r="AM130" s="42"/>
      <c r="AV130" s="34"/>
      <c r="AW130" s="34"/>
      <c r="AZ130" s="34"/>
      <c r="BA130" s="34"/>
      <c r="BB130" s="34"/>
    </row>
    <row r="131" spans="1:54" ht="13" thickBot="1" x14ac:dyDescent="0.3">
      <c r="C131" s="40"/>
      <c r="D131" s="70">
        <f t="shared" ref="D131:P131" si="53">SUM(D112:D129)</f>
        <v>6883660.1375841219</v>
      </c>
      <c r="E131" s="70">
        <f t="shared" si="53"/>
        <v>10288924.284598663</v>
      </c>
      <c r="F131" s="70">
        <f t="shared" si="53"/>
        <v>17172584.422182787</v>
      </c>
      <c r="G131" s="70">
        <f t="shared" si="53"/>
        <v>680291.79157122551</v>
      </c>
      <c r="H131" s="70">
        <f t="shared" si="53"/>
        <v>1266442.3065586977</v>
      </c>
      <c r="I131" s="70">
        <f t="shared" si="53"/>
        <v>1946734.098129923</v>
      </c>
      <c r="J131" s="70">
        <f>SUM(J112:J129)</f>
        <v>19119318.520312712</v>
      </c>
      <c r="K131" s="70">
        <f t="shared" si="53"/>
        <v>431846.19642401946</v>
      </c>
      <c r="L131" s="70">
        <f t="shared" si="53"/>
        <v>642803.07641043863</v>
      </c>
      <c r="M131" s="70">
        <f t="shared" si="53"/>
        <v>1074649.2728344582</v>
      </c>
      <c r="N131" s="70">
        <f t="shared" si="53"/>
        <v>9775.3676456434787</v>
      </c>
      <c r="O131" s="70">
        <f t="shared" si="53"/>
        <v>18083.680603507666</v>
      </c>
      <c r="P131" s="70">
        <f t="shared" si="53"/>
        <v>27859.048249151139</v>
      </c>
      <c r="Q131" s="70">
        <f>SUM(Q112:Q129)</f>
        <v>1102508.3210836095</v>
      </c>
      <c r="R131" s="70">
        <f>SUM(R112:R129)</f>
        <v>20221826.841396317</v>
      </c>
      <c r="S131" s="981">
        <f>SUM(S112:S129)</f>
        <v>1896.0833333333333</v>
      </c>
      <c r="T131" s="70">
        <f>AVERAGE(T112:T129)</f>
        <v>11170.861296193609</v>
      </c>
      <c r="V131" s="730">
        <f>SUM(V112:V129)</f>
        <v>17190833.333333332</v>
      </c>
      <c r="W131" s="730">
        <f t="shared" ref="W131:AI131" si="54">SUM(W112:W129)</f>
        <v>1770000</v>
      </c>
      <c r="X131" s="729">
        <f t="shared" si="54"/>
        <v>18960833.333333336</v>
      </c>
      <c r="Y131" s="729">
        <f t="shared" si="54"/>
        <v>29334218.614862777</v>
      </c>
      <c r="Z131" s="729">
        <f t="shared" si="54"/>
        <v>10373385.281529445</v>
      </c>
      <c r="AA131" s="729">
        <f t="shared" si="54"/>
        <v>3687660.5372762335</v>
      </c>
      <c r="AB131" s="729">
        <f t="shared" si="54"/>
        <v>5564589.4736348605</v>
      </c>
      <c r="AC131" s="729">
        <f t="shared" si="54"/>
        <v>9252250.0109110922</v>
      </c>
      <c r="AD131" s="729">
        <f t="shared" si="54"/>
        <v>389697.4975043225</v>
      </c>
      <c r="AE131" s="729">
        <f t="shared" si="54"/>
        <v>731437.77311402792</v>
      </c>
      <c r="AF131" s="729">
        <f t="shared" si="54"/>
        <v>1121135.2706183505</v>
      </c>
      <c r="AG131" s="729">
        <f t="shared" si="54"/>
        <v>10373385.281529445</v>
      </c>
      <c r="AH131" s="642"/>
      <c r="AI131" s="729">
        <f t="shared" si="54"/>
        <v>29334218.614862774</v>
      </c>
      <c r="AJ131" s="625" t="s">
        <v>556</v>
      </c>
      <c r="AL131" s="42">
        <f>SUM(AL112:AL130)</f>
        <v>1887079.4208405907</v>
      </c>
      <c r="AM131" s="42">
        <f>SUM(AM112:AM130)</f>
        <v>1866352.7961942179</v>
      </c>
      <c r="AN131" s="42">
        <f>SUM(AN112:AN130)</f>
        <v>20726.624646372889</v>
      </c>
      <c r="AV131" s="34"/>
      <c r="AW131" s="34"/>
      <c r="AZ131" s="34"/>
      <c r="BA131" s="34"/>
      <c r="BB131" s="34"/>
    </row>
    <row r="132" spans="1:54" x14ac:dyDescent="0.25">
      <c r="C132" s="40"/>
      <c r="F132" s="996"/>
      <c r="G132" s="996"/>
      <c r="I132" s="34"/>
      <c r="J132" s="34"/>
    </row>
    <row r="133" spans="1:54" x14ac:dyDescent="0.25">
      <c r="D133" s="815" t="s">
        <v>556</v>
      </c>
      <c r="E133" s="815" t="s">
        <v>556</v>
      </c>
      <c r="F133" s="815" t="s">
        <v>556</v>
      </c>
      <c r="G133" s="815" t="s">
        <v>556</v>
      </c>
      <c r="H133" s="815" t="s">
        <v>556</v>
      </c>
      <c r="I133" s="815" t="s">
        <v>556</v>
      </c>
      <c r="J133" s="815" t="s">
        <v>556</v>
      </c>
      <c r="K133" s="815" t="s">
        <v>556</v>
      </c>
      <c r="L133" s="815" t="s">
        <v>556</v>
      </c>
      <c r="M133" s="815" t="s">
        <v>556</v>
      </c>
      <c r="N133" s="815" t="s">
        <v>556</v>
      </c>
      <c r="O133" s="815" t="s">
        <v>556</v>
      </c>
      <c r="P133" s="815" t="s">
        <v>556</v>
      </c>
      <c r="Q133" s="815" t="s">
        <v>556</v>
      </c>
      <c r="R133" s="815" t="s">
        <v>556</v>
      </c>
      <c r="S133" s="978"/>
      <c r="T133" s="627"/>
      <c r="V133" s="627"/>
      <c r="W133" s="627"/>
      <c r="X133" s="627"/>
      <c r="Y133" s="627"/>
      <c r="Z133" s="627"/>
      <c r="AA133" s="627"/>
      <c r="AB133" s="627"/>
      <c r="AC133" s="627"/>
      <c r="AD133" s="627"/>
      <c r="AE133" s="627"/>
      <c r="AF133" s="627"/>
      <c r="AG133" s="627"/>
      <c r="AH133" s="627"/>
      <c r="AI133" s="627"/>
      <c r="AN133" s="625"/>
    </row>
  </sheetData>
  <mergeCells count="9">
    <mergeCell ref="O4:P4"/>
    <mergeCell ref="O26:P26"/>
    <mergeCell ref="O48:P48"/>
    <mergeCell ref="O70:P70"/>
    <mergeCell ref="D110:F110"/>
    <mergeCell ref="G110:I110"/>
    <mergeCell ref="K110:M110"/>
    <mergeCell ref="N110:P110"/>
    <mergeCell ref="AI110:AI111"/>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workbookViewId="0">
      <selection sqref="A1:XFD1048576"/>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349" t="s">
        <v>405</v>
      </c>
      <c r="B3" s="350" t="s">
        <v>406</v>
      </c>
      <c r="C3" s="351" t="s">
        <v>916</v>
      </c>
      <c r="D3" s="351" t="s">
        <v>408</v>
      </c>
    </row>
    <row r="4" spans="1:4" x14ac:dyDescent="0.25">
      <c r="A4" s="364">
        <v>9257002</v>
      </c>
      <c r="B4" s="352" t="s">
        <v>409</v>
      </c>
      <c r="C4" s="957">
        <v>35</v>
      </c>
      <c r="D4" s="354">
        <f>($C$24*$C$25)*C4</f>
        <v>15709.75</v>
      </c>
    </row>
    <row r="5" spans="1:4" x14ac:dyDescent="0.25">
      <c r="A5" s="364">
        <v>9257005</v>
      </c>
      <c r="B5" s="352" t="s">
        <v>410</v>
      </c>
      <c r="C5" s="957">
        <v>16</v>
      </c>
      <c r="D5" s="354">
        <f t="shared" ref="D5:D21" si="0">($C$24*$C$25)*C5</f>
        <v>7181.6</v>
      </c>
    </row>
    <row r="6" spans="1:4" x14ac:dyDescent="0.25">
      <c r="A6" s="364">
        <v>9257008</v>
      </c>
      <c r="B6" s="352" t="s">
        <v>87</v>
      </c>
      <c r="C6" s="957">
        <v>33</v>
      </c>
      <c r="D6" s="354">
        <f t="shared" si="0"/>
        <v>14812.050000000001</v>
      </c>
    </row>
    <row r="7" spans="1:4" x14ac:dyDescent="0.25">
      <c r="A7" s="364">
        <v>9257009</v>
      </c>
      <c r="B7" s="352" t="s">
        <v>411</v>
      </c>
      <c r="C7" s="957">
        <v>27</v>
      </c>
      <c r="D7" s="354">
        <f t="shared" si="0"/>
        <v>12118.95</v>
      </c>
    </row>
    <row r="8" spans="1:4" x14ac:dyDescent="0.25">
      <c r="A8" s="364">
        <v>9257010</v>
      </c>
      <c r="B8" s="352" t="s">
        <v>412</v>
      </c>
      <c r="C8" s="957">
        <v>16</v>
      </c>
      <c r="D8" s="354">
        <f t="shared" si="0"/>
        <v>7181.6</v>
      </c>
    </row>
    <row r="9" spans="1:4" x14ac:dyDescent="0.25">
      <c r="A9" s="364">
        <v>9257011</v>
      </c>
      <c r="B9" s="352" t="s">
        <v>413</v>
      </c>
      <c r="C9" s="957">
        <v>25</v>
      </c>
      <c r="D9" s="354">
        <f t="shared" si="0"/>
        <v>11221.25</v>
      </c>
    </row>
    <row r="10" spans="1:4" x14ac:dyDescent="0.25">
      <c r="A10" s="364">
        <v>9257015</v>
      </c>
      <c r="B10" s="352" t="s">
        <v>414</v>
      </c>
      <c r="C10" s="957">
        <v>80</v>
      </c>
      <c r="D10" s="354">
        <f t="shared" si="0"/>
        <v>35908</v>
      </c>
    </row>
    <row r="11" spans="1:4" x14ac:dyDescent="0.25">
      <c r="A11" s="364">
        <v>9257016</v>
      </c>
      <c r="B11" s="352" t="s">
        <v>415</v>
      </c>
      <c r="C11" s="957">
        <v>44</v>
      </c>
      <c r="D11" s="354">
        <f t="shared" si="0"/>
        <v>19749.400000000001</v>
      </c>
    </row>
    <row r="12" spans="1:4" x14ac:dyDescent="0.25">
      <c r="A12" s="364">
        <v>9257021</v>
      </c>
      <c r="B12" s="352" t="s">
        <v>416</v>
      </c>
      <c r="C12" s="957">
        <v>65</v>
      </c>
      <c r="D12" s="354">
        <f t="shared" si="0"/>
        <v>29175.25</v>
      </c>
    </row>
    <row r="13" spans="1:4" x14ac:dyDescent="0.25">
      <c r="A13" s="364">
        <v>9257024</v>
      </c>
      <c r="B13" s="352" t="s">
        <v>417</v>
      </c>
      <c r="C13" s="957">
        <v>27</v>
      </c>
      <c r="D13" s="354">
        <f t="shared" si="0"/>
        <v>12118.95</v>
      </c>
    </row>
    <row r="14" spans="1:4" x14ac:dyDescent="0.25">
      <c r="A14" s="364">
        <v>9257025</v>
      </c>
      <c r="B14" s="352" t="s">
        <v>418</v>
      </c>
      <c r="C14" s="957">
        <v>23</v>
      </c>
      <c r="D14" s="354">
        <f t="shared" si="0"/>
        <v>10323.550000000001</v>
      </c>
    </row>
    <row r="15" spans="1:4" x14ac:dyDescent="0.25">
      <c r="A15" s="364">
        <v>9257028</v>
      </c>
      <c r="B15" s="352" t="s">
        <v>419</v>
      </c>
      <c r="C15" s="957">
        <v>21</v>
      </c>
      <c r="D15" s="354">
        <f t="shared" si="0"/>
        <v>9425.85</v>
      </c>
    </row>
    <row r="16" spans="1:4" x14ac:dyDescent="0.25">
      <c r="A16" s="364">
        <v>9257029</v>
      </c>
      <c r="B16" s="352" t="s">
        <v>848</v>
      </c>
      <c r="C16" s="957">
        <v>19</v>
      </c>
      <c r="D16" s="354">
        <f t="shared" si="0"/>
        <v>8528.15</v>
      </c>
    </row>
    <row r="17" spans="1:4" x14ac:dyDescent="0.25">
      <c r="A17" s="364">
        <v>9257030</v>
      </c>
      <c r="B17" s="352" t="s">
        <v>771</v>
      </c>
      <c r="C17" s="957">
        <v>20</v>
      </c>
      <c r="D17" s="354">
        <f t="shared" si="0"/>
        <v>8977</v>
      </c>
    </row>
    <row r="18" spans="1:4" x14ac:dyDescent="0.25">
      <c r="A18" s="364">
        <v>9257031</v>
      </c>
      <c r="B18" s="352" t="s">
        <v>422</v>
      </c>
      <c r="C18" s="957">
        <v>31</v>
      </c>
      <c r="D18" s="354">
        <f t="shared" si="0"/>
        <v>13914.35</v>
      </c>
    </row>
    <row r="19" spans="1:4" x14ac:dyDescent="0.25">
      <c r="A19" s="364">
        <v>9257032</v>
      </c>
      <c r="B19" s="352" t="s">
        <v>918</v>
      </c>
      <c r="C19" s="957">
        <v>36</v>
      </c>
      <c r="D19" s="354">
        <f t="shared" si="0"/>
        <v>16158.6</v>
      </c>
    </row>
    <row r="20" spans="1:4" x14ac:dyDescent="0.25">
      <c r="A20" s="364">
        <v>9257033</v>
      </c>
      <c r="B20" s="352" t="s">
        <v>424</v>
      </c>
      <c r="C20" s="957">
        <v>46</v>
      </c>
      <c r="D20" s="354">
        <f t="shared" si="0"/>
        <v>20647.100000000002</v>
      </c>
    </row>
    <row r="21" spans="1:4" ht="13" thickBot="1" x14ac:dyDescent="0.3">
      <c r="A21" s="365">
        <v>9257034</v>
      </c>
      <c r="B21" s="355" t="s">
        <v>425</v>
      </c>
      <c r="C21" s="958">
        <v>46</v>
      </c>
      <c r="D21" s="357">
        <f t="shared" si="0"/>
        <v>20647.100000000002</v>
      </c>
    </row>
    <row r="22" spans="1:4" x14ac:dyDescent="0.25">
      <c r="A22" s="358"/>
      <c r="B22" s="359"/>
      <c r="C22" s="358"/>
      <c r="D22" s="360"/>
    </row>
    <row r="23" spans="1:4" ht="13" thickBot="1" x14ac:dyDescent="0.3">
      <c r="A23" s="358"/>
      <c r="B23" s="359"/>
      <c r="C23" s="358"/>
      <c r="D23" s="363">
        <f>SUM(D4:D21)</f>
        <v>273798.5</v>
      </c>
    </row>
    <row r="24" spans="1:4" x14ac:dyDescent="0.25">
      <c r="A24" s="358"/>
      <c r="B24" s="361" t="s">
        <v>426</v>
      </c>
      <c r="C24" s="362">
        <v>2.35</v>
      </c>
      <c r="D24" s="359"/>
    </row>
    <row r="25" spans="1:4" x14ac:dyDescent="0.25">
      <c r="A25" s="358"/>
      <c r="B25" s="361" t="s">
        <v>427</v>
      </c>
      <c r="C25" s="1016">
        <v>191</v>
      </c>
      <c r="D25" s="359"/>
    </row>
    <row r="26" spans="1:4" x14ac:dyDescent="0.25">
      <c r="A26" s="358"/>
      <c r="B26" s="359"/>
      <c r="C26" s="358"/>
      <c r="D26" s="359"/>
    </row>
    <row r="28" spans="1:4" x14ac:dyDescent="0.25">
      <c r="C28" s="612" t="s">
        <v>917</v>
      </c>
      <c r="D28" s="16">
        <v>251805</v>
      </c>
    </row>
    <row r="29" spans="1:4" x14ac:dyDescent="0.25">
      <c r="D29" s="16"/>
    </row>
    <row r="30" spans="1:4" x14ac:dyDescent="0.25">
      <c r="C30" s="6" t="s">
        <v>429</v>
      </c>
      <c r="D30" s="16">
        <f>D23-D28</f>
        <v>21993.5</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L67"/>
  <sheetViews>
    <sheetView workbookViewId="0">
      <selection sqref="A1:XFD1048576"/>
    </sheetView>
  </sheetViews>
  <sheetFormatPr defaultColWidth="9.1796875" defaultRowHeight="15.5" x14ac:dyDescent="0.35"/>
  <cols>
    <col min="1" max="1" width="10.54296875" style="188" bestFit="1" customWidth="1"/>
    <col min="2" max="5" width="9.1796875" style="187"/>
    <col min="6" max="6" width="10.26953125" style="187" customWidth="1"/>
    <col min="7" max="8" width="9.1796875" style="187" customWidth="1"/>
    <col min="9" max="9" width="10.7265625" style="187" customWidth="1"/>
    <col min="10" max="12" width="10.7265625" style="188" customWidth="1"/>
    <col min="13" max="14" width="10.7265625" style="189" customWidth="1"/>
    <col min="15" max="19" width="10.7265625" style="187" customWidth="1"/>
    <col min="20" max="20" width="3.26953125" style="187" customWidth="1"/>
    <col min="21" max="23" width="10.7265625" style="187" customWidth="1"/>
    <col min="24" max="24" width="9.1796875" style="187" customWidth="1"/>
    <col min="25" max="25" width="10.81640625" style="188" customWidth="1"/>
    <col min="26" max="28" width="9.1796875" style="187" customWidth="1"/>
    <col min="29" max="29" width="11.26953125" style="189" customWidth="1"/>
    <col min="30" max="30" width="11.1796875" style="189" customWidth="1"/>
    <col min="31" max="31" width="14.453125" style="189" customWidth="1"/>
    <col min="32" max="32" width="9.1796875" style="189" customWidth="1"/>
    <col min="33" max="33" width="8.81640625" style="189" customWidth="1"/>
    <col min="34" max="36" width="9.1796875" style="189" customWidth="1"/>
    <col min="37" max="37" width="10.453125" style="189" customWidth="1"/>
    <col min="38" max="38" width="13.453125" style="189" customWidth="1"/>
    <col min="39" max="43" width="9.1796875" style="189" customWidth="1"/>
    <col min="44" max="44" width="11.1796875" style="189" customWidth="1"/>
    <col min="45" max="45" width="14.26953125" style="189" customWidth="1"/>
    <col min="46" max="50" width="9.1796875" style="189" customWidth="1"/>
    <col min="51" max="51" width="10.1796875" style="189" customWidth="1"/>
    <col min="52" max="52" width="14.26953125" style="189" customWidth="1"/>
    <col min="53" max="55" width="9.1796875" style="189" customWidth="1"/>
    <col min="56" max="57" width="10.1796875" style="189" customWidth="1"/>
    <col min="58" max="60" width="9.1796875" style="189"/>
    <col min="61" max="61" width="9.81640625" style="189" bestFit="1" customWidth="1"/>
    <col min="62" max="62" width="12.26953125" style="189" customWidth="1"/>
    <col min="63" max="16384" width="9.1796875" style="189"/>
  </cols>
  <sheetData>
    <row r="2" spans="1:64" ht="12" customHeight="1" x14ac:dyDescent="0.35">
      <c r="B2" s="186" t="s">
        <v>219</v>
      </c>
      <c r="V2" s="1903" t="s">
        <v>280</v>
      </c>
    </row>
    <row r="3" spans="1:64" ht="12" customHeight="1" x14ac:dyDescent="0.35">
      <c r="V3" s="1904"/>
      <c r="X3" s="209" t="s">
        <v>250</v>
      </c>
    </row>
    <row r="4" spans="1:64" s="190" customFormat="1" ht="12" customHeight="1" x14ac:dyDescent="0.3">
      <c r="A4" s="188"/>
      <c r="B4" s="187"/>
      <c r="C4" s="187"/>
      <c r="D4" s="187"/>
      <c r="E4" s="187"/>
      <c r="F4" s="1905" t="s">
        <v>206</v>
      </c>
      <c r="G4" s="1905" t="s">
        <v>207</v>
      </c>
      <c r="H4" s="1905" t="s">
        <v>218</v>
      </c>
      <c r="I4" s="1906" t="s">
        <v>274</v>
      </c>
      <c r="J4" s="1907" t="s">
        <v>208</v>
      </c>
      <c r="K4" s="1907" t="s">
        <v>275</v>
      </c>
      <c r="L4" s="1907" t="s">
        <v>276</v>
      </c>
      <c r="M4" s="1907" t="s">
        <v>209</v>
      </c>
      <c r="N4" s="1907" t="s">
        <v>210</v>
      </c>
      <c r="O4" s="1907" t="s">
        <v>211</v>
      </c>
      <c r="P4" s="1907" t="s">
        <v>222</v>
      </c>
      <c r="Q4" s="1907" t="s">
        <v>277</v>
      </c>
      <c r="R4" s="1907" t="s">
        <v>228</v>
      </c>
      <c r="S4" s="1907" t="s">
        <v>229</v>
      </c>
      <c r="T4" s="209"/>
      <c r="U4" s="1907" t="s">
        <v>278</v>
      </c>
      <c r="V4" s="1910" t="s">
        <v>279</v>
      </c>
      <c r="W4" s="209"/>
      <c r="X4" s="1907" t="s">
        <v>249</v>
      </c>
      <c r="Y4" s="1907" t="s">
        <v>281</v>
      </c>
      <c r="Z4" s="1906" t="s">
        <v>430</v>
      </c>
      <c r="AA4" s="1907" t="s">
        <v>431</v>
      </c>
      <c r="AB4" s="1907" t="s">
        <v>432</v>
      </c>
      <c r="AC4" s="1910" t="s">
        <v>433</v>
      </c>
      <c r="AD4" s="1907" t="s">
        <v>434</v>
      </c>
      <c r="AE4" s="1907" t="s">
        <v>435</v>
      </c>
      <c r="AG4" s="1928" t="s">
        <v>541</v>
      </c>
      <c r="AH4" s="1926" t="s">
        <v>542</v>
      </c>
      <c r="AI4" s="1926" t="s">
        <v>543</v>
      </c>
      <c r="AJ4" s="1929" t="s">
        <v>544</v>
      </c>
      <c r="AK4" s="1926" t="s">
        <v>545</v>
      </c>
      <c r="AL4" s="1907" t="s">
        <v>435</v>
      </c>
      <c r="AN4" s="1928" t="s">
        <v>609</v>
      </c>
      <c r="AO4" s="1926" t="s">
        <v>610</v>
      </c>
      <c r="AP4" s="1926" t="s">
        <v>611</v>
      </c>
      <c r="AQ4" s="1929" t="s">
        <v>612</v>
      </c>
      <c r="AR4" s="1926" t="s">
        <v>613</v>
      </c>
      <c r="AS4" s="1907" t="s">
        <v>435</v>
      </c>
      <c r="AU4" s="1928" t="s">
        <v>807</v>
      </c>
      <c r="AV4" s="1926" t="s">
        <v>808</v>
      </c>
      <c r="AW4" s="1926" t="s">
        <v>809</v>
      </c>
      <c r="AX4" s="1929" t="s">
        <v>810</v>
      </c>
      <c r="AY4" s="1926" t="s">
        <v>811</v>
      </c>
      <c r="AZ4" s="1907" t="s">
        <v>435</v>
      </c>
      <c r="BB4" s="1928" t="s">
        <v>877</v>
      </c>
      <c r="BC4" s="1926" t="s">
        <v>878</v>
      </c>
      <c r="BD4" s="1926" t="s">
        <v>879</v>
      </c>
      <c r="BE4" s="1907" t="s">
        <v>435</v>
      </c>
      <c r="BG4" s="1928" t="s">
        <v>922</v>
      </c>
      <c r="BH4" s="1926" t="s">
        <v>923</v>
      </c>
      <c r="BI4" s="1926" t="s">
        <v>924</v>
      </c>
      <c r="BJ4" s="1907" t="s">
        <v>435</v>
      </c>
    </row>
    <row r="5" spans="1:64" s="190" customFormat="1" ht="12" customHeight="1" x14ac:dyDescent="0.3">
      <c r="A5" s="188"/>
      <c r="B5" s="187"/>
      <c r="C5" s="187"/>
      <c r="D5" s="187"/>
      <c r="E5" s="187"/>
      <c r="F5" s="1905"/>
      <c r="G5" s="1905"/>
      <c r="H5" s="1905"/>
      <c r="I5" s="1906"/>
      <c r="J5" s="1907"/>
      <c r="K5" s="1907"/>
      <c r="L5" s="1907"/>
      <c r="M5" s="1907"/>
      <c r="N5" s="1907"/>
      <c r="O5" s="1907"/>
      <c r="P5" s="1907"/>
      <c r="Q5" s="1907"/>
      <c r="R5" s="1907"/>
      <c r="S5" s="1907"/>
      <c r="T5" s="209"/>
      <c r="U5" s="1907"/>
      <c r="V5" s="1911"/>
      <c r="W5" s="209"/>
      <c r="X5" s="1907"/>
      <c r="Y5" s="1907"/>
      <c r="Z5" s="1906"/>
      <c r="AA5" s="1907"/>
      <c r="AB5" s="1907"/>
      <c r="AC5" s="1911"/>
      <c r="AD5" s="1907"/>
      <c r="AE5" s="1907"/>
      <c r="AG5" s="1906"/>
      <c r="AH5" s="1907"/>
      <c r="AI5" s="1907"/>
      <c r="AJ5" s="1911"/>
      <c r="AK5" s="1907"/>
      <c r="AL5" s="1907"/>
      <c r="AN5" s="1906"/>
      <c r="AO5" s="1907"/>
      <c r="AP5" s="1907"/>
      <c r="AQ5" s="1911"/>
      <c r="AR5" s="1907"/>
      <c r="AS5" s="1907"/>
      <c r="AU5" s="1906"/>
      <c r="AV5" s="1907"/>
      <c r="AW5" s="1907"/>
      <c r="AX5" s="1911"/>
      <c r="AY5" s="1907"/>
      <c r="AZ5" s="1907"/>
      <c r="BB5" s="1906"/>
      <c r="BC5" s="1907"/>
      <c r="BD5" s="1907"/>
      <c r="BE5" s="1907"/>
      <c r="BG5" s="1906"/>
      <c r="BH5" s="1907"/>
      <c r="BI5" s="1907"/>
      <c r="BJ5" s="1907"/>
    </row>
    <row r="6" spans="1:64" s="190" customFormat="1" ht="12" customHeight="1" x14ac:dyDescent="0.3">
      <c r="A6" s="188"/>
      <c r="B6" s="1913" t="s">
        <v>158</v>
      </c>
      <c r="C6" s="1914"/>
      <c r="D6" s="1914"/>
      <c r="E6" s="1915"/>
      <c r="F6" s="1905"/>
      <c r="G6" s="1905"/>
      <c r="H6" s="1905"/>
      <c r="I6" s="1906"/>
      <c r="J6" s="1907"/>
      <c r="K6" s="1907"/>
      <c r="L6" s="1907"/>
      <c r="M6" s="1907"/>
      <c r="N6" s="1907"/>
      <c r="O6" s="1907"/>
      <c r="P6" s="1907"/>
      <c r="Q6" s="1907"/>
      <c r="R6" s="1907"/>
      <c r="S6" s="1907"/>
      <c r="T6" s="209"/>
      <c r="U6" s="1907"/>
      <c r="V6" s="1912"/>
      <c r="W6" s="209"/>
      <c r="X6" s="1907"/>
      <c r="Y6" s="1907"/>
      <c r="Z6" s="1906"/>
      <c r="AA6" s="1907"/>
      <c r="AB6" s="1907"/>
      <c r="AC6" s="1912"/>
      <c r="AD6" s="1907"/>
      <c r="AE6" s="1907"/>
      <c r="AG6" s="1906"/>
      <c r="AH6" s="1907"/>
      <c r="AI6" s="1907"/>
      <c r="AJ6" s="1912"/>
      <c r="AK6" s="1907"/>
      <c r="AL6" s="1907"/>
      <c r="AN6" s="1906"/>
      <c r="AO6" s="1907"/>
      <c r="AP6" s="1907"/>
      <c r="AQ6" s="1912"/>
      <c r="AR6" s="1907"/>
      <c r="AS6" s="1907"/>
      <c r="AU6" s="1906"/>
      <c r="AV6" s="1907"/>
      <c r="AW6" s="1907"/>
      <c r="AX6" s="1912"/>
      <c r="AY6" s="1907"/>
      <c r="AZ6" s="1907"/>
      <c r="BB6" s="1906"/>
      <c r="BC6" s="1907"/>
      <c r="BD6" s="1907"/>
      <c r="BE6" s="1907"/>
      <c r="BG6" s="1906"/>
      <c r="BH6" s="1907"/>
      <c r="BI6" s="1907"/>
      <c r="BJ6" s="1907"/>
    </row>
    <row r="7" spans="1:64" ht="12" customHeight="1" x14ac:dyDescent="0.35">
      <c r="A7" s="220">
        <v>9257010</v>
      </c>
      <c r="B7" s="1916" t="s">
        <v>86</v>
      </c>
      <c r="C7" s="1917"/>
      <c r="D7" s="1917"/>
      <c r="E7" s="1917"/>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c r="BB7" s="955">
        <v>35258</v>
      </c>
      <c r="BC7" s="194"/>
      <c r="BD7" s="194"/>
      <c r="BE7" s="194">
        <f t="shared" ref="BE7:BE26" si="0">SUM(BB7:BD7)</f>
        <v>35258</v>
      </c>
      <c r="BG7" s="292">
        <v>35258</v>
      </c>
      <c r="BH7" s="194"/>
      <c r="BI7" s="194"/>
      <c r="BJ7" s="194">
        <f t="shared" ref="BJ7:BJ26" si="1">SUM(BG7:BI7)</f>
        <v>35258</v>
      </c>
    </row>
    <row r="8" spans="1:64" ht="12" customHeight="1" x14ac:dyDescent="0.35">
      <c r="A8" s="220">
        <v>9257030</v>
      </c>
      <c r="B8" s="1908" t="s">
        <v>161</v>
      </c>
      <c r="C8" s="1909"/>
      <c r="D8" s="1909"/>
      <c r="E8" s="1909"/>
      <c r="F8" s="194"/>
      <c r="G8" s="194"/>
      <c r="H8" s="194"/>
      <c r="I8" s="194"/>
      <c r="J8" s="191"/>
      <c r="K8" s="191"/>
      <c r="L8" s="191"/>
      <c r="M8" s="193">
        <v>0</v>
      </c>
      <c r="N8" s="192"/>
      <c r="O8" s="191"/>
      <c r="P8" s="191"/>
      <c r="Q8" s="191"/>
      <c r="R8" s="209"/>
      <c r="S8" s="209"/>
      <c r="T8" s="209"/>
      <c r="U8" s="209"/>
      <c r="V8" s="194"/>
      <c r="W8" s="209"/>
      <c r="X8" s="194"/>
      <c r="Y8" s="212">
        <f t="shared" ref="Y8:Y25" si="2">I8+L8+Q8+U8+V8</f>
        <v>0</v>
      </c>
      <c r="Z8" s="194"/>
      <c r="AA8" s="194"/>
      <c r="AB8" s="194"/>
      <c r="AC8" s="367"/>
      <c r="AD8" s="194"/>
      <c r="AE8" s="194">
        <f t="shared" ref="AE8:AE26" si="3">SUM(Z8:AD8)</f>
        <v>0</v>
      </c>
      <c r="AG8" s="194"/>
      <c r="AH8" s="194"/>
      <c r="AI8" s="194"/>
      <c r="AJ8" s="367"/>
      <c r="AK8" s="194"/>
      <c r="AL8" s="194">
        <f t="shared" ref="AL8:AL26" si="4">SUM(AG8:AK8)</f>
        <v>0</v>
      </c>
      <c r="AN8" s="194"/>
      <c r="AO8" s="194"/>
      <c r="AP8" s="194"/>
      <c r="AQ8" s="367"/>
      <c r="AR8" s="194"/>
      <c r="AS8" s="194">
        <f t="shared" ref="AS8:AS26" si="5">SUM(AN8:AR8)</f>
        <v>0</v>
      </c>
      <c r="AU8" s="194"/>
      <c r="AV8" s="194"/>
      <c r="AW8" s="194"/>
      <c r="AX8" s="367"/>
      <c r="AY8" s="194"/>
      <c r="AZ8" s="194">
        <f t="shared" ref="AZ8:AZ26" si="6">SUM(AU8:AY8)</f>
        <v>0</v>
      </c>
      <c r="BB8" s="955"/>
      <c r="BC8" s="194"/>
      <c r="BD8" s="194"/>
      <c r="BE8" s="194">
        <f t="shared" si="0"/>
        <v>0</v>
      </c>
      <c r="BG8" s="292"/>
      <c r="BH8" s="194"/>
      <c r="BI8" s="194"/>
      <c r="BJ8" s="194">
        <f t="shared" si="1"/>
        <v>0</v>
      </c>
    </row>
    <row r="9" spans="1:64" ht="12" customHeight="1" x14ac:dyDescent="0.35">
      <c r="A9" s="220">
        <v>9257031</v>
      </c>
      <c r="B9" s="1908" t="s">
        <v>162</v>
      </c>
      <c r="C9" s="1909"/>
      <c r="D9" s="1909"/>
      <c r="E9" s="1909"/>
      <c r="F9" s="194"/>
      <c r="G9" s="194"/>
      <c r="H9" s="194"/>
      <c r="I9" s="194"/>
      <c r="J9" s="191"/>
      <c r="K9" s="191"/>
      <c r="L9" s="191"/>
      <c r="M9" s="193">
        <v>0</v>
      </c>
      <c r="N9" s="192"/>
      <c r="O9" s="191"/>
      <c r="P9" s="191"/>
      <c r="Q9" s="191"/>
      <c r="R9" s="209"/>
      <c r="S9" s="209"/>
      <c r="T9" s="209"/>
      <c r="U9" s="209"/>
      <c r="V9" s="194"/>
      <c r="W9" s="209"/>
      <c r="X9" s="194"/>
      <c r="Y9" s="212">
        <f t="shared" si="2"/>
        <v>0</v>
      </c>
      <c r="Z9" s="194"/>
      <c r="AA9" s="194"/>
      <c r="AB9" s="194"/>
      <c r="AC9" s="367"/>
      <c r="AD9" s="194"/>
      <c r="AE9" s="194">
        <f t="shared" si="3"/>
        <v>0</v>
      </c>
      <c r="AG9" s="194"/>
      <c r="AH9" s="194"/>
      <c r="AI9" s="194"/>
      <c r="AJ9" s="367"/>
      <c r="AK9" s="194"/>
      <c r="AL9" s="194">
        <f t="shared" si="4"/>
        <v>0</v>
      </c>
      <c r="AN9" s="194"/>
      <c r="AO9" s="194"/>
      <c r="AP9" s="194"/>
      <c r="AQ9" s="367"/>
      <c r="AR9" s="194"/>
      <c r="AS9" s="194">
        <f t="shared" si="5"/>
        <v>0</v>
      </c>
      <c r="AU9" s="194"/>
      <c r="AV9" s="194"/>
      <c r="AW9" s="194"/>
      <c r="AX9" s="367"/>
      <c r="AY9" s="194"/>
      <c r="AZ9" s="194">
        <f t="shared" si="6"/>
        <v>0</v>
      </c>
      <c r="BB9" s="955"/>
      <c r="BC9" s="194"/>
      <c r="BD9" s="194"/>
      <c r="BE9" s="194">
        <f t="shared" si="0"/>
        <v>0</v>
      </c>
      <c r="BG9" s="292"/>
      <c r="BH9" s="194"/>
      <c r="BI9" s="194"/>
      <c r="BJ9" s="194">
        <f t="shared" si="1"/>
        <v>0</v>
      </c>
    </row>
    <row r="10" spans="1:64" ht="12" customHeight="1" x14ac:dyDescent="0.35">
      <c r="A10" s="220">
        <v>9257008</v>
      </c>
      <c r="B10" s="1916" t="s">
        <v>87</v>
      </c>
      <c r="C10" s="1917"/>
      <c r="D10" s="1917"/>
      <c r="E10" s="1917"/>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2"/>
        <v>51500</v>
      </c>
      <c r="Z10" s="194"/>
      <c r="AA10" s="194"/>
      <c r="AB10" s="194">
        <f>Q10*(5/12)</f>
        <v>21458.333333333336</v>
      </c>
      <c r="AC10" s="194">
        <f>51500*(5/12)</f>
        <v>21458.333333333336</v>
      </c>
      <c r="AD10" s="194"/>
      <c r="AE10" s="194">
        <f t="shared" si="3"/>
        <v>42916.666666666672</v>
      </c>
      <c r="AG10" s="194"/>
      <c r="AH10" s="194"/>
      <c r="AI10" s="194">
        <v>617500</v>
      </c>
      <c r="AJ10" s="194">
        <v>0</v>
      </c>
      <c r="AK10" s="194"/>
      <c r="AL10" s="194">
        <f t="shared" si="4"/>
        <v>617500</v>
      </c>
      <c r="AN10" s="194"/>
      <c r="AO10" s="194"/>
      <c r="AP10" s="194">
        <v>617500</v>
      </c>
      <c r="AQ10" s="194">
        <v>0</v>
      </c>
      <c r="AR10" s="194"/>
      <c r="AS10" s="194">
        <f t="shared" si="5"/>
        <v>617500</v>
      </c>
      <c r="AU10" s="194"/>
      <c r="AV10" s="194"/>
      <c r="AW10" s="194">
        <v>617500</v>
      </c>
      <c r="AX10" s="194">
        <v>0</v>
      </c>
      <c r="AY10" s="194"/>
      <c r="AZ10" s="194">
        <f t="shared" si="6"/>
        <v>617500</v>
      </c>
      <c r="BB10" s="955"/>
      <c r="BC10" s="954">
        <v>617500</v>
      </c>
      <c r="BD10" s="194"/>
      <c r="BE10" s="194">
        <f t="shared" si="0"/>
        <v>617500</v>
      </c>
      <c r="BG10" s="292"/>
      <c r="BH10" s="292">
        <f>617500/12*5</f>
        <v>257291.66666666669</v>
      </c>
      <c r="BI10" s="292"/>
      <c r="BJ10" s="194">
        <f t="shared" si="1"/>
        <v>257291.66666666669</v>
      </c>
      <c r="BL10" s="189" t="s">
        <v>926</v>
      </c>
    </row>
    <row r="11" spans="1:64" ht="12" customHeight="1" x14ac:dyDescent="0.35">
      <c r="A11" s="220">
        <v>9257002</v>
      </c>
      <c r="B11" s="1916" t="s">
        <v>53</v>
      </c>
      <c r="C11" s="1917"/>
      <c r="D11" s="1917"/>
      <c r="E11" s="1917"/>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2"/>
        <v>60000</v>
      </c>
      <c r="Z11" s="194"/>
      <c r="AA11" s="194"/>
      <c r="AB11" s="194"/>
      <c r="AC11" s="367"/>
      <c r="AD11" s="194"/>
      <c r="AE11" s="194">
        <f t="shared" si="3"/>
        <v>0</v>
      </c>
      <c r="AG11" s="194"/>
      <c r="AH11" s="194"/>
      <c r="AI11" s="194"/>
      <c r="AJ11" s="367"/>
      <c r="AK11" s="194"/>
      <c r="AL11" s="194">
        <f t="shared" si="4"/>
        <v>0</v>
      </c>
      <c r="AN11" s="194"/>
      <c r="AO11" s="194"/>
      <c r="AP11" s="194"/>
      <c r="AQ11" s="367"/>
      <c r="AR11" s="194"/>
      <c r="AS11" s="194">
        <f t="shared" si="5"/>
        <v>0</v>
      </c>
      <c r="AU11" s="194"/>
      <c r="AV11" s="194"/>
      <c r="AW11" s="194"/>
      <c r="AX11" s="367"/>
      <c r="AY11" s="194"/>
      <c r="AZ11" s="194">
        <f t="shared" si="6"/>
        <v>0</v>
      </c>
      <c r="BB11" s="955"/>
      <c r="BC11" s="194"/>
      <c r="BD11" s="194"/>
      <c r="BE11" s="194">
        <f t="shared" si="0"/>
        <v>0</v>
      </c>
      <c r="BG11" s="292"/>
      <c r="BH11" s="292"/>
      <c r="BI11" s="292"/>
      <c r="BJ11" s="194">
        <f t="shared" si="1"/>
        <v>0</v>
      </c>
    </row>
    <row r="12" spans="1:64" ht="12" customHeight="1" x14ac:dyDescent="0.35">
      <c r="A12" s="220">
        <v>9257005</v>
      </c>
      <c r="B12" s="1916" t="s">
        <v>88</v>
      </c>
      <c r="C12" s="1917"/>
      <c r="D12" s="1917"/>
      <c r="E12" s="1917"/>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2"/>
        <v>35258</v>
      </c>
      <c r="Z12" s="194">
        <f>I12</f>
        <v>35258</v>
      </c>
      <c r="AA12" s="194"/>
      <c r="AB12" s="194"/>
      <c r="AC12" s="367"/>
      <c r="AD12" s="194"/>
      <c r="AE12" s="194">
        <f t="shared" si="3"/>
        <v>35258</v>
      </c>
      <c r="AG12" s="194">
        <v>35258</v>
      </c>
      <c r="AH12" s="194"/>
      <c r="AI12" s="194"/>
      <c r="AJ12" s="367"/>
      <c r="AK12" s="194"/>
      <c r="AL12" s="194">
        <f t="shared" si="4"/>
        <v>35258</v>
      </c>
      <c r="AN12" s="194">
        <v>26443.5</v>
      </c>
      <c r="AO12" s="194"/>
      <c r="AP12" s="194"/>
      <c r="AQ12" s="367"/>
      <c r="AR12" s="194"/>
      <c r="AS12" s="194">
        <f t="shared" si="5"/>
        <v>26443.5</v>
      </c>
      <c r="AU12" s="194">
        <v>35258</v>
      </c>
      <c r="AV12" s="194"/>
      <c r="AW12" s="194"/>
      <c r="AX12" s="367"/>
      <c r="AY12" s="194"/>
      <c r="AZ12" s="194">
        <f t="shared" si="6"/>
        <v>35258</v>
      </c>
      <c r="BB12" s="955">
        <v>35258</v>
      </c>
      <c r="BC12" s="194"/>
      <c r="BD12" s="194"/>
      <c r="BE12" s="194">
        <f t="shared" si="0"/>
        <v>35258</v>
      </c>
      <c r="BG12" s="292">
        <v>35258</v>
      </c>
      <c r="BH12" s="292"/>
      <c r="BI12" s="292"/>
      <c r="BJ12" s="194">
        <f t="shared" si="1"/>
        <v>35258</v>
      </c>
    </row>
    <row r="13" spans="1:64" ht="12" customHeight="1" x14ac:dyDescent="0.35">
      <c r="A13" s="220">
        <v>9257034</v>
      </c>
      <c r="B13" s="1916" t="s">
        <v>163</v>
      </c>
      <c r="C13" s="1917"/>
      <c r="D13" s="1917"/>
      <c r="E13" s="1917"/>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2"/>
        <v>0</v>
      </c>
      <c r="Z13" s="194"/>
      <c r="AA13" s="194"/>
      <c r="AB13" s="194"/>
      <c r="AC13" s="367"/>
      <c r="AD13" s="194"/>
      <c r="AE13" s="194">
        <f t="shared" si="3"/>
        <v>0</v>
      </c>
      <c r="AG13" s="194"/>
      <c r="AH13" s="194"/>
      <c r="AI13" s="194"/>
      <c r="AJ13" s="367"/>
      <c r="AK13" s="194"/>
      <c r="AL13" s="194">
        <f t="shared" si="4"/>
        <v>0</v>
      </c>
      <c r="AN13" s="194"/>
      <c r="AO13" s="194"/>
      <c r="AP13" s="194"/>
      <c r="AQ13" s="367"/>
      <c r="AR13" s="194"/>
      <c r="AS13" s="194">
        <f t="shared" si="5"/>
        <v>0</v>
      </c>
      <c r="AU13" s="194"/>
      <c r="AV13" s="194"/>
      <c r="AW13" s="194"/>
      <c r="AX13" s="367"/>
      <c r="AY13" s="194"/>
      <c r="AZ13" s="194">
        <f t="shared" si="6"/>
        <v>0</v>
      </c>
      <c r="BB13" s="955"/>
      <c r="BC13" s="194"/>
      <c r="BD13" s="194"/>
      <c r="BE13" s="194">
        <f t="shared" si="0"/>
        <v>0</v>
      </c>
      <c r="BG13" s="292"/>
      <c r="BH13" s="292"/>
      <c r="BI13" s="292"/>
      <c r="BJ13" s="194">
        <f t="shared" si="1"/>
        <v>0</v>
      </c>
    </row>
    <row r="14" spans="1:64" ht="12" customHeight="1" x14ac:dyDescent="0.35">
      <c r="A14" s="220">
        <v>9257021</v>
      </c>
      <c r="B14" s="1916" t="s">
        <v>56</v>
      </c>
      <c r="C14" s="1917"/>
      <c r="D14" s="1917"/>
      <c r="E14" s="1917"/>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2"/>
        <v>35258</v>
      </c>
      <c r="Z14" s="194">
        <f>I14</f>
        <v>35258</v>
      </c>
      <c r="AA14" s="194"/>
      <c r="AB14" s="194"/>
      <c r="AC14" s="367"/>
      <c r="AD14" s="194"/>
      <c r="AE14" s="194">
        <f t="shared" si="3"/>
        <v>35258</v>
      </c>
      <c r="AG14" s="194">
        <v>35258</v>
      </c>
      <c r="AH14" s="194"/>
      <c r="AI14" s="194"/>
      <c r="AJ14" s="367"/>
      <c r="AK14" s="565"/>
      <c r="AL14" s="194">
        <f t="shared" si="4"/>
        <v>35258</v>
      </c>
      <c r="AN14" s="194">
        <v>26443.5</v>
      </c>
      <c r="AO14" s="194"/>
      <c r="AP14" s="194"/>
      <c r="AQ14" s="367"/>
      <c r="AR14" s="565"/>
      <c r="AS14" s="194">
        <f t="shared" si="5"/>
        <v>26443.5</v>
      </c>
      <c r="AU14" s="194">
        <v>35258</v>
      </c>
      <c r="AV14" s="194"/>
      <c r="AW14" s="194"/>
      <c r="AX14" s="367"/>
      <c r="AY14" s="565"/>
      <c r="AZ14" s="194">
        <f t="shared" si="6"/>
        <v>35258</v>
      </c>
      <c r="BB14" s="955">
        <v>35258</v>
      </c>
      <c r="BC14" s="194"/>
      <c r="BD14" s="565"/>
      <c r="BE14" s="194">
        <f t="shared" si="0"/>
        <v>35258</v>
      </c>
      <c r="BG14" s="292">
        <v>35258</v>
      </c>
      <c r="BH14" s="292"/>
      <c r="BI14" s="1015"/>
      <c r="BJ14" s="194">
        <f t="shared" si="1"/>
        <v>35258</v>
      </c>
    </row>
    <row r="15" spans="1:64" s="187" customFormat="1" ht="12" customHeight="1" x14ac:dyDescent="0.3">
      <c r="A15" s="220">
        <v>9257033</v>
      </c>
      <c r="B15" s="1916" t="s">
        <v>164</v>
      </c>
      <c r="C15" s="1917"/>
      <c r="D15" s="1917"/>
      <c r="E15" s="1917"/>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2"/>
        <v>73883</v>
      </c>
      <c r="Z15" s="194">
        <f>I15</f>
        <v>35258</v>
      </c>
      <c r="AA15" s="194"/>
      <c r="AB15" s="194"/>
      <c r="AC15" s="194">
        <f>51500*(5/12)</f>
        <v>21458.333333333336</v>
      </c>
      <c r="AD15" s="194"/>
      <c r="AE15" s="194">
        <f t="shared" si="3"/>
        <v>56716.333333333336</v>
      </c>
      <c r="AG15" s="194">
        <v>35258</v>
      </c>
      <c r="AH15" s="194"/>
      <c r="AI15" s="194"/>
      <c r="AJ15" s="194">
        <v>0</v>
      </c>
      <c r="AK15" s="194"/>
      <c r="AL15" s="194">
        <f t="shared" si="4"/>
        <v>35258</v>
      </c>
      <c r="AN15" s="194">
        <v>26443.5</v>
      </c>
      <c r="AO15" s="194"/>
      <c r="AP15" s="194"/>
      <c r="AQ15" s="194">
        <v>0</v>
      </c>
      <c r="AR15" s="194"/>
      <c r="AS15" s="194">
        <f t="shared" si="5"/>
        <v>26443.5</v>
      </c>
      <c r="AU15" s="194">
        <v>35258</v>
      </c>
      <c r="AV15" s="194"/>
      <c r="AW15" s="194"/>
      <c r="AX15" s="194">
        <v>0</v>
      </c>
      <c r="AY15" s="194"/>
      <c r="AZ15" s="194">
        <f t="shared" si="6"/>
        <v>35258</v>
      </c>
      <c r="BB15" s="955">
        <v>35258</v>
      </c>
      <c r="BC15" s="194"/>
      <c r="BD15" s="194"/>
      <c r="BE15" s="194">
        <f t="shared" si="0"/>
        <v>35258</v>
      </c>
      <c r="BG15" s="292"/>
      <c r="BH15" s="292"/>
      <c r="BI15" s="292"/>
      <c r="BJ15" s="194">
        <f t="shared" si="1"/>
        <v>0</v>
      </c>
    </row>
    <row r="16" spans="1:64" s="187" customFormat="1" ht="12" customHeight="1" x14ac:dyDescent="0.3">
      <c r="A16" s="220">
        <v>9257017</v>
      </c>
      <c r="B16" s="1916" t="s">
        <v>54</v>
      </c>
      <c r="C16" s="1917"/>
      <c r="D16" s="1917"/>
      <c r="E16" s="1917"/>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2"/>
        <v>0</v>
      </c>
      <c r="Z16" s="194"/>
      <c r="AA16" s="194"/>
      <c r="AB16" s="194"/>
      <c r="AC16" s="194"/>
      <c r="AD16" s="194"/>
      <c r="AE16" s="194">
        <f t="shared" si="3"/>
        <v>0</v>
      </c>
      <c r="AG16" s="194"/>
      <c r="AH16" s="194"/>
      <c r="AI16" s="194"/>
      <c r="AJ16" s="194"/>
      <c r="AK16" s="194"/>
      <c r="AL16" s="194">
        <f t="shared" si="4"/>
        <v>0</v>
      </c>
      <c r="AN16" s="194"/>
      <c r="AO16" s="194"/>
      <c r="AP16" s="194"/>
      <c r="AQ16" s="194"/>
      <c r="AR16" s="194"/>
      <c r="AS16" s="194">
        <f t="shared" si="5"/>
        <v>0</v>
      </c>
      <c r="AU16" s="194"/>
      <c r="AV16" s="194"/>
      <c r="AW16" s="194"/>
      <c r="AX16" s="194"/>
      <c r="AY16" s="194"/>
      <c r="AZ16" s="194">
        <f t="shared" si="6"/>
        <v>0</v>
      </c>
      <c r="BB16" s="955"/>
      <c r="BC16" s="194"/>
      <c r="BD16" s="194"/>
      <c r="BE16" s="194">
        <f t="shared" si="0"/>
        <v>0</v>
      </c>
      <c r="BG16" s="292"/>
      <c r="BH16" s="292"/>
      <c r="BI16" s="292"/>
      <c r="BJ16" s="194">
        <f t="shared" si="1"/>
        <v>0</v>
      </c>
    </row>
    <row r="17" spans="1:64" ht="12" customHeight="1" x14ac:dyDescent="0.35">
      <c r="A17" s="220">
        <v>9257015</v>
      </c>
      <c r="B17" s="1916" t="s">
        <v>94</v>
      </c>
      <c r="C17" s="1917"/>
      <c r="D17" s="1917"/>
      <c r="E17" s="1917"/>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2"/>
        <v>86758</v>
      </c>
      <c r="Z17" s="194">
        <f>I17</f>
        <v>35258</v>
      </c>
      <c r="AA17" s="194"/>
      <c r="AB17" s="194">
        <f>Q17*(5/12)</f>
        <v>21458.333333333336</v>
      </c>
      <c r="AC17" s="367"/>
      <c r="AD17" s="194"/>
      <c r="AE17" s="194">
        <f t="shared" si="3"/>
        <v>56716.333333333336</v>
      </c>
      <c r="AG17" s="194">
        <v>35258</v>
      </c>
      <c r="AH17" s="194"/>
      <c r="AI17" s="194">
        <v>0</v>
      </c>
      <c r="AJ17" s="367"/>
      <c r="AK17" s="194"/>
      <c r="AL17" s="194">
        <f t="shared" si="4"/>
        <v>35258</v>
      </c>
      <c r="AN17" s="194">
        <v>26443.5</v>
      </c>
      <c r="AO17" s="194"/>
      <c r="AP17" s="194">
        <v>0</v>
      </c>
      <c r="AQ17" s="367"/>
      <c r="AR17" s="194"/>
      <c r="AS17" s="194">
        <f t="shared" si="5"/>
        <v>26443.5</v>
      </c>
      <c r="AU17" s="194">
        <v>35258</v>
      </c>
      <c r="AV17" s="194"/>
      <c r="AW17" s="194">
        <v>0</v>
      </c>
      <c r="AX17" s="367"/>
      <c r="AY17" s="194"/>
      <c r="AZ17" s="194">
        <f t="shared" si="6"/>
        <v>35258</v>
      </c>
      <c r="BB17" s="955">
        <v>35258</v>
      </c>
      <c r="BC17" s="194"/>
      <c r="BD17" s="194"/>
      <c r="BE17" s="194">
        <f t="shared" si="0"/>
        <v>35258</v>
      </c>
      <c r="BG17" s="292">
        <f>35258+12500</f>
        <v>47758</v>
      </c>
      <c r="BH17" s="292"/>
      <c r="BI17" s="292"/>
      <c r="BJ17" s="194">
        <f t="shared" si="1"/>
        <v>47758</v>
      </c>
      <c r="BL17" s="189" t="s">
        <v>925</v>
      </c>
    </row>
    <row r="18" spans="1:64" ht="12" customHeight="1" x14ac:dyDescent="0.35">
      <c r="A18" s="220">
        <v>9257016</v>
      </c>
      <c r="B18" s="1916" t="s">
        <v>95</v>
      </c>
      <c r="C18" s="1917"/>
      <c r="D18" s="1917"/>
      <c r="E18" s="1917"/>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2"/>
        <v>731504</v>
      </c>
      <c r="Z18" s="194"/>
      <c r="AA18" s="194">
        <f>L18*(5/12)</f>
        <v>25000</v>
      </c>
      <c r="AB18" s="194">
        <f>Q18*(5/12)</f>
        <v>37056.666666666672</v>
      </c>
      <c r="AC18" s="367"/>
      <c r="AD18" s="194">
        <f>U18</f>
        <v>582568</v>
      </c>
      <c r="AE18" s="194">
        <f t="shared" si="3"/>
        <v>644624.66666666663</v>
      </c>
      <c r="AG18" s="194"/>
      <c r="AH18" s="194">
        <v>0</v>
      </c>
      <c r="AI18" s="194">
        <v>140436</v>
      </c>
      <c r="AJ18" s="367"/>
      <c r="AK18" s="194">
        <v>582568</v>
      </c>
      <c r="AL18" s="194">
        <f t="shared" si="4"/>
        <v>723004</v>
      </c>
      <c r="AN18" s="194"/>
      <c r="AO18" s="194">
        <v>0</v>
      </c>
      <c r="AP18" s="194">
        <v>140436</v>
      </c>
      <c r="AQ18" s="367"/>
      <c r="AR18" s="194">
        <v>582568</v>
      </c>
      <c r="AS18" s="194">
        <f t="shared" si="5"/>
        <v>723004</v>
      </c>
      <c r="AU18" s="194"/>
      <c r="AV18" s="194">
        <v>0</v>
      </c>
      <c r="AW18" s="194">
        <v>140436</v>
      </c>
      <c r="AX18" s="367"/>
      <c r="AY18" s="194">
        <v>582568</v>
      </c>
      <c r="AZ18" s="194">
        <f t="shared" si="6"/>
        <v>723004</v>
      </c>
      <c r="BB18" s="955"/>
      <c r="BC18" s="954">
        <v>140436</v>
      </c>
      <c r="BD18" s="194">
        <v>582568</v>
      </c>
      <c r="BE18" s="194">
        <f t="shared" si="0"/>
        <v>723004</v>
      </c>
      <c r="BG18" s="292"/>
      <c r="BH18" s="292">
        <f>140436/12*5</f>
        <v>58515</v>
      </c>
      <c r="BI18" s="292">
        <v>582568</v>
      </c>
      <c r="BJ18" s="194">
        <f t="shared" si="1"/>
        <v>641083</v>
      </c>
      <c r="BL18" s="189" t="s">
        <v>927</v>
      </c>
    </row>
    <row r="19" spans="1:64" ht="12" customHeight="1" x14ac:dyDescent="0.35">
      <c r="A19" s="220">
        <v>9257032</v>
      </c>
      <c r="B19" s="1918" t="s">
        <v>165</v>
      </c>
      <c r="C19" s="1919"/>
      <c r="D19" s="1919"/>
      <c r="E19" s="1920"/>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2"/>
        <v>60000</v>
      </c>
      <c r="Z19" s="194"/>
      <c r="AA19" s="194">
        <f>L19*(5/12)</f>
        <v>25000</v>
      </c>
      <c r="AB19" s="194"/>
      <c r="AC19" s="367"/>
      <c r="AD19" s="194"/>
      <c r="AE19" s="194">
        <f t="shared" si="3"/>
        <v>25000</v>
      </c>
      <c r="AG19" s="194"/>
      <c r="AH19" s="194">
        <v>0</v>
      </c>
      <c r="AI19" s="194"/>
      <c r="AJ19" s="367"/>
      <c r="AK19" s="194"/>
      <c r="AL19" s="194">
        <f t="shared" si="4"/>
        <v>0</v>
      </c>
      <c r="AN19" s="194"/>
      <c r="AO19" s="194">
        <v>0</v>
      </c>
      <c r="AP19" s="194"/>
      <c r="AQ19" s="367"/>
      <c r="AR19" s="194"/>
      <c r="AS19" s="194">
        <f t="shared" si="5"/>
        <v>0</v>
      </c>
      <c r="AU19" s="194"/>
      <c r="AV19" s="194">
        <v>0</v>
      </c>
      <c r="AW19" s="194"/>
      <c r="AX19" s="367"/>
      <c r="AY19" s="194"/>
      <c r="AZ19" s="194">
        <f t="shared" si="6"/>
        <v>0</v>
      </c>
      <c r="BB19" s="955"/>
      <c r="BC19" s="194"/>
      <c r="BD19" s="194"/>
      <c r="BE19" s="194">
        <f t="shared" si="0"/>
        <v>0</v>
      </c>
      <c r="BG19" s="292"/>
      <c r="BH19" s="292"/>
      <c r="BI19" s="292"/>
      <c r="BJ19" s="194">
        <f t="shared" si="1"/>
        <v>0</v>
      </c>
    </row>
    <row r="20" spans="1:64" ht="12" customHeight="1" x14ac:dyDescent="0.35">
      <c r="A20" s="220">
        <v>9257025</v>
      </c>
      <c r="B20" s="1916" t="s">
        <v>52</v>
      </c>
      <c r="C20" s="1917"/>
      <c r="D20" s="1917"/>
      <c r="E20" s="1917"/>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2"/>
        <v>401527</v>
      </c>
      <c r="Z20" s="194">
        <f>I20</f>
        <v>35258</v>
      </c>
      <c r="AA20" s="194"/>
      <c r="AB20" s="194"/>
      <c r="AC20" s="194">
        <f>51500*(5/12)</f>
        <v>21458.333333333336</v>
      </c>
      <c r="AD20" s="194">
        <f>U20</f>
        <v>327644</v>
      </c>
      <c r="AE20" s="194">
        <f t="shared" si="3"/>
        <v>384360.33333333331</v>
      </c>
      <c r="AG20" s="194">
        <v>35258</v>
      </c>
      <c r="AH20" s="194"/>
      <c r="AI20" s="194"/>
      <c r="AJ20" s="194">
        <v>0</v>
      </c>
      <c r="AK20" s="194">
        <f>327644+209307</f>
        <v>536951</v>
      </c>
      <c r="AL20" s="194">
        <f t="shared" si="4"/>
        <v>572209</v>
      </c>
      <c r="AN20" s="194">
        <v>26443.5</v>
      </c>
      <c r="AO20" s="194"/>
      <c r="AP20" s="194"/>
      <c r="AQ20" s="194">
        <v>0</v>
      </c>
      <c r="AR20" s="194">
        <f>327644+209307</f>
        <v>536951</v>
      </c>
      <c r="AS20" s="194">
        <f t="shared" si="5"/>
        <v>563394.5</v>
      </c>
      <c r="AU20" s="194">
        <v>35258</v>
      </c>
      <c r="AV20" s="194"/>
      <c r="AW20" s="194"/>
      <c r="AX20" s="194">
        <v>0</v>
      </c>
      <c r="AY20" s="194">
        <f>327644+209307</f>
        <v>536951</v>
      </c>
      <c r="AZ20" s="194">
        <f t="shared" si="6"/>
        <v>572209</v>
      </c>
      <c r="BB20" s="955">
        <v>35258</v>
      </c>
      <c r="BC20" s="194"/>
      <c r="BD20" s="194">
        <f>327644+209307</f>
        <v>536951</v>
      </c>
      <c r="BE20" s="194">
        <f t="shared" si="0"/>
        <v>572209</v>
      </c>
      <c r="BG20" s="292">
        <f>35258*2</f>
        <v>70516</v>
      </c>
      <c r="BH20" s="292"/>
      <c r="BI20" s="292">
        <f>327644+209307</f>
        <v>536951</v>
      </c>
      <c r="BJ20" s="194">
        <f t="shared" si="1"/>
        <v>607467</v>
      </c>
      <c r="BL20" s="189" t="s">
        <v>928</v>
      </c>
    </row>
    <row r="21" spans="1:64" ht="12" customHeight="1" x14ac:dyDescent="0.35">
      <c r="A21" s="220">
        <v>9257011</v>
      </c>
      <c r="B21" s="1916" t="s">
        <v>89</v>
      </c>
      <c r="C21" s="1917"/>
      <c r="D21" s="1917"/>
      <c r="E21" s="1917"/>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2"/>
        <v>54570.5</v>
      </c>
      <c r="Z21" s="194">
        <f>I21</f>
        <v>35258</v>
      </c>
      <c r="AA21" s="194"/>
      <c r="AB21" s="194"/>
      <c r="AC21" s="194">
        <f>(51500)*(5/12)</f>
        <v>21458.333333333336</v>
      </c>
      <c r="AD21" s="194"/>
      <c r="AE21" s="194">
        <f t="shared" si="3"/>
        <v>56716.333333333336</v>
      </c>
      <c r="AG21" s="194">
        <v>35258</v>
      </c>
      <c r="AH21" s="194"/>
      <c r="AI21" s="194"/>
      <c r="AJ21" s="194">
        <v>0</v>
      </c>
      <c r="AK21" s="194"/>
      <c r="AL21" s="194">
        <f t="shared" si="4"/>
        <v>35258</v>
      </c>
      <c r="AN21" s="194">
        <v>26443.5</v>
      </c>
      <c r="AO21" s="194"/>
      <c r="AP21" s="194"/>
      <c r="AQ21" s="194">
        <v>0</v>
      </c>
      <c r="AR21" s="194"/>
      <c r="AS21" s="194">
        <f t="shared" si="5"/>
        <v>26443.5</v>
      </c>
      <c r="AU21" s="194">
        <v>35258</v>
      </c>
      <c r="AV21" s="194"/>
      <c r="AW21" s="194"/>
      <c r="AX21" s="194">
        <v>0</v>
      </c>
      <c r="AY21" s="194"/>
      <c r="AZ21" s="194">
        <f t="shared" si="6"/>
        <v>35258</v>
      </c>
      <c r="BB21" s="955">
        <v>35258</v>
      </c>
      <c r="BC21" s="194"/>
      <c r="BD21" s="194"/>
      <c r="BE21" s="194">
        <f t="shared" si="0"/>
        <v>35258</v>
      </c>
      <c r="BG21" s="292">
        <v>35258</v>
      </c>
      <c r="BH21" s="194"/>
      <c r="BI21" s="194"/>
      <c r="BJ21" s="194">
        <f t="shared" si="1"/>
        <v>35258</v>
      </c>
    </row>
    <row r="22" spans="1:64" ht="12" customHeight="1" x14ac:dyDescent="0.35">
      <c r="A22" s="220">
        <v>9257009</v>
      </c>
      <c r="B22" s="1916" t="s">
        <v>93</v>
      </c>
      <c r="C22" s="1917"/>
      <c r="D22" s="1917"/>
      <c r="E22" s="1917"/>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2"/>
        <v>19312.5</v>
      </c>
      <c r="Z22" s="194"/>
      <c r="AA22" s="194"/>
      <c r="AB22" s="194"/>
      <c r="AC22" s="194">
        <f>(51500)*(5/12)</f>
        <v>21458.333333333336</v>
      </c>
      <c r="AD22" s="194"/>
      <c r="AE22" s="194">
        <f t="shared" si="3"/>
        <v>21458.333333333336</v>
      </c>
      <c r="AG22" s="194"/>
      <c r="AH22" s="194"/>
      <c r="AI22" s="194"/>
      <c r="AJ22" s="194">
        <v>0</v>
      </c>
      <c r="AK22" s="194"/>
      <c r="AL22" s="194">
        <f t="shared" si="4"/>
        <v>0</v>
      </c>
      <c r="AN22" s="194"/>
      <c r="AO22" s="194"/>
      <c r="AP22" s="194"/>
      <c r="AQ22" s="194">
        <v>0</v>
      </c>
      <c r="AR22" s="194"/>
      <c r="AS22" s="194">
        <f t="shared" si="5"/>
        <v>0</v>
      </c>
      <c r="AU22" s="194"/>
      <c r="AV22" s="194"/>
      <c r="AW22" s="194"/>
      <c r="AX22" s="194">
        <v>0</v>
      </c>
      <c r="AY22" s="194"/>
      <c r="AZ22" s="194">
        <f t="shared" si="6"/>
        <v>0</v>
      </c>
      <c r="BB22" s="955"/>
      <c r="BC22" s="194"/>
      <c r="BD22" s="194"/>
      <c r="BE22" s="194">
        <f t="shared" si="0"/>
        <v>0</v>
      </c>
      <c r="BG22" s="292"/>
      <c r="BH22" s="194"/>
      <c r="BI22" s="194"/>
      <c r="BJ22" s="194">
        <f t="shared" si="1"/>
        <v>0</v>
      </c>
    </row>
    <row r="23" spans="1:64" ht="12" customHeight="1" x14ac:dyDescent="0.35">
      <c r="A23" s="220">
        <v>9257024</v>
      </c>
      <c r="B23" s="1916" t="s">
        <v>90</v>
      </c>
      <c r="C23" s="1917"/>
      <c r="D23" s="1917"/>
      <c r="E23" s="1917"/>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2"/>
        <v>95258</v>
      </c>
      <c r="Z23" s="194">
        <f>I23</f>
        <v>35258</v>
      </c>
      <c r="AA23" s="194">
        <f>L23*(5/12)</f>
        <v>25000</v>
      </c>
      <c r="AB23" s="194"/>
      <c r="AC23" s="367"/>
      <c r="AD23" s="194"/>
      <c r="AE23" s="194">
        <f t="shared" si="3"/>
        <v>60258</v>
      </c>
      <c r="AG23" s="194">
        <v>35258</v>
      </c>
      <c r="AH23" s="194">
        <v>0</v>
      </c>
      <c r="AI23" s="194"/>
      <c r="AJ23" s="367"/>
      <c r="AK23" s="194"/>
      <c r="AL23" s="194">
        <f t="shared" si="4"/>
        <v>35258</v>
      </c>
      <c r="AN23" s="194">
        <v>26443.5</v>
      </c>
      <c r="AO23" s="194">
        <v>0</v>
      </c>
      <c r="AP23" s="194"/>
      <c r="AQ23" s="367"/>
      <c r="AR23" s="194"/>
      <c r="AS23" s="194">
        <f t="shared" si="5"/>
        <v>26443.5</v>
      </c>
      <c r="AU23" s="194">
        <v>35258</v>
      </c>
      <c r="AV23" s="194">
        <v>0</v>
      </c>
      <c r="AW23" s="194"/>
      <c r="AX23" s="367"/>
      <c r="AY23" s="194"/>
      <c r="AZ23" s="194">
        <f t="shared" si="6"/>
        <v>35258</v>
      </c>
      <c r="BB23" s="955">
        <v>35258</v>
      </c>
      <c r="BC23" s="194"/>
      <c r="BD23" s="194"/>
      <c r="BE23" s="194">
        <f t="shared" si="0"/>
        <v>35258</v>
      </c>
      <c r="BG23" s="292">
        <v>35258</v>
      </c>
      <c r="BH23" s="194"/>
      <c r="BI23" s="194"/>
      <c r="BJ23" s="194">
        <f t="shared" si="1"/>
        <v>35258</v>
      </c>
    </row>
    <row r="24" spans="1:64" ht="12" customHeight="1" x14ac:dyDescent="0.35">
      <c r="A24" s="220">
        <v>9257028</v>
      </c>
      <c r="B24" s="1916" t="s">
        <v>135</v>
      </c>
      <c r="C24" s="1917"/>
      <c r="D24" s="1917"/>
      <c r="E24" s="1917"/>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2"/>
        <v>95258</v>
      </c>
      <c r="Z24" s="194">
        <f>I24</f>
        <v>35258</v>
      </c>
      <c r="AA24" s="194"/>
      <c r="AB24" s="194"/>
      <c r="AC24" s="367"/>
      <c r="AD24" s="194"/>
      <c r="AE24" s="194">
        <f t="shared" si="3"/>
        <v>35258</v>
      </c>
      <c r="AG24" s="194">
        <v>35258</v>
      </c>
      <c r="AH24" s="194"/>
      <c r="AI24" s="194"/>
      <c r="AJ24" s="367"/>
      <c r="AK24" s="194"/>
      <c r="AL24" s="194">
        <f t="shared" si="4"/>
        <v>35258</v>
      </c>
      <c r="AN24" s="194">
        <v>26443.5</v>
      </c>
      <c r="AO24" s="194"/>
      <c r="AP24" s="194"/>
      <c r="AQ24" s="367"/>
      <c r="AR24" s="194"/>
      <c r="AS24" s="194">
        <f t="shared" si="5"/>
        <v>26443.5</v>
      </c>
      <c r="AU24" s="194">
        <v>35258</v>
      </c>
      <c r="AV24" s="194"/>
      <c r="AW24" s="194"/>
      <c r="AX24" s="367"/>
      <c r="AY24" s="194"/>
      <c r="AZ24" s="194">
        <f t="shared" si="6"/>
        <v>35258</v>
      </c>
      <c r="BB24" s="955">
        <v>35258</v>
      </c>
      <c r="BC24" s="194"/>
      <c r="BD24" s="194"/>
      <c r="BE24" s="194">
        <f t="shared" si="0"/>
        <v>35258</v>
      </c>
      <c r="BG24" s="292">
        <v>35258</v>
      </c>
      <c r="BH24" s="194"/>
      <c r="BI24" s="194"/>
      <c r="BJ24" s="194">
        <f t="shared" si="1"/>
        <v>35258</v>
      </c>
    </row>
    <row r="25" spans="1:64" ht="12" customHeight="1" x14ac:dyDescent="0.35">
      <c r="A25" s="220">
        <v>9257029</v>
      </c>
      <c r="B25" s="2013" t="s">
        <v>849</v>
      </c>
      <c r="C25" s="1922"/>
      <c r="D25" s="1922"/>
      <c r="E25" s="1923"/>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2"/>
        <v>60000</v>
      </c>
      <c r="Z25" s="194"/>
      <c r="AA25" s="194">
        <f>L25*(5/12)</f>
        <v>25000</v>
      </c>
      <c r="AB25" s="194"/>
      <c r="AC25" s="367"/>
      <c r="AD25" s="194"/>
      <c r="AE25" s="194">
        <f t="shared" si="3"/>
        <v>25000</v>
      </c>
      <c r="AG25" s="194"/>
      <c r="AH25" s="194">
        <v>0</v>
      </c>
      <c r="AI25" s="194"/>
      <c r="AJ25" s="367"/>
      <c r="AK25" s="194"/>
      <c r="AL25" s="194">
        <f t="shared" si="4"/>
        <v>0</v>
      </c>
      <c r="AN25" s="194"/>
      <c r="AO25" s="194">
        <v>0</v>
      </c>
      <c r="AP25" s="194"/>
      <c r="AQ25" s="367"/>
      <c r="AR25" s="194"/>
      <c r="AS25" s="194">
        <f t="shared" si="5"/>
        <v>0</v>
      </c>
      <c r="AU25" s="194"/>
      <c r="AV25" s="194">
        <v>0</v>
      </c>
      <c r="AW25" s="194"/>
      <c r="AX25" s="367"/>
      <c r="AY25" s="194"/>
      <c r="AZ25" s="194">
        <f t="shared" si="6"/>
        <v>0</v>
      </c>
      <c r="BB25" s="194"/>
      <c r="BC25" s="194"/>
      <c r="BD25" s="194"/>
      <c r="BE25" s="194">
        <f t="shared" si="0"/>
        <v>0</v>
      </c>
      <c r="BG25" s="194"/>
      <c r="BH25" s="194"/>
      <c r="BI25" s="194"/>
      <c r="BJ25" s="194">
        <f t="shared" si="1"/>
        <v>0</v>
      </c>
    </row>
    <row r="26" spans="1:64" ht="12" customHeight="1" x14ac:dyDescent="0.35">
      <c r="B26" s="1924" t="s">
        <v>62</v>
      </c>
      <c r="C26" s="1924"/>
      <c r="D26" s="1924"/>
      <c r="E26" s="1924"/>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3"/>
        <v>1536257.3333333335</v>
      </c>
      <c r="AG26" s="194">
        <f>SUM(AG7:AG25)</f>
        <v>317322</v>
      </c>
      <c r="AH26" s="194">
        <f>SUM(AH7:AH25)</f>
        <v>0</v>
      </c>
      <c r="AI26" s="194">
        <f>SUM(AI7:AI25)</f>
        <v>757936</v>
      </c>
      <c r="AJ26" s="194">
        <f>SUM(AJ7:AJ25)</f>
        <v>0</v>
      </c>
      <c r="AK26" s="194">
        <f>SUM(AK7:AK25)</f>
        <v>1119519</v>
      </c>
      <c r="AL26" s="194">
        <f t="shared" si="4"/>
        <v>2194777</v>
      </c>
      <c r="AN26" s="194">
        <f>SUM(AN7:AN25)</f>
        <v>237991.5</v>
      </c>
      <c r="AO26" s="194">
        <f>SUM(AO7:AO25)</f>
        <v>0</v>
      </c>
      <c r="AP26" s="194">
        <f>SUM(AP7:AP25)</f>
        <v>757936</v>
      </c>
      <c r="AQ26" s="194">
        <f>SUM(AQ7:AQ25)</f>
        <v>0</v>
      </c>
      <c r="AR26" s="194">
        <f>SUM(AR7:AR25)</f>
        <v>1119519</v>
      </c>
      <c r="AS26" s="194">
        <f t="shared" si="5"/>
        <v>2115446.5</v>
      </c>
      <c r="AU26" s="194">
        <f>SUM(AU7:AU25)</f>
        <v>317322</v>
      </c>
      <c r="AV26" s="194">
        <f>SUM(AV7:AV25)</f>
        <v>0</v>
      </c>
      <c r="AW26" s="194">
        <f>SUM(AW7:AW25)</f>
        <v>757936</v>
      </c>
      <c r="AX26" s="194">
        <f>SUM(AX7:AX25)</f>
        <v>0</v>
      </c>
      <c r="AY26" s="194">
        <f>SUM(AY7:AY25)</f>
        <v>1119519</v>
      </c>
      <c r="AZ26" s="194">
        <f t="shared" si="6"/>
        <v>2194777</v>
      </c>
      <c r="BB26" s="194">
        <f>SUM(BB7:BB25)</f>
        <v>317322</v>
      </c>
      <c r="BC26" s="194">
        <f>SUM(BC7:BC25)</f>
        <v>757936</v>
      </c>
      <c r="BD26" s="194">
        <f>SUM(BD7:BD25)</f>
        <v>1119519</v>
      </c>
      <c r="BE26" s="194">
        <f t="shared" si="0"/>
        <v>2194777</v>
      </c>
      <c r="BG26" s="194">
        <f>SUM(BG7:BG25)</f>
        <v>329822</v>
      </c>
      <c r="BH26" s="194">
        <f>SUM(BH7:BH25)</f>
        <v>315806.66666666669</v>
      </c>
      <c r="BI26" s="194">
        <f>SUM(BI7:BI25)</f>
        <v>1119519</v>
      </c>
      <c r="BJ26" s="194">
        <f t="shared" si="1"/>
        <v>1765147.6666666667</v>
      </c>
    </row>
    <row r="27" spans="1:64" ht="15" customHeight="1" x14ac:dyDescent="0.35"/>
    <row r="28" spans="1:64" ht="15" hidden="1" customHeight="1" x14ac:dyDescent="0.35">
      <c r="B28" s="199" t="s">
        <v>115</v>
      </c>
    </row>
    <row r="29" spans="1:64" ht="15" hidden="1" customHeight="1" x14ac:dyDescent="0.35">
      <c r="B29" s="200" t="s">
        <v>213</v>
      </c>
    </row>
    <row r="30" spans="1:64" ht="15" hidden="1" customHeight="1" x14ac:dyDescent="0.35">
      <c r="B30" s="1930" t="s">
        <v>223</v>
      </c>
      <c r="C30" s="1930"/>
      <c r="D30" s="1930"/>
      <c r="E30" s="1930"/>
      <c r="F30" s="1930"/>
      <c r="G30" s="1930"/>
      <c r="H30" s="1930"/>
      <c r="I30" s="1930"/>
      <c r="J30" s="1930"/>
      <c r="K30" s="1930"/>
      <c r="L30" s="1930"/>
      <c r="M30" s="1930"/>
      <c r="N30" s="1930"/>
      <c r="O30" s="1930"/>
      <c r="P30" s="1930"/>
      <c r="Q30" s="1930"/>
      <c r="R30" s="1930"/>
      <c r="S30" s="1930"/>
      <c r="T30" s="1930"/>
      <c r="U30" s="1930"/>
      <c r="V30" s="1930"/>
    </row>
    <row r="31" spans="1:64" ht="15" hidden="1" customHeight="1" x14ac:dyDescent="0.35">
      <c r="B31" s="1930"/>
      <c r="C31" s="1930"/>
      <c r="D31" s="1930"/>
      <c r="E31" s="1930"/>
      <c r="F31" s="1930"/>
      <c r="G31" s="1930"/>
      <c r="H31" s="1930"/>
      <c r="I31" s="1930"/>
      <c r="J31" s="1930"/>
      <c r="K31" s="1930"/>
      <c r="L31" s="1930"/>
      <c r="M31" s="1930"/>
      <c r="N31" s="1930"/>
      <c r="O31" s="1930"/>
      <c r="P31" s="1930"/>
      <c r="Q31" s="1930"/>
      <c r="R31" s="1930"/>
      <c r="S31" s="1930"/>
      <c r="T31" s="1930"/>
      <c r="U31" s="1930"/>
      <c r="V31" s="1930"/>
    </row>
    <row r="32" spans="1:64" ht="15" hidden="1" customHeight="1" x14ac:dyDescent="0.35">
      <c r="B32" s="1930"/>
      <c r="C32" s="1930"/>
      <c r="D32" s="1930"/>
      <c r="E32" s="1930"/>
      <c r="F32" s="1930"/>
      <c r="G32" s="1930"/>
      <c r="H32" s="1930"/>
      <c r="I32" s="1930"/>
      <c r="J32" s="1930"/>
      <c r="K32" s="1930"/>
      <c r="L32" s="1930"/>
      <c r="M32" s="1930"/>
      <c r="N32" s="1930"/>
      <c r="O32" s="1930"/>
      <c r="P32" s="1930"/>
      <c r="Q32" s="1930"/>
      <c r="R32" s="1930"/>
      <c r="S32" s="1930"/>
      <c r="T32" s="1930"/>
      <c r="U32" s="1930"/>
      <c r="V32" s="1930"/>
    </row>
    <row r="33" spans="1:28" ht="18.75" hidden="1" customHeight="1" x14ac:dyDescent="0.35">
      <c r="B33" s="1930"/>
      <c r="C33" s="1930"/>
      <c r="D33" s="1930"/>
      <c r="E33" s="1930"/>
      <c r="F33" s="1930"/>
      <c r="G33" s="1930"/>
      <c r="H33" s="1930"/>
      <c r="I33" s="1930"/>
      <c r="J33" s="1930"/>
      <c r="K33" s="1930"/>
      <c r="L33" s="1930"/>
      <c r="M33" s="1930"/>
      <c r="N33" s="1930"/>
      <c r="O33" s="1930"/>
      <c r="P33" s="1930"/>
      <c r="Q33" s="1930"/>
      <c r="R33" s="1930"/>
      <c r="S33" s="1930"/>
      <c r="T33" s="1930"/>
      <c r="U33" s="1930"/>
      <c r="V33" s="1930"/>
    </row>
    <row r="34" spans="1:28" ht="15" hidden="1" customHeight="1" x14ac:dyDescent="0.35">
      <c r="B34" s="201"/>
      <c r="C34" s="201"/>
      <c r="D34" s="201"/>
      <c r="E34" s="201"/>
      <c r="F34" s="201"/>
      <c r="G34" s="201"/>
      <c r="H34" s="201"/>
      <c r="I34" s="201"/>
      <c r="J34" s="1000"/>
      <c r="K34" s="1000"/>
      <c r="L34" s="1000"/>
      <c r="M34" s="201"/>
      <c r="N34" s="201"/>
    </row>
    <row r="35" spans="1:28" ht="15" hidden="1" customHeight="1" x14ac:dyDescent="0.35">
      <c r="B35" s="200" t="s">
        <v>139</v>
      </c>
    </row>
    <row r="36" spans="1:28" ht="15" hidden="1" customHeight="1" x14ac:dyDescent="0.35">
      <c r="B36" s="1930" t="s">
        <v>214</v>
      </c>
      <c r="C36" s="1930"/>
      <c r="D36" s="1930"/>
      <c r="E36" s="1930"/>
      <c r="F36" s="1930"/>
      <c r="G36" s="1930"/>
      <c r="H36" s="1930"/>
      <c r="I36" s="1930"/>
      <c r="J36" s="1930"/>
      <c r="K36" s="1930"/>
      <c r="L36" s="1930"/>
      <c r="M36" s="1930"/>
      <c r="N36" s="1930"/>
      <c r="O36" s="1930"/>
      <c r="P36" s="1930"/>
      <c r="Q36" s="1930"/>
      <c r="R36" s="1930"/>
      <c r="S36" s="1930"/>
      <c r="T36" s="1930"/>
      <c r="U36" s="1930"/>
      <c r="V36" s="1930"/>
    </row>
    <row r="37" spans="1:28" ht="15" hidden="1" customHeight="1" x14ac:dyDescent="0.35">
      <c r="B37" s="1930"/>
      <c r="C37" s="1930"/>
      <c r="D37" s="1930"/>
      <c r="E37" s="1930"/>
      <c r="F37" s="1930"/>
      <c r="G37" s="1930"/>
      <c r="H37" s="1930"/>
      <c r="I37" s="1930"/>
      <c r="J37" s="1930"/>
      <c r="K37" s="1930"/>
      <c r="L37" s="1930"/>
      <c r="M37" s="1930"/>
      <c r="N37" s="1930"/>
      <c r="O37" s="1930"/>
      <c r="P37" s="1930"/>
      <c r="Q37" s="1930"/>
      <c r="R37" s="1930"/>
      <c r="S37" s="1930"/>
      <c r="T37" s="1930"/>
      <c r="U37" s="1930"/>
      <c r="V37" s="1930"/>
    </row>
    <row r="38" spans="1:28" ht="23.25" hidden="1" customHeight="1" x14ac:dyDescent="0.35">
      <c r="B38" s="1930"/>
      <c r="C38" s="1930"/>
      <c r="D38" s="1930"/>
      <c r="E38" s="1930"/>
      <c r="F38" s="1930"/>
      <c r="G38" s="1930"/>
      <c r="H38" s="1930"/>
      <c r="I38" s="1930"/>
      <c r="J38" s="1930"/>
      <c r="K38" s="1930"/>
      <c r="L38" s="1930"/>
      <c r="M38" s="1930"/>
      <c r="N38" s="1930"/>
      <c r="O38" s="1930"/>
      <c r="P38" s="1930"/>
      <c r="Q38" s="1930"/>
      <c r="R38" s="1930"/>
      <c r="S38" s="1930"/>
      <c r="T38" s="1930"/>
      <c r="U38" s="1930"/>
      <c r="V38" s="1930"/>
    </row>
    <row r="39" spans="1:28" s="205" customFormat="1" hidden="1" x14ac:dyDescent="0.3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idden="1" x14ac:dyDescent="0.3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35">
      <c r="A41" s="188"/>
      <c r="B41" s="1931" t="s">
        <v>216</v>
      </c>
      <c r="C41" s="1931"/>
      <c r="D41" s="1931"/>
      <c r="E41" s="1931"/>
      <c r="F41" s="1931"/>
      <c r="G41" s="1931"/>
      <c r="H41" s="1931"/>
      <c r="I41" s="1931"/>
      <c r="J41" s="1931"/>
      <c r="K41" s="1931"/>
      <c r="L41" s="1931"/>
      <c r="M41" s="1931"/>
      <c r="N41" s="1931"/>
      <c r="O41" s="1931"/>
      <c r="P41" s="1931"/>
      <c r="Q41" s="1931"/>
      <c r="R41" s="1931"/>
      <c r="S41" s="1931"/>
      <c r="T41" s="1931"/>
      <c r="U41" s="1931"/>
      <c r="V41" s="1931"/>
      <c r="W41" s="204"/>
      <c r="X41" s="204"/>
      <c r="Y41" s="188"/>
      <c r="Z41" s="204"/>
      <c r="AA41" s="204"/>
      <c r="AB41" s="204"/>
    </row>
    <row r="42" spans="1:28" s="205" customFormat="1" hidden="1" x14ac:dyDescent="0.35">
      <c r="A42" s="188"/>
      <c r="B42" s="1931"/>
      <c r="C42" s="1931"/>
      <c r="D42" s="1931"/>
      <c r="E42" s="1931"/>
      <c r="F42" s="1931"/>
      <c r="G42" s="1931"/>
      <c r="H42" s="1931"/>
      <c r="I42" s="1931"/>
      <c r="J42" s="1931"/>
      <c r="K42" s="1931"/>
      <c r="L42" s="1931"/>
      <c r="M42" s="1931"/>
      <c r="N42" s="1931"/>
      <c r="O42" s="1931"/>
      <c r="P42" s="1931"/>
      <c r="Q42" s="1931"/>
      <c r="R42" s="1931"/>
      <c r="S42" s="1931"/>
      <c r="T42" s="1931"/>
      <c r="U42" s="1931"/>
      <c r="V42" s="1931"/>
      <c r="W42" s="204"/>
      <c r="X42" s="204"/>
      <c r="Y42" s="188"/>
      <c r="Z42" s="204"/>
      <c r="AA42" s="204"/>
      <c r="AB42" s="204"/>
    </row>
    <row r="43" spans="1:28" s="205" customFormat="1" hidden="1" x14ac:dyDescent="0.35">
      <c r="A43" s="188"/>
      <c r="B43" s="1931"/>
      <c r="C43" s="1931"/>
      <c r="D43" s="1931"/>
      <c r="E43" s="1931"/>
      <c r="F43" s="1931"/>
      <c r="G43" s="1931"/>
      <c r="H43" s="1931"/>
      <c r="I43" s="1931"/>
      <c r="J43" s="1931"/>
      <c r="K43" s="1931"/>
      <c r="L43" s="1931"/>
      <c r="M43" s="1931"/>
      <c r="N43" s="1931"/>
      <c r="O43" s="1931"/>
      <c r="P43" s="1931"/>
      <c r="Q43" s="1931"/>
      <c r="R43" s="1931"/>
      <c r="S43" s="1931"/>
      <c r="T43" s="1931"/>
      <c r="U43" s="1931"/>
      <c r="V43" s="1931"/>
      <c r="W43" s="204"/>
      <c r="X43" s="204"/>
      <c r="Y43" s="188"/>
      <c r="Z43" s="204"/>
      <c r="AA43" s="204"/>
      <c r="AB43" s="204"/>
    </row>
    <row r="44" spans="1:28" s="205" customFormat="1" hidden="1" x14ac:dyDescent="0.35">
      <c r="A44" s="188"/>
      <c r="B44" s="1931"/>
      <c r="C44" s="1931"/>
      <c r="D44" s="1931"/>
      <c r="E44" s="1931"/>
      <c r="F44" s="1931"/>
      <c r="G44" s="1931"/>
      <c r="H44" s="1931"/>
      <c r="I44" s="1931"/>
      <c r="J44" s="1931"/>
      <c r="K44" s="1931"/>
      <c r="L44" s="1931"/>
      <c r="M44" s="1931"/>
      <c r="N44" s="1931"/>
      <c r="O44" s="1931"/>
      <c r="P44" s="1931"/>
      <c r="Q44" s="1931"/>
      <c r="R44" s="1931"/>
      <c r="S44" s="1931"/>
      <c r="T44" s="1931"/>
      <c r="U44" s="1931"/>
      <c r="V44" s="1931"/>
      <c r="W44" s="204"/>
      <c r="X44" s="204"/>
      <c r="Y44" s="188"/>
      <c r="Z44" s="204"/>
      <c r="AA44" s="204"/>
      <c r="AB44" s="204"/>
    </row>
    <row r="45" spans="1:28" s="205" customFormat="1" ht="15" hidden="1" customHeight="1" x14ac:dyDescent="0.3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35">
      <c r="B46" s="1930" t="s">
        <v>217</v>
      </c>
      <c r="C46" s="1930"/>
      <c r="D46" s="1930"/>
      <c r="E46" s="1930"/>
      <c r="F46" s="1930"/>
      <c r="G46" s="1930"/>
      <c r="H46" s="1930"/>
      <c r="I46" s="1930"/>
      <c r="J46" s="1930"/>
      <c r="K46" s="1930"/>
      <c r="L46" s="1930"/>
      <c r="M46" s="1930"/>
      <c r="N46" s="1930"/>
      <c r="O46" s="1930"/>
      <c r="P46" s="1930"/>
      <c r="Q46" s="1930"/>
      <c r="R46" s="1930"/>
      <c r="S46" s="1930"/>
      <c r="T46" s="1930"/>
      <c r="U46" s="1930"/>
      <c r="V46" s="1930"/>
    </row>
    <row r="47" spans="1:28" hidden="1" x14ac:dyDescent="0.35">
      <c r="B47" s="1930"/>
      <c r="C47" s="1930"/>
      <c r="D47" s="1930"/>
      <c r="E47" s="1930"/>
      <c r="F47" s="1930"/>
      <c r="G47" s="1930"/>
      <c r="H47" s="1930"/>
      <c r="I47" s="1930"/>
      <c r="J47" s="1930"/>
      <c r="K47" s="1930"/>
      <c r="L47" s="1930"/>
      <c r="M47" s="1930"/>
      <c r="N47" s="1930"/>
      <c r="O47" s="1930"/>
      <c r="P47" s="1930"/>
      <c r="Q47" s="1930"/>
      <c r="R47" s="1930"/>
      <c r="S47" s="1930"/>
      <c r="T47" s="1930"/>
      <c r="U47" s="1930"/>
      <c r="V47" s="1930"/>
    </row>
    <row r="48" spans="1:28" ht="15" hidden="1" customHeight="1" x14ac:dyDescent="0.35">
      <c r="B48" s="1930" t="s">
        <v>221</v>
      </c>
      <c r="C48" s="1930"/>
      <c r="D48" s="1930"/>
      <c r="E48" s="1930"/>
      <c r="F48" s="1930"/>
      <c r="G48" s="1930"/>
      <c r="H48" s="1930"/>
      <c r="I48" s="1930"/>
      <c r="J48" s="1930"/>
      <c r="K48" s="1930"/>
      <c r="L48" s="1930"/>
      <c r="M48" s="1930"/>
      <c r="N48" s="1930"/>
      <c r="O48" s="1930"/>
      <c r="P48" s="1930"/>
      <c r="Q48" s="1930"/>
      <c r="R48" s="1930"/>
      <c r="S48" s="1930"/>
      <c r="T48" s="1930"/>
      <c r="U48" s="1930"/>
      <c r="V48" s="1930"/>
    </row>
    <row r="49" spans="1:39" ht="37.5" hidden="1" customHeight="1" x14ac:dyDescent="0.35">
      <c r="B49" s="1930"/>
      <c r="C49" s="1930"/>
      <c r="D49" s="1930"/>
      <c r="E49" s="1930"/>
      <c r="F49" s="1930"/>
      <c r="G49" s="1930"/>
      <c r="H49" s="1930"/>
      <c r="I49" s="1930"/>
      <c r="J49" s="1930"/>
      <c r="K49" s="1930"/>
      <c r="L49" s="1930"/>
      <c r="M49" s="1930"/>
      <c r="N49" s="1930"/>
      <c r="O49" s="1930"/>
      <c r="P49" s="1930"/>
      <c r="Q49" s="1930"/>
      <c r="R49" s="1930"/>
      <c r="S49" s="1930"/>
      <c r="T49" s="1930"/>
      <c r="U49" s="1930"/>
      <c r="V49" s="1930"/>
    </row>
    <row r="50" spans="1:39" ht="15" hidden="1" customHeight="1" x14ac:dyDescent="0.35"/>
    <row r="51" spans="1:39" ht="15" hidden="1" customHeight="1" x14ac:dyDescent="0.35">
      <c r="B51" s="200" t="s">
        <v>184</v>
      </c>
      <c r="F51" s="211" t="s">
        <v>142</v>
      </c>
      <c r="G51" s="211" t="s">
        <v>225</v>
      </c>
    </row>
    <row r="52" spans="1:39" ht="15" hidden="1" customHeight="1" x14ac:dyDescent="0.35">
      <c r="A52" s="188">
        <v>9257021</v>
      </c>
      <c r="B52" s="1908" t="s">
        <v>56</v>
      </c>
      <c r="C52" s="1909"/>
      <c r="D52" s="1909"/>
      <c r="E52" s="1932"/>
      <c r="F52" s="194">
        <v>274420</v>
      </c>
      <c r="G52" s="194">
        <f>F52*(3/12)</f>
        <v>68605</v>
      </c>
      <c r="J52" s="188" t="s">
        <v>226</v>
      </c>
    </row>
    <row r="53" spans="1:39" ht="15" hidden="1" customHeight="1" x14ac:dyDescent="0.35">
      <c r="A53" s="188">
        <v>9257016</v>
      </c>
      <c r="B53" s="1916" t="s">
        <v>95</v>
      </c>
      <c r="C53" s="1917"/>
      <c r="D53" s="1917"/>
      <c r="E53" s="1927"/>
      <c r="F53" s="194">
        <v>582568</v>
      </c>
      <c r="G53" s="194">
        <f>F53</f>
        <v>582568</v>
      </c>
    </row>
    <row r="54" spans="1:39" ht="15" hidden="1" customHeight="1" x14ac:dyDescent="0.35">
      <c r="A54" s="188">
        <v>9257025</v>
      </c>
      <c r="B54" s="1916" t="s">
        <v>52</v>
      </c>
      <c r="C54" s="1917"/>
      <c r="D54" s="1917"/>
      <c r="E54" s="1927"/>
      <c r="F54" s="194">
        <v>327644</v>
      </c>
      <c r="G54" s="194">
        <f>F54</f>
        <v>327644</v>
      </c>
    </row>
    <row r="55" spans="1:39" ht="15" hidden="1" customHeight="1" x14ac:dyDescent="0.35">
      <c r="F55" s="210">
        <f>SUM(F52:F54)</f>
        <v>1184632</v>
      </c>
      <c r="G55" s="212">
        <f>SUM(G52:G54)</f>
        <v>978817</v>
      </c>
      <c r="H55" s="187" t="s">
        <v>227</v>
      </c>
    </row>
    <row r="56" spans="1:39" ht="15" hidden="1" customHeight="1" x14ac:dyDescent="0.35">
      <c r="F56" s="208"/>
      <c r="G56" s="208"/>
    </row>
    <row r="57" spans="1:39" ht="15" hidden="1" customHeight="1" x14ac:dyDescent="0.35">
      <c r="B57" s="187" t="s">
        <v>224</v>
      </c>
    </row>
    <row r="58" spans="1:39" ht="15" hidden="1" customHeight="1" x14ac:dyDescent="0.35"/>
    <row r="59" spans="1:39" ht="15" customHeight="1" x14ac:dyDescent="0.3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35">
      <c r="AC60" s="366"/>
      <c r="AD60" s="208"/>
      <c r="AE60" s="208"/>
      <c r="AG60" s="621"/>
      <c r="AH60" s="621"/>
      <c r="AI60" s="621"/>
      <c r="AJ60" s="621"/>
      <c r="AK60" s="621"/>
      <c r="AL60" s="621"/>
      <c r="AM60" s="621"/>
    </row>
    <row r="61" spans="1:39" ht="15" customHeight="1" x14ac:dyDescent="0.3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35">
      <c r="AA62" s="208">
        <f>((L18+L19+L23+L24+L25)*(7/12))+L11</f>
        <v>235000</v>
      </c>
      <c r="AB62" s="366">
        <f>Q26*(7/12)</f>
        <v>111962.66666666667</v>
      </c>
      <c r="AC62" s="366">
        <f>(7/12)*206000</f>
        <v>120166.66666666667</v>
      </c>
      <c r="AD62" s="208"/>
      <c r="AE62" s="208"/>
      <c r="AG62" s="621"/>
      <c r="AH62" s="620"/>
      <c r="AI62" s="620" t="s">
        <v>402</v>
      </c>
      <c r="AJ62" s="620"/>
      <c r="AK62" s="1925" t="s">
        <v>563</v>
      </c>
      <c r="AL62" s="1925"/>
      <c r="AM62" s="621"/>
    </row>
    <row r="63" spans="1:39" ht="15" customHeight="1" x14ac:dyDescent="0.35">
      <c r="AC63" s="208"/>
      <c r="AD63" s="208"/>
      <c r="AE63" s="208"/>
      <c r="AG63" s="621"/>
      <c r="AH63" s="620"/>
      <c r="AI63" s="620"/>
      <c r="AJ63" s="620"/>
      <c r="AK63" s="1925"/>
      <c r="AL63" s="1925"/>
      <c r="AM63" s="621"/>
    </row>
    <row r="64" spans="1:39" ht="12" customHeight="1" x14ac:dyDescent="0.35">
      <c r="Z64" s="208">
        <f>I26</f>
        <v>317322</v>
      </c>
      <c r="AA64" s="208">
        <f>L26</f>
        <v>360000</v>
      </c>
      <c r="AB64" s="208">
        <f>Q26</f>
        <v>191936</v>
      </c>
      <c r="AC64" s="366">
        <f>206000</f>
        <v>206000</v>
      </c>
      <c r="AD64" s="366">
        <f>U26</f>
        <v>910212</v>
      </c>
      <c r="AE64" s="366">
        <f>SUM(Z64:AD64)</f>
        <v>1985470</v>
      </c>
      <c r="AG64" s="621"/>
      <c r="AH64" s="620"/>
      <c r="AI64" s="620"/>
      <c r="AJ64" s="620"/>
      <c r="AK64" s="1925"/>
      <c r="AL64" s="1925"/>
      <c r="AM64" s="621"/>
    </row>
    <row r="65" spans="2:38" s="189" customFormat="1" ht="12" customHeight="1" x14ac:dyDescent="0.3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3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3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81">
    <mergeCell ref="U4:U6"/>
    <mergeCell ref="V2:V3"/>
    <mergeCell ref="F4:F6"/>
    <mergeCell ref="G4:G6"/>
    <mergeCell ref="H4:H6"/>
    <mergeCell ref="I4:I6"/>
    <mergeCell ref="J4:J6"/>
    <mergeCell ref="K4:K6"/>
    <mergeCell ref="L4:L6"/>
    <mergeCell ref="M4:M6"/>
    <mergeCell ref="N4:N6"/>
    <mergeCell ref="O4:O6"/>
    <mergeCell ref="P4:P6"/>
    <mergeCell ref="Q4:Q6"/>
    <mergeCell ref="R4:R6"/>
    <mergeCell ref="S4:S6"/>
    <mergeCell ref="AI4:AI6"/>
    <mergeCell ref="V4:V6"/>
    <mergeCell ref="X4:X6"/>
    <mergeCell ref="Y4:Y6"/>
    <mergeCell ref="Z4:Z6"/>
    <mergeCell ref="AA4:AA6"/>
    <mergeCell ref="AB4:AB6"/>
    <mergeCell ref="BC4:BC6"/>
    <mergeCell ref="BD4:BD6"/>
    <mergeCell ref="AQ4:AQ6"/>
    <mergeCell ref="AR4:AR6"/>
    <mergeCell ref="AS4:AS6"/>
    <mergeCell ref="AU4:AU6"/>
    <mergeCell ref="AV4:AV6"/>
    <mergeCell ref="AW4:AW6"/>
    <mergeCell ref="B6:E6"/>
    <mergeCell ref="AX4:AX6"/>
    <mergeCell ref="AY4:AY6"/>
    <mergeCell ref="AZ4:AZ6"/>
    <mergeCell ref="BB4:BB6"/>
    <mergeCell ref="AJ4:AJ6"/>
    <mergeCell ref="AK4:AK6"/>
    <mergeCell ref="AL4:AL6"/>
    <mergeCell ref="AN4:AN6"/>
    <mergeCell ref="AO4:AO6"/>
    <mergeCell ref="AP4:AP6"/>
    <mergeCell ref="AC4:AC6"/>
    <mergeCell ref="AD4:AD6"/>
    <mergeCell ref="AE4:AE6"/>
    <mergeCell ref="AG4:AG6"/>
    <mergeCell ref="AH4:AH6"/>
    <mergeCell ref="BE4:BE6"/>
    <mergeCell ref="BG4:BG6"/>
    <mergeCell ref="BH4:BH6"/>
    <mergeCell ref="BI4:BI6"/>
    <mergeCell ref="BJ4:BJ6"/>
    <mergeCell ref="B18:E18"/>
    <mergeCell ref="B7:E7"/>
    <mergeCell ref="B8:E8"/>
    <mergeCell ref="B9:E9"/>
    <mergeCell ref="B10:E10"/>
    <mergeCell ref="B11:E11"/>
    <mergeCell ref="B12:E12"/>
    <mergeCell ref="B13:E13"/>
    <mergeCell ref="B14:E14"/>
    <mergeCell ref="B15:E15"/>
    <mergeCell ref="B16:E16"/>
    <mergeCell ref="B17:E17"/>
    <mergeCell ref="B46:V47"/>
    <mergeCell ref="B19:E19"/>
    <mergeCell ref="B20:E20"/>
    <mergeCell ref="B21:E21"/>
    <mergeCell ref="B22:E22"/>
    <mergeCell ref="B23:E23"/>
    <mergeCell ref="B24:E24"/>
    <mergeCell ref="B25:E25"/>
    <mergeCell ref="B26:E26"/>
    <mergeCell ref="B30:V33"/>
    <mergeCell ref="B36:V38"/>
    <mergeCell ref="B41:V44"/>
    <mergeCell ref="B48:V49"/>
    <mergeCell ref="B52:E52"/>
    <mergeCell ref="B53:E53"/>
    <mergeCell ref="B54:E54"/>
    <mergeCell ref="AK62:AL64"/>
  </mergeCells>
  <pageMargins left="0.7" right="0.7" top="0.75" bottom="0.75" header="0.3" footer="0.3"/>
  <legacy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68"/>
  <sheetViews>
    <sheetView workbookViewId="0">
      <selection sqref="A1:XFD1048576"/>
    </sheetView>
  </sheetViews>
  <sheetFormatPr defaultColWidth="9.1796875" defaultRowHeight="12.5" x14ac:dyDescent="0.25"/>
  <cols>
    <col min="1" max="1" width="9.1796875" style="46"/>
    <col min="2" max="2" width="18" style="46" customWidth="1"/>
    <col min="3" max="3" width="11" style="46" customWidth="1"/>
    <col min="4" max="4" width="11.7265625" style="46" customWidth="1"/>
    <col min="5" max="5" width="10.453125" style="46" customWidth="1"/>
    <col min="6" max="8" width="9.54296875" style="46" bestFit="1" customWidth="1"/>
    <col min="9" max="9" width="9" style="46" customWidth="1"/>
    <col min="10" max="11" width="9.54296875" style="46" bestFit="1" customWidth="1"/>
    <col min="12" max="16" width="9.1796875" style="46"/>
    <col min="17" max="17" width="10.81640625" style="46" customWidth="1"/>
    <col min="18" max="18" width="9.1796875" style="46"/>
    <col min="19" max="19" width="10" style="46" customWidth="1"/>
    <col min="20" max="22" width="9.1796875" style="46"/>
    <col min="23" max="23" width="10.453125" style="46" customWidth="1"/>
    <col min="24" max="16384" width="9.1796875" style="46"/>
  </cols>
  <sheetData>
    <row r="2" spans="2:22" ht="13" x14ac:dyDescent="0.3">
      <c r="B2" s="1019" t="s">
        <v>951</v>
      </c>
      <c r="U2" s="2019" t="s">
        <v>950</v>
      </c>
      <c r="V2" s="2020"/>
    </row>
    <row r="4" spans="2:22" ht="21" x14ac:dyDescent="0.25">
      <c r="C4" s="774" t="s">
        <v>66</v>
      </c>
      <c r="D4" s="774" t="s">
        <v>51</v>
      </c>
      <c r="E4" s="775" t="s">
        <v>688</v>
      </c>
      <c r="F4" s="776" t="s">
        <v>839</v>
      </c>
      <c r="G4" s="777" t="s">
        <v>858</v>
      </c>
      <c r="H4" s="776" t="s">
        <v>840</v>
      </c>
      <c r="I4" s="777" t="s">
        <v>880</v>
      </c>
      <c r="J4" s="776" t="s">
        <v>841</v>
      </c>
      <c r="K4" s="777" t="s">
        <v>881</v>
      </c>
      <c r="L4" s="776" t="s">
        <v>842</v>
      </c>
      <c r="M4" s="777" t="s">
        <v>882</v>
      </c>
      <c r="N4" s="778" t="s">
        <v>843</v>
      </c>
      <c r="O4" s="779" t="s">
        <v>883</v>
      </c>
      <c r="P4" s="776" t="s">
        <v>844</v>
      </c>
      <c r="Q4" s="777" t="s">
        <v>884</v>
      </c>
      <c r="R4" s="778" t="s">
        <v>845</v>
      </c>
      <c r="S4" s="779" t="s">
        <v>885</v>
      </c>
    </row>
    <row r="5" spans="2:22" ht="20.5" x14ac:dyDescent="0.25">
      <c r="B5" s="1017">
        <v>9257010</v>
      </c>
      <c r="C5" s="1020" t="s">
        <v>67</v>
      </c>
      <c r="D5" s="781">
        <v>4</v>
      </c>
      <c r="E5" s="1018">
        <v>64</v>
      </c>
      <c r="F5" s="783">
        <v>4</v>
      </c>
      <c r="G5" s="784">
        <f>F5/E5</f>
        <v>6.25E-2</v>
      </c>
      <c r="H5" s="785">
        <v>22</v>
      </c>
      <c r="I5" s="784">
        <f>H5/E5</f>
        <v>0.34375</v>
      </c>
      <c r="J5" s="785">
        <v>4</v>
      </c>
      <c r="K5" s="784">
        <f>J5/E5</f>
        <v>6.25E-2</v>
      </c>
      <c r="L5" s="785">
        <v>11</v>
      </c>
      <c r="M5" s="784">
        <f>L5/E5</f>
        <v>0.171875</v>
      </c>
      <c r="N5" s="786">
        <v>3</v>
      </c>
      <c r="O5" s="787">
        <f>N5/E5</f>
        <v>4.6875E-2</v>
      </c>
      <c r="P5" s="785">
        <v>11</v>
      </c>
      <c r="Q5" s="784">
        <f>P5/E5</f>
        <v>0.171875</v>
      </c>
      <c r="R5" s="786">
        <v>9</v>
      </c>
      <c r="S5" s="787">
        <f>R5/E5</f>
        <v>0.140625</v>
      </c>
      <c r="U5" s="755">
        <f>F5+H5+J5+L5+N5+P5+R5</f>
        <v>64</v>
      </c>
      <c r="V5" s="222">
        <f>G5+I5+K5+M5+O5+Q5+S5</f>
        <v>1</v>
      </c>
    </row>
    <row r="6" spans="2:22" ht="20.5" x14ac:dyDescent="0.25">
      <c r="B6" s="1017">
        <v>9257005</v>
      </c>
      <c r="C6" s="1020" t="s">
        <v>68</v>
      </c>
      <c r="D6" s="781" t="s">
        <v>946</v>
      </c>
      <c r="E6" s="1018">
        <v>76</v>
      </c>
      <c r="F6" s="783">
        <v>6</v>
      </c>
      <c r="G6" s="784">
        <f>F6/E6</f>
        <v>7.8947368421052627E-2</v>
      </c>
      <c r="H6" s="785">
        <v>27</v>
      </c>
      <c r="I6" s="784">
        <f>H6/E6</f>
        <v>0.35526315789473684</v>
      </c>
      <c r="J6" s="785">
        <v>5</v>
      </c>
      <c r="K6" s="784">
        <f>J6/E6</f>
        <v>6.5789473684210523E-2</v>
      </c>
      <c r="L6" s="785">
        <v>11</v>
      </c>
      <c r="M6" s="784">
        <f>L6/E6</f>
        <v>0.14473684210526316</v>
      </c>
      <c r="N6" s="786">
        <v>11</v>
      </c>
      <c r="O6" s="787">
        <f>N6/E6</f>
        <v>0.14473684210526316</v>
      </c>
      <c r="P6" s="785">
        <v>12</v>
      </c>
      <c r="Q6" s="784">
        <f>P6/E6</f>
        <v>0.15789473684210525</v>
      </c>
      <c r="R6" s="786">
        <v>4</v>
      </c>
      <c r="S6" s="787">
        <f>R6/E6</f>
        <v>5.2631578947368418E-2</v>
      </c>
      <c r="U6" s="755">
        <f t="shared" ref="U6:U22" si="0">F6+H6+J6+L6+N6+P6+R6</f>
        <v>76</v>
      </c>
      <c r="V6" s="222">
        <f t="shared" ref="V6:V22" si="1">G6+I6+K6+M6+O6+Q6+S6</f>
        <v>1</v>
      </c>
    </row>
    <row r="7" spans="2:22" ht="20.5" x14ac:dyDescent="0.25">
      <c r="B7" s="1017">
        <v>9257025</v>
      </c>
      <c r="C7" s="1020" t="s">
        <v>69</v>
      </c>
      <c r="D7" s="781">
        <v>4</v>
      </c>
      <c r="E7" s="1018">
        <f>F7+H7+J7+L7+N7+P7+R7</f>
        <v>74</v>
      </c>
      <c r="F7" s="783">
        <v>12</v>
      </c>
      <c r="G7" s="784">
        <f>F7/E7</f>
        <v>0.16216216216216217</v>
      </c>
      <c r="H7" s="785">
        <v>26</v>
      </c>
      <c r="I7" s="784">
        <f>H7/E7</f>
        <v>0.35135135135135137</v>
      </c>
      <c r="J7" s="785">
        <v>5</v>
      </c>
      <c r="K7" s="784">
        <f>J7/E7</f>
        <v>6.7567567567567571E-2</v>
      </c>
      <c r="L7" s="785">
        <v>13</v>
      </c>
      <c r="M7" s="784">
        <f>L7/E7</f>
        <v>0.17567567567567569</v>
      </c>
      <c r="N7" s="786">
        <v>4</v>
      </c>
      <c r="O7" s="787">
        <f>N7/E7</f>
        <v>5.4054054054054057E-2</v>
      </c>
      <c r="P7" s="785">
        <v>10</v>
      </c>
      <c r="Q7" s="784">
        <f>P7/E7</f>
        <v>0.13513513513513514</v>
      </c>
      <c r="R7" s="786">
        <v>4</v>
      </c>
      <c r="S7" s="787">
        <f>R7/E7</f>
        <v>5.4054054054054057E-2</v>
      </c>
      <c r="U7" s="755">
        <f t="shared" si="0"/>
        <v>74</v>
      </c>
      <c r="V7" s="222">
        <f t="shared" si="1"/>
        <v>1</v>
      </c>
    </row>
    <row r="8" spans="2:22" ht="20.5" x14ac:dyDescent="0.25">
      <c r="B8" s="1017">
        <v>9257011</v>
      </c>
      <c r="C8" s="1020" t="s">
        <v>70</v>
      </c>
      <c r="D8" s="781">
        <v>4</v>
      </c>
      <c r="E8" s="1018">
        <v>53</v>
      </c>
      <c r="F8" s="783">
        <v>3</v>
      </c>
      <c r="G8" s="784">
        <f>F8/E8</f>
        <v>5.6603773584905662E-2</v>
      </c>
      <c r="H8" s="785">
        <v>17</v>
      </c>
      <c r="I8" s="784">
        <f>H8/E8</f>
        <v>0.32075471698113206</v>
      </c>
      <c r="J8" s="785">
        <v>2</v>
      </c>
      <c r="K8" s="784">
        <f>J8/E8</f>
        <v>3.7735849056603772E-2</v>
      </c>
      <c r="L8" s="785">
        <v>9</v>
      </c>
      <c r="M8" s="784">
        <f>L8/E8</f>
        <v>0.16981132075471697</v>
      </c>
      <c r="N8" s="786">
        <v>9</v>
      </c>
      <c r="O8" s="787">
        <f>N8/E8</f>
        <v>0.16981132075471697</v>
      </c>
      <c r="P8" s="785">
        <v>8</v>
      </c>
      <c r="Q8" s="784">
        <f>P8/E8</f>
        <v>0.15094339622641509</v>
      </c>
      <c r="R8" s="786">
        <v>5</v>
      </c>
      <c r="S8" s="787">
        <f>R8/E8</f>
        <v>9.4339622641509441E-2</v>
      </c>
      <c r="U8" s="755">
        <f t="shared" si="0"/>
        <v>53</v>
      </c>
      <c r="V8" s="222">
        <f t="shared" si="1"/>
        <v>0.99999999999999989</v>
      </c>
    </row>
    <row r="9" spans="2:22" ht="20.5" x14ac:dyDescent="0.25">
      <c r="B9" s="1017">
        <v>9257024</v>
      </c>
      <c r="C9" s="1020" t="s">
        <v>71</v>
      </c>
      <c r="D9" s="781">
        <v>4</v>
      </c>
      <c r="E9" s="1018">
        <v>83</v>
      </c>
      <c r="F9" s="785">
        <v>9</v>
      </c>
      <c r="G9" s="784">
        <f>F9/E9</f>
        <v>0.10843373493975904</v>
      </c>
      <c r="H9" s="785">
        <v>36</v>
      </c>
      <c r="I9" s="784">
        <f>H9/E9</f>
        <v>0.43373493975903615</v>
      </c>
      <c r="J9" s="785">
        <v>2</v>
      </c>
      <c r="K9" s="784">
        <f>J9/E9</f>
        <v>2.4096385542168676E-2</v>
      </c>
      <c r="L9" s="785">
        <v>13</v>
      </c>
      <c r="M9" s="784">
        <f>L9/E9</f>
        <v>0.15662650602409639</v>
      </c>
      <c r="N9" s="786">
        <v>9</v>
      </c>
      <c r="O9" s="787">
        <f>N9/E9</f>
        <v>0.10843373493975904</v>
      </c>
      <c r="P9" s="785">
        <v>6</v>
      </c>
      <c r="Q9" s="784">
        <f>P9/E9</f>
        <v>7.2289156626506021E-2</v>
      </c>
      <c r="R9" s="786">
        <v>8</v>
      </c>
      <c r="S9" s="787">
        <f>R9/E9</f>
        <v>9.6385542168674704E-2</v>
      </c>
      <c r="U9" s="755">
        <f t="shared" si="0"/>
        <v>83</v>
      </c>
      <c r="V9" s="222">
        <f t="shared" si="1"/>
        <v>0.99999999999999989</v>
      </c>
    </row>
    <row r="10" spans="2:22" x14ac:dyDescent="0.25">
      <c r="B10" s="1017">
        <v>9257031</v>
      </c>
      <c r="C10" s="1020" t="s">
        <v>98</v>
      </c>
      <c r="D10" s="781" t="s">
        <v>949</v>
      </c>
      <c r="E10" s="1018">
        <f>F10+H10+J10+L10+N10+P10+R10</f>
        <v>0</v>
      </c>
      <c r="F10" s="785">
        <v>0</v>
      </c>
      <c r="G10" s="784">
        <v>0</v>
      </c>
      <c r="H10" s="785">
        <v>0</v>
      </c>
      <c r="I10" s="784">
        <v>0</v>
      </c>
      <c r="J10" s="785">
        <v>0</v>
      </c>
      <c r="K10" s="784">
        <v>1</v>
      </c>
      <c r="L10" s="785">
        <v>0</v>
      </c>
      <c r="M10" s="784">
        <v>0</v>
      </c>
      <c r="N10" s="786">
        <v>0</v>
      </c>
      <c r="O10" s="787">
        <v>0</v>
      </c>
      <c r="P10" s="785">
        <v>0</v>
      </c>
      <c r="Q10" s="784">
        <v>0</v>
      </c>
      <c r="R10" s="786">
        <v>0</v>
      </c>
      <c r="S10" s="787">
        <v>0</v>
      </c>
      <c r="U10" s="755">
        <f>F10+H10+J10+L10+N10+P10+R10</f>
        <v>0</v>
      </c>
      <c r="V10" s="222">
        <f>G10+I10+K10+M10+O10+Q10+S10</f>
        <v>1</v>
      </c>
    </row>
    <row r="11" spans="2:22" ht="20.5" x14ac:dyDescent="0.25">
      <c r="B11" s="1017">
        <v>9257033</v>
      </c>
      <c r="C11" s="1020" t="s">
        <v>72</v>
      </c>
      <c r="D11" s="781" t="s">
        <v>946</v>
      </c>
      <c r="E11" s="1018">
        <v>95</v>
      </c>
      <c r="F11" s="785">
        <v>17</v>
      </c>
      <c r="G11" s="784">
        <f>F11/E11</f>
        <v>0.17894736842105263</v>
      </c>
      <c r="H11" s="785">
        <v>42</v>
      </c>
      <c r="I11" s="784">
        <f>H11/E11</f>
        <v>0.44210526315789472</v>
      </c>
      <c r="J11" s="785">
        <v>12</v>
      </c>
      <c r="K11" s="784">
        <f>J11/E11</f>
        <v>0.12631578947368421</v>
      </c>
      <c r="L11" s="785">
        <v>15</v>
      </c>
      <c r="M11" s="784">
        <f>L11/E11</f>
        <v>0.15789473684210525</v>
      </c>
      <c r="N11" s="786">
        <v>4</v>
      </c>
      <c r="O11" s="787">
        <f>N11/E11</f>
        <v>4.2105263157894736E-2</v>
      </c>
      <c r="P11" s="785">
        <v>5</v>
      </c>
      <c r="Q11" s="784">
        <f>P11/E11</f>
        <v>5.2631578947368418E-2</v>
      </c>
      <c r="R11" s="786">
        <v>0</v>
      </c>
      <c r="S11" s="787">
        <f>R11/E11</f>
        <v>0</v>
      </c>
      <c r="U11" s="755">
        <f>F11+H11+J11+L11+N11+P11+R11</f>
        <v>95</v>
      </c>
      <c r="V11" s="222">
        <f>G11+I11+K11+M11+O11+Q11+S11</f>
        <v>1</v>
      </c>
    </row>
    <row r="12" spans="2:22" ht="20.5" x14ac:dyDescent="0.25">
      <c r="B12" s="1017">
        <v>9257008</v>
      </c>
      <c r="C12" s="1020" t="s">
        <v>73</v>
      </c>
      <c r="D12" s="781">
        <v>4</v>
      </c>
      <c r="E12" s="1018">
        <v>97</v>
      </c>
      <c r="F12" s="785">
        <v>10</v>
      </c>
      <c r="G12" s="784">
        <f>F12/E12</f>
        <v>0.10309278350515463</v>
      </c>
      <c r="H12" s="785">
        <v>51</v>
      </c>
      <c r="I12" s="784">
        <f>H12/E12</f>
        <v>0.52577319587628868</v>
      </c>
      <c r="J12" s="785">
        <v>8</v>
      </c>
      <c r="K12" s="784">
        <f>J12/E12</f>
        <v>8.247422680412371E-2</v>
      </c>
      <c r="L12" s="785">
        <v>9</v>
      </c>
      <c r="M12" s="784">
        <f>L12/E12</f>
        <v>9.2783505154639179E-2</v>
      </c>
      <c r="N12" s="789">
        <v>1</v>
      </c>
      <c r="O12" s="787">
        <f>N12/E12</f>
        <v>1.0309278350515464E-2</v>
      </c>
      <c r="P12" s="785">
        <v>18</v>
      </c>
      <c r="Q12" s="784">
        <f>P12/E12</f>
        <v>0.18556701030927836</v>
      </c>
      <c r="R12" s="789">
        <v>0</v>
      </c>
      <c r="S12" s="787">
        <f>R12/E12</f>
        <v>0</v>
      </c>
      <c r="U12" s="755">
        <f t="shared" si="0"/>
        <v>97</v>
      </c>
      <c r="V12" s="222">
        <f t="shared" si="1"/>
        <v>1</v>
      </c>
    </row>
    <row r="13" spans="2:22" ht="20.5" x14ac:dyDescent="0.25">
      <c r="B13" s="1017">
        <v>9257034</v>
      </c>
      <c r="C13" s="1020" t="s">
        <v>74</v>
      </c>
      <c r="D13" s="781" t="s">
        <v>946</v>
      </c>
      <c r="E13" s="1018">
        <v>109</v>
      </c>
      <c r="F13" s="785">
        <v>46</v>
      </c>
      <c r="G13" s="784">
        <f>F13/E13</f>
        <v>0.42201834862385323</v>
      </c>
      <c r="H13" s="785">
        <v>29</v>
      </c>
      <c r="I13" s="784">
        <f>H13/E13</f>
        <v>0.26605504587155965</v>
      </c>
      <c r="J13" s="785">
        <v>17</v>
      </c>
      <c r="K13" s="784">
        <f>J13/E13</f>
        <v>0.15596330275229359</v>
      </c>
      <c r="L13" s="785">
        <v>5</v>
      </c>
      <c r="M13" s="784">
        <f>L13/E13</f>
        <v>4.5871559633027525E-2</v>
      </c>
      <c r="N13" s="786">
        <v>5</v>
      </c>
      <c r="O13" s="787">
        <f>N13/E13</f>
        <v>4.5871559633027525E-2</v>
      </c>
      <c r="P13" s="785">
        <v>6</v>
      </c>
      <c r="Q13" s="784">
        <f>P13/E13</f>
        <v>5.5045871559633031E-2</v>
      </c>
      <c r="R13" s="786">
        <v>1</v>
      </c>
      <c r="S13" s="787">
        <f>R13/E13</f>
        <v>9.1743119266055051E-3</v>
      </c>
      <c r="U13" s="755">
        <f>F13+H13+J13+L13+N13+P13+R13</f>
        <v>109</v>
      </c>
      <c r="V13" s="222">
        <f>G13+I13+K13+M13+O13+Q13+S13</f>
        <v>1</v>
      </c>
    </row>
    <row r="14" spans="2:22" ht="20.5" x14ac:dyDescent="0.25">
      <c r="B14" s="1017">
        <v>9257002</v>
      </c>
      <c r="C14" s="1020" t="s">
        <v>75</v>
      </c>
      <c r="D14" s="781">
        <v>4</v>
      </c>
      <c r="E14" s="1018">
        <v>142</v>
      </c>
      <c r="F14" s="785">
        <v>61</v>
      </c>
      <c r="G14" s="784">
        <f>F14/E14</f>
        <v>0.42957746478873238</v>
      </c>
      <c r="H14" s="785">
        <v>36</v>
      </c>
      <c r="I14" s="784">
        <f>H14/E14</f>
        <v>0.25352112676056338</v>
      </c>
      <c r="J14" s="785">
        <v>22</v>
      </c>
      <c r="K14" s="784">
        <f>J14/E14</f>
        <v>0.15492957746478872</v>
      </c>
      <c r="L14" s="785">
        <v>3</v>
      </c>
      <c r="M14" s="784">
        <f>L14/E14</f>
        <v>2.1126760563380281E-2</v>
      </c>
      <c r="N14" s="786">
        <v>6</v>
      </c>
      <c r="O14" s="787">
        <f>N14/E14</f>
        <v>4.2253521126760563E-2</v>
      </c>
      <c r="P14" s="785">
        <v>12</v>
      </c>
      <c r="Q14" s="784">
        <f>P14/E14</f>
        <v>8.4507042253521125E-2</v>
      </c>
      <c r="R14" s="786">
        <v>2</v>
      </c>
      <c r="S14" s="787">
        <f>R14/E14</f>
        <v>1.4084507042253521E-2</v>
      </c>
      <c r="U14" s="755">
        <f t="shared" si="0"/>
        <v>142</v>
      </c>
      <c r="V14" s="222">
        <f t="shared" si="1"/>
        <v>0.99999999999999989</v>
      </c>
    </row>
    <row r="15" spans="2:22" ht="20.5" x14ac:dyDescent="0.25">
      <c r="B15" s="1017">
        <v>9257009</v>
      </c>
      <c r="C15" s="1020" t="s">
        <v>76</v>
      </c>
      <c r="D15" s="781">
        <v>4</v>
      </c>
      <c r="E15" s="1018">
        <v>129</v>
      </c>
      <c r="F15" s="785">
        <v>22</v>
      </c>
      <c r="G15" s="784">
        <f>F15/E15</f>
        <v>0.17054263565891473</v>
      </c>
      <c r="H15" s="785">
        <v>75</v>
      </c>
      <c r="I15" s="784">
        <f>H15/E15</f>
        <v>0.58139534883720934</v>
      </c>
      <c r="J15" s="785">
        <v>11</v>
      </c>
      <c r="K15" s="784">
        <f>J15/E15</f>
        <v>8.5271317829457363E-2</v>
      </c>
      <c r="L15" s="785">
        <v>2</v>
      </c>
      <c r="M15" s="784">
        <f>L15/E15</f>
        <v>1.5503875968992248E-2</v>
      </c>
      <c r="N15" s="786">
        <v>4</v>
      </c>
      <c r="O15" s="787">
        <f>N15/E15</f>
        <v>3.1007751937984496E-2</v>
      </c>
      <c r="P15" s="785">
        <v>15</v>
      </c>
      <c r="Q15" s="784">
        <f>P15/E15</f>
        <v>0.11627906976744186</v>
      </c>
      <c r="R15" s="786">
        <v>0</v>
      </c>
      <c r="S15" s="787">
        <f>R15/E15</f>
        <v>0</v>
      </c>
      <c r="U15" s="755">
        <f t="shared" si="0"/>
        <v>129</v>
      </c>
      <c r="V15" s="222">
        <f t="shared" si="1"/>
        <v>1</v>
      </c>
    </row>
    <row r="16" spans="2:22" ht="20.5" x14ac:dyDescent="0.25">
      <c r="B16" s="1017">
        <v>9257029</v>
      </c>
      <c r="C16" s="1020" t="s">
        <v>848</v>
      </c>
      <c r="D16" s="781" t="s">
        <v>949</v>
      </c>
      <c r="E16" s="1018">
        <f>F16+H16+J16+L16+N16+P16+R16</f>
        <v>0</v>
      </c>
      <c r="F16" s="785">
        <v>0</v>
      </c>
      <c r="G16" s="784">
        <v>0</v>
      </c>
      <c r="H16" s="785">
        <v>0</v>
      </c>
      <c r="I16" s="784">
        <v>0</v>
      </c>
      <c r="J16" s="785">
        <v>0</v>
      </c>
      <c r="K16" s="784">
        <v>1</v>
      </c>
      <c r="L16" s="785">
        <v>0</v>
      </c>
      <c r="M16" s="784">
        <v>0</v>
      </c>
      <c r="N16" s="786">
        <v>0</v>
      </c>
      <c r="O16" s="787">
        <v>0</v>
      </c>
      <c r="P16" s="785">
        <v>0</v>
      </c>
      <c r="Q16" s="784">
        <v>0</v>
      </c>
      <c r="R16" s="786">
        <v>0</v>
      </c>
      <c r="S16" s="787">
        <v>0</v>
      </c>
      <c r="U16" s="755">
        <f t="shared" ref="U16:V18" si="2">F16+H16+J16+L16+N16+P16+R16</f>
        <v>0</v>
      </c>
      <c r="V16" s="222">
        <f t="shared" si="2"/>
        <v>1</v>
      </c>
    </row>
    <row r="17" spans="2:22" x14ac:dyDescent="0.25">
      <c r="B17" s="1017">
        <v>9257032</v>
      </c>
      <c r="C17" s="1020" t="s">
        <v>770</v>
      </c>
      <c r="D17" s="781" t="s">
        <v>949</v>
      </c>
      <c r="E17" s="1018">
        <f>F17+H17+J17+L17+N17+P17+R17</f>
        <v>0</v>
      </c>
      <c r="F17" s="785">
        <v>0</v>
      </c>
      <c r="G17" s="784">
        <v>0</v>
      </c>
      <c r="H17" s="785">
        <v>0</v>
      </c>
      <c r="I17" s="784">
        <v>0</v>
      </c>
      <c r="J17" s="785">
        <v>0</v>
      </c>
      <c r="K17" s="784">
        <v>1</v>
      </c>
      <c r="L17" s="785">
        <v>0</v>
      </c>
      <c r="M17" s="784">
        <v>0</v>
      </c>
      <c r="N17" s="786">
        <v>0</v>
      </c>
      <c r="O17" s="787">
        <v>0</v>
      </c>
      <c r="P17" s="785">
        <v>0</v>
      </c>
      <c r="Q17" s="784">
        <v>0</v>
      </c>
      <c r="R17" s="786">
        <v>0</v>
      </c>
      <c r="S17" s="787">
        <v>0</v>
      </c>
      <c r="U17" s="755">
        <f t="shared" si="2"/>
        <v>0</v>
      </c>
      <c r="V17" s="222">
        <f t="shared" si="2"/>
        <v>1</v>
      </c>
    </row>
    <row r="18" spans="2:22" ht="20.5" x14ac:dyDescent="0.25">
      <c r="B18" s="1017">
        <v>9257030</v>
      </c>
      <c r="C18" s="1020" t="s">
        <v>771</v>
      </c>
      <c r="D18" s="781" t="s">
        <v>949</v>
      </c>
      <c r="E18" s="1018">
        <f>F18+H18+J18+L18+N18+P18+R18</f>
        <v>0</v>
      </c>
      <c r="F18" s="783">
        <v>0</v>
      </c>
      <c r="G18" s="784">
        <v>0</v>
      </c>
      <c r="H18" s="785">
        <v>0</v>
      </c>
      <c r="I18" s="784">
        <v>0</v>
      </c>
      <c r="J18" s="785">
        <v>0</v>
      </c>
      <c r="K18" s="784">
        <v>1</v>
      </c>
      <c r="L18" s="785">
        <v>0</v>
      </c>
      <c r="M18" s="784">
        <v>0</v>
      </c>
      <c r="N18" s="786">
        <v>0</v>
      </c>
      <c r="O18" s="787">
        <v>0</v>
      </c>
      <c r="P18" s="785">
        <v>0</v>
      </c>
      <c r="Q18" s="784">
        <v>0</v>
      </c>
      <c r="R18" s="786">
        <v>0</v>
      </c>
      <c r="S18" s="787">
        <v>0</v>
      </c>
      <c r="U18" s="755">
        <f t="shared" si="2"/>
        <v>0</v>
      </c>
      <c r="V18" s="222">
        <f t="shared" si="2"/>
        <v>1</v>
      </c>
    </row>
    <row r="19" spans="2:22" ht="20.5" x14ac:dyDescent="0.25">
      <c r="B19" s="1017">
        <v>9257028</v>
      </c>
      <c r="C19" s="1020" t="s">
        <v>77</v>
      </c>
      <c r="D19" s="781">
        <v>4</v>
      </c>
      <c r="E19" s="1018">
        <v>95</v>
      </c>
      <c r="F19" s="785">
        <v>9</v>
      </c>
      <c r="G19" s="784">
        <f>F19/E19</f>
        <v>9.4736842105263161E-2</v>
      </c>
      <c r="H19" s="783">
        <v>34</v>
      </c>
      <c r="I19" s="784">
        <f>H19/E19</f>
        <v>0.35789473684210527</v>
      </c>
      <c r="J19" s="783">
        <v>4</v>
      </c>
      <c r="K19" s="784">
        <f>J19/E19</f>
        <v>4.2105263157894736E-2</v>
      </c>
      <c r="L19" s="783">
        <v>9</v>
      </c>
      <c r="M19" s="784">
        <f>L19/E19</f>
        <v>9.4736842105263161E-2</v>
      </c>
      <c r="N19" s="786">
        <v>14</v>
      </c>
      <c r="O19" s="787">
        <f>N19/E19</f>
        <v>0.14736842105263157</v>
      </c>
      <c r="P19" s="783">
        <v>13</v>
      </c>
      <c r="Q19" s="784">
        <f>P19/E19</f>
        <v>0.1368421052631579</v>
      </c>
      <c r="R19" s="786">
        <v>12</v>
      </c>
      <c r="S19" s="787">
        <f>R19/E19</f>
        <v>0.12631578947368421</v>
      </c>
      <c r="U19" s="755">
        <f t="shared" si="0"/>
        <v>95</v>
      </c>
      <c r="V19" s="222">
        <f t="shared" si="1"/>
        <v>1</v>
      </c>
    </row>
    <row r="20" spans="2:22" ht="20.5" x14ac:dyDescent="0.25">
      <c r="B20" s="1017">
        <v>9257021</v>
      </c>
      <c r="C20" s="1020" t="s">
        <v>78</v>
      </c>
      <c r="D20" s="781" t="s">
        <v>947</v>
      </c>
      <c r="E20" s="1018">
        <v>163</v>
      </c>
      <c r="F20" s="785">
        <v>47</v>
      </c>
      <c r="G20" s="784">
        <f>F20/E20</f>
        <v>0.28834355828220859</v>
      </c>
      <c r="H20" s="785">
        <v>58</v>
      </c>
      <c r="I20" s="784">
        <f>H20/E20</f>
        <v>0.35582822085889571</v>
      </c>
      <c r="J20" s="785">
        <v>16</v>
      </c>
      <c r="K20" s="784">
        <f>J20/E20</f>
        <v>9.815950920245399E-2</v>
      </c>
      <c r="L20" s="785">
        <v>10</v>
      </c>
      <c r="M20" s="784">
        <f>L20/E20</f>
        <v>6.1349693251533742E-2</v>
      </c>
      <c r="N20" s="786">
        <v>10</v>
      </c>
      <c r="O20" s="787">
        <f>N20/E20</f>
        <v>6.1349693251533742E-2</v>
      </c>
      <c r="P20" s="785">
        <v>20</v>
      </c>
      <c r="Q20" s="784">
        <f>P20/E20</f>
        <v>0.12269938650306748</v>
      </c>
      <c r="R20" s="786">
        <v>2</v>
      </c>
      <c r="S20" s="787">
        <f>R20/E20</f>
        <v>1.2269938650306749E-2</v>
      </c>
      <c r="U20" s="755">
        <f t="shared" si="0"/>
        <v>163</v>
      </c>
      <c r="V20" s="222">
        <f t="shared" si="1"/>
        <v>1</v>
      </c>
    </row>
    <row r="21" spans="2:22" ht="20.5" x14ac:dyDescent="0.25">
      <c r="B21" s="1017">
        <v>9257015</v>
      </c>
      <c r="C21" s="1020" t="s">
        <v>55</v>
      </c>
      <c r="D21" s="781" t="s">
        <v>948</v>
      </c>
      <c r="E21" s="1018">
        <v>232</v>
      </c>
      <c r="F21" s="785">
        <v>88</v>
      </c>
      <c r="G21" s="784">
        <f>F21/E21</f>
        <v>0.37931034482758619</v>
      </c>
      <c r="H21" s="785">
        <v>77</v>
      </c>
      <c r="I21" s="784">
        <f>H21/E21</f>
        <v>0.33189655172413796</v>
      </c>
      <c r="J21" s="785">
        <v>6</v>
      </c>
      <c r="K21" s="784">
        <f>J21/E21</f>
        <v>2.5862068965517241E-2</v>
      </c>
      <c r="L21" s="785">
        <v>15</v>
      </c>
      <c r="M21" s="784">
        <f>L21/E21</f>
        <v>6.4655172413793108E-2</v>
      </c>
      <c r="N21" s="786">
        <v>9</v>
      </c>
      <c r="O21" s="787">
        <f>N21/E21</f>
        <v>3.8793103448275863E-2</v>
      </c>
      <c r="P21" s="785">
        <v>34</v>
      </c>
      <c r="Q21" s="784">
        <f>P21/E21</f>
        <v>0.14655172413793102</v>
      </c>
      <c r="R21" s="786">
        <v>3</v>
      </c>
      <c r="S21" s="787">
        <f>R21/E21</f>
        <v>1.2931034482758621E-2</v>
      </c>
      <c r="U21" s="755">
        <f t="shared" si="0"/>
        <v>232</v>
      </c>
      <c r="V21" s="222">
        <f t="shared" si="1"/>
        <v>1.0000000000000002</v>
      </c>
    </row>
    <row r="22" spans="2:22" ht="20.5" x14ac:dyDescent="0.25">
      <c r="B22" s="1017">
        <v>9257016</v>
      </c>
      <c r="C22" s="1020" t="s">
        <v>80</v>
      </c>
      <c r="D22" s="781" t="s">
        <v>948</v>
      </c>
      <c r="E22" s="1018">
        <v>152</v>
      </c>
      <c r="F22" s="785">
        <v>32</v>
      </c>
      <c r="G22" s="784">
        <f>F22/E22</f>
        <v>0.21052631578947367</v>
      </c>
      <c r="H22" s="785">
        <v>21</v>
      </c>
      <c r="I22" s="784">
        <f>H22/E22</f>
        <v>0.13815789473684212</v>
      </c>
      <c r="J22" s="785">
        <v>1</v>
      </c>
      <c r="K22" s="784">
        <f>J22/E22</f>
        <v>6.5789473684210523E-3</v>
      </c>
      <c r="L22" s="785">
        <v>33</v>
      </c>
      <c r="M22" s="784">
        <f>L22/E22</f>
        <v>0.21710526315789475</v>
      </c>
      <c r="N22" s="786">
        <v>30</v>
      </c>
      <c r="O22" s="787">
        <f>N22/E22</f>
        <v>0.19736842105263158</v>
      </c>
      <c r="P22" s="785">
        <v>1</v>
      </c>
      <c r="Q22" s="784">
        <f>P22/E22</f>
        <v>6.5789473684210523E-3</v>
      </c>
      <c r="R22" s="786">
        <v>34</v>
      </c>
      <c r="S22" s="787">
        <f>R22/E22</f>
        <v>0.22368421052631579</v>
      </c>
      <c r="U22" s="755">
        <f t="shared" si="0"/>
        <v>152</v>
      </c>
      <c r="V22" s="222">
        <f t="shared" si="1"/>
        <v>1</v>
      </c>
    </row>
    <row r="24" spans="2:22" x14ac:dyDescent="0.25">
      <c r="E24" s="755">
        <f>SUM(E5:E23)</f>
        <v>1564</v>
      </c>
      <c r="U24" s="755">
        <f>SUM(U5:U23)</f>
        <v>1564</v>
      </c>
    </row>
    <row r="26" spans="2:22" ht="13" x14ac:dyDescent="0.3">
      <c r="B26" s="1022" t="s">
        <v>958</v>
      </c>
    </row>
    <row r="28" spans="2:22" ht="21" x14ac:dyDescent="0.25">
      <c r="C28" s="773" t="s">
        <v>66</v>
      </c>
      <c r="D28" s="774" t="s">
        <v>51</v>
      </c>
      <c r="E28" s="775" t="s">
        <v>688</v>
      </c>
      <c r="F28" s="776" t="s">
        <v>839</v>
      </c>
      <c r="G28" s="777" t="s">
        <v>858</v>
      </c>
      <c r="H28" s="776" t="s">
        <v>840</v>
      </c>
      <c r="I28" s="777" t="s">
        <v>880</v>
      </c>
      <c r="J28" s="776" t="s">
        <v>841</v>
      </c>
      <c r="K28" s="777" t="s">
        <v>881</v>
      </c>
      <c r="L28" s="776" t="s">
        <v>842</v>
      </c>
      <c r="M28" s="777" t="s">
        <v>882</v>
      </c>
      <c r="N28" s="778" t="s">
        <v>843</v>
      </c>
      <c r="O28" s="779" t="s">
        <v>883</v>
      </c>
      <c r="P28" s="776" t="s">
        <v>844</v>
      </c>
      <c r="Q28" s="777" t="s">
        <v>884</v>
      </c>
      <c r="R28" s="778" t="s">
        <v>845</v>
      </c>
      <c r="S28" s="779" t="s">
        <v>885</v>
      </c>
    </row>
    <row r="29" spans="2:22" ht="20.5" x14ac:dyDescent="0.25">
      <c r="C29" s="962" t="s">
        <v>67</v>
      </c>
      <c r="D29" s="781">
        <v>3</v>
      </c>
      <c r="E29" s="782">
        <f t="shared" ref="E29:E37" si="3">F29+H29+J29+L29+N29+P29+R29</f>
        <v>60</v>
      </c>
      <c r="F29" s="783">
        <v>3</v>
      </c>
      <c r="G29" s="784">
        <f>F29/E29</f>
        <v>0.05</v>
      </c>
      <c r="H29" s="785">
        <v>21</v>
      </c>
      <c r="I29" s="784">
        <f>H29/E29</f>
        <v>0.35</v>
      </c>
      <c r="J29" s="785">
        <v>4</v>
      </c>
      <c r="K29" s="784">
        <f>J29/E29</f>
        <v>6.6666666666666666E-2</v>
      </c>
      <c r="L29" s="785">
        <v>9</v>
      </c>
      <c r="M29" s="784">
        <f>L29/E29</f>
        <v>0.15</v>
      </c>
      <c r="N29" s="786">
        <v>3</v>
      </c>
      <c r="O29" s="787">
        <f>N29/E29</f>
        <v>0.05</v>
      </c>
      <c r="P29" s="785">
        <v>13</v>
      </c>
      <c r="Q29" s="784">
        <f>P29/E29</f>
        <v>0.21666666666666667</v>
      </c>
      <c r="R29" s="786">
        <v>7</v>
      </c>
      <c r="S29" s="787">
        <f>R29/E29</f>
        <v>0.11666666666666667</v>
      </c>
    </row>
    <row r="30" spans="2:22" ht="20.5" x14ac:dyDescent="0.25">
      <c r="C30" s="962" t="s">
        <v>68</v>
      </c>
      <c r="D30" s="781">
        <v>3</v>
      </c>
      <c r="E30" s="782">
        <f t="shared" si="3"/>
        <v>74</v>
      </c>
      <c r="F30" s="783">
        <v>8</v>
      </c>
      <c r="G30" s="784">
        <f>F30/E30</f>
        <v>0.10810810810810811</v>
      </c>
      <c r="H30" s="785">
        <v>17</v>
      </c>
      <c r="I30" s="784">
        <f>H30/E30</f>
        <v>0.22972972972972974</v>
      </c>
      <c r="J30" s="785">
        <v>9</v>
      </c>
      <c r="K30" s="784">
        <f>J30/E30</f>
        <v>0.12162162162162163</v>
      </c>
      <c r="L30" s="785">
        <v>11</v>
      </c>
      <c r="M30" s="784">
        <f>L30/E30</f>
        <v>0.14864864864864866</v>
      </c>
      <c r="N30" s="786">
        <v>10</v>
      </c>
      <c r="O30" s="787">
        <f>N30/E30</f>
        <v>0.13513513513513514</v>
      </c>
      <c r="P30" s="785">
        <v>13</v>
      </c>
      <c r="Q30" s="784">
        <f>P30/E30</f>
        <v>0.17567567567567569</v>
      </c>
      <c r="R30" s="786">
        <v>6</v>
      </c>
      <c r="S30" s="787">
        <f>R30/E30</f>
        <v>8.1081081081081086E-2</v>
      </c>
    </row>
    <row r="31" spans="2:22" ht="20.5" x14ac:dyDescent="0.25">
      <c r="C31" s="962" t="s">
        <v>69</v>
      </c>
      <c r="D31" s="781">
        <v>3</v>
      </c>
      <c r="E31" s="782">
        <f t="shared" si="3"/>
        <v>74</v>
      </c>
      <c r="F31" s="783">
        <v>17</v>
      </c>
      <c r="G31" s="784">
        <f>F31/E31</f>
        <v>0.22972972972972974</v>
      </c>
      <c r="H31" s="785">
        <v>22</v>
      </c>
      <c r="I31" s="784">
        <f>H31/E31</f>
        <v>0.29729729729729731</v>
      </c>
      <c r="J31" s="785">
        <v>9</v>
      </c>
      <c r="K31" s="784">
        <f>J31/E31</f>
        <v>0.12162162162162163</v>
      </c>
      <c r="L31" s="785">
        <v>9</v>
      </c>
      <c r="M31" s="784">
        <f>L31/E31</f>
        <v>0.12162162162162163</v>
      </c>
      <c r="N31" s="786">
        <v>6</v>
      </c>
      <c r="O31" s="787">
        <f>N31/E31</f>
        <v>8.1081081081081086E-2</v>
      </c>
      <c r="P31" s="785">
        <v>8</v>
      </c>
      <c r="Q31" s="784">
        <f>P31/E31</f>
        <v>0.10810810810810811</v>
      </c>
      <c r="R31" s="786">
        <v>3</v>
      </c>
      <c r="S31" s="787">
        <f>R31/E31</f>
        <v>4.0540540540540543E-2</v>
      </c>
    </row>
    <row r="32" spans="2:22" ht="20.5" x14ac:dyDescent="0.25">
      <c r="C32" s="962" t="s">
        <v>70</v>
      </c>
      <c r="D32" s="781">
        <v>3</v>
      </c>
      <c r="E32" s="782">
        <f t="shared" si="3"/>
        <v>55</v>
      </c>
      <c r="F32" s="783">
        <v>4</v>
      </c>
      <c r="G32" s="784">
        <f>F32/E32</f>
        <v>7.2727272727272724E-2</v>
      </c>
      <c r="H32" s="785">
        <v>15</v>
      </c>
      <c r="I32" s="784">
        <f>H32/E32</f>
        <v>0.27272727272727271</v>
      </c>
      <c r="J32" s="785">
        <v>2</v>
      </c>
      <c r="K32" s="784">
        <f>J32/E32</f>
        <v>3.6363636363636362E-2</v>
      </c>
      <c r="L32" s="785">
        <v>13</v>
      </c>
      <c r="M32" s="784">
        <f>L32/E32</f>
        <v>0.23636363636363636</v>
      </c>
      <c r="N32" s="786">
        <v>8</v>
      </c>
      <c r="O32" s="787">
        <f>N32/E32</f>
        <v>0.14545454545454545</v>
      </c>
      <c r="P32" s="785">
        <v>8</v>
      </c>
      <c r="Q32" s="784">
        <f>P32/E32</f>
        <v>0.14545454545454545</v>
      </c>
      <c r="R32" s="786">
        <v>5</v>
      </c>
      <c r="S32" s="787">
        <f>R32/E32</f>
        <v>9.0909090909090912E-2</v>
      </c>
    </row>
    <row r="33" spans="2:19" ht="20.5" x14ac:dyDescent="0.25">
      <c r="C33" s="962" t="s">
        <v>71</v>
      </c>
      <c r="D33" s="781">
        <v>3</v>
      </c>
      <c r="E33" s="782">
        <f t="shared" si="3"/>
        <v>82</v>
      </c>
      <c r="F33" s="785">
        <v>9</v>
      </c>
      <c r="G33" s="784">
        <f>F33/E33</f>
        <v>0.10975609756097561</v>
      </c>
      <c r="H33" s="785">
        <v>34</v>
      </c>
      <c r="I33" s="784">
        <f>H33/E33</f>
        <v>0.41463414634146339</v>
      </c>
      <c r="J33" s="785">
        <v>2</v>
      </c>
      <c r="K33" s="784">
        <f>J33/E33</f>
        <v>2.4390243902439025E-2</v>
      </c>
      <c r="L33" s="785">
        <v>11</v>
      </c>
      <c r="M33" s="784">
        <f>L33/E33</f>
        <v>0.13414634146341464</v>
      </c>
      <c r="N33" s="786">
        <v>10</v>
      </c>
      <c r="O33" s="787">
        <f>N33/E33</f>
        <v>0.12195121951219512</v>
      </c>
      <c r="P33" s="785">
        <v>6</v>
      </c>
      <c r="Q33" s="784">
        <f>P33/E33</f>
        <v>7.3170731707317069E-2</v>
      </c>
      <c r="R33" s="786">
        <v>10</v>
      </c>
      <c r="S33" s="787">
        <f>R33/E33</f>
        <v>0.12195121951219512</v>
      </c>
    </row>
    <row r="34" spans="2:19" x14ac:dyDescent="0.25">
      <c r="C34" s="962" t="s">
        <v>98</v>
      </c>
      <c r="D34" s="781">
        <v>3</v>
      </c>
      <c r="E34" s="782">
        <f t="shared" si="3"/>
        <v>0</v>
      </c>
      <c r="F34" s="785">
        <v>0</v>
      </c>
      <c r="G34" s="784">
        <v>0</v>
      </c>
      <c r="H34" s="785">
        <v>0</v>
      </c>
      <c r="I34" s="784">
        <v>0</v>
      </c>
      <c r="J34" s="785">
        <v>0</v>
      </c>
      <c r="K34" s="784">
        <v>1</v>
      </c>
      <c r="L34" s="785">
        <v>0</v>
      </c>
      <c r="M34" s="784">
        <v>0</v>
      </c>
      <c r="N34" s="786">
        <v>0</v>
      </c>
      <c r="O34" s="787">
        <v>0</v>
      </c>
      <c r="P34" s="785">
        <v>0</v>
      </c>
      <c r="Q34" s="784">
        <v>0</v>
      </c>
      <c r="R34" s="786">
        <v>0</v>
      </c>
      <c r="S34" s="787">
        <v>0</v>
      </c>
    </row>
    <row r="35" spans="2:19" ht="20.5" x14ac:dyDescent="0.25">
      <c r="C35" s="962" t="s">
        <v>72</v>
      </c>
      <c r="D35" s="781">
        <v>3</v>
      </c>
      <c r="E35" s="782">
        <f t="shared" si="3"/>
        <v>88</v>
      </c>
      <c r="F35" s="785">
        <v>18</v>
      </c>
      <c r="G35" s="784">
        <f>F35/E35</f>
        <v>0.20454545454545456</v>
      </c>
      <c r="H35" s="785">
        <v>25</v>
      </c>
      <c r="I35" s="784">
        <f>H35/E35</f>
        <v>0.28409090909090912</v>
      </c>
      <c r="J35" s="785">
        <v>17</v>
      </c>
      <c r="K35" s="784">
        <f>J35/E35</f>
        <v>0.19318181818181818</v>
      </c>
      <c r="L35" s="788">
        <v>15</v>
      </c>
      <c r="M35" s="784">
        <f>L35/E35</f>
        <v>0.17045454545454544</v>
      </c>
      <c r="N35" s="786">
        <v>7</v>
      </c>
      <c r="O35" s="787">
        <f>N35/E35</f>
        <v>7.9545454545454544E-2</v>
      </c>
      <c r="P35" s="788">
        <v>6</v>
      </c>
      <c r="Q35" s="784">
        <f>P35/E35</f>
        <v>6.8181818181818177E-2</v>
      </c>
      <c r="R35" s="786">
        <v>0</v>
      </c>
      <c r="S35" s="787">
        <f>R35/E35</f>
        <v>0</v>
      </c>
    </row>
    <row r="36" spans="2:19" ht="20.5" x14ac:dyDescent="0.25">
      <c r="C36" s="962" t="s">
        <v>73</v>
      </c>
      <c r="D36" s="781">
        <v>3</v>
      </c>
      <c r="E36" s="782">
        <f t="shared" si="3"/>
        <v>95</v>
      </c>
      <c r="F36" s="785">
        <v>6</v>
      </c>
      <c r="G36" s="784">
        <f>F36/E36</f>
        <v>6.3157894736842107E-2</v>
      </c>
      <c r="H36" s="785">
        <v>55</v>
      </c>
      <c r="I36" s="784">
        <f>H36/E36</f>
        <v>0.57894736842105265</v>
      </c>
      <c r="J36" s="785">
        <v>10</v>
      </c>
      <c r="K36" s="784">
        <f>J36/E36</f>
        <v>0.10526315789473684</v>
      </c>
      <c r="L36" s="785">
        <v>5</v>
      </c>
      <c r="M36" s="784">
        <f>L36/E36</f>
        <v>5.2631578947368418E-2</v>
      </c>
      <c r="N36" s="789">
        <v>1</v>
      </c>
      <c r="O36" s="787">
        <f>N36/E36</f>
        <v>1.0526315789473684E-2</v>
      </c>
      <c r="P36" s="785">
        <v>18</v>
      </c>
      <c r="Q36" s="784">
        <f>P36/E36</f>
        <v>0.18947368421052632</v>
      </c>
      <c r="R36" s="789">
        <v>0</v>
      </c>
      <c r="S36" s="787">
        <f>R36/E36</f>
        <v>0</v>
      </c>
    </row>
    <row r="37" spans="2:19" ht="20.5" x14ac:dyDescent="0.25">
      <c r="C37" s="962" t="s">
        <v>74</v>
      </c>
      <c r="D37" s="781">
        <v>4</v>
      </c>
      <c r="E37" s="782">
        <f t="shared" si="3"/>
        <v>112</v>
      </c>
      <c r="F37" s="785">
        <v>47</v>
      </c>
      <c r="G37" s="784">
        <f>F37/E37</f>
        <v>0.41964285714285715</v>
      </c>
      <c r="H37" s="785">
        <v>30</v>
      </c>
      <c r="I37" s="784">
        <f>H37/E37</f>
        <v>0.26785714285714285</v>
      </c>
      <c r="J37" s="785">
        <v>20</v>
      </c>
      <c r="K37" s="784">
        <f>J37/E37</f>
        <v>0.17857142857142858</v>
      </c>
      <c r="L37" s="785">
        <v>5</v>
      </c>
      <c r="M37" s="784">
        <f>L37/E37</f>
        <v>4.4642857142857144E-2</v>
      </c>
      <c r="N37" s="786">
        <v>4</v>
      </c>
      <c r="O37" s="787">
        <f>N37/E37</f>
        <v>3.5714285714285712E-2</v>
      </c>
      <c r="P37" s="785">
        <v>5</v>
      </c>
      <c r="Q37" s="784">
        <f>P37/E37</f>
        <v>4.4642857142857144E-2</v>
      </c>
      <c r="R37" s="786">
        <v>1</v>
      </c>
      <c r="S37" s="787">
        <f>R37/E37</f>
        <v>8.9285714285714281E-3</v>
      </c>
    </row>
    <row r="38" spans="2:19" ht="20.5" x14ac:dyDescent="0.25">
      <c r="C38" s="962" t="s">
        <v>75</v>
      </c>
      <c r="D38" s="781">
        <v>4</v>
      </c>
      <c r="E38" s="782">
        <f>F38+H38+J38+L38+N38+P38+R38</f>
        <v>144</v>
      </c>
      <c r="F38" s="785">
        <v>67</v>
      </c>
      <c r="G38" s="784">
        <f>F38/E38</f>
        <v>0.46527777777777779</v>
      </c>
      <c r="H38" s="785">
        <v>24</v>
      </c>
      <c r="I38" s="784">
        <f>H38/E38</f>
        <v>0.16666666666666666</v>
      </c>
      <c r="J38" s="785">
        <v>27</v>
      </c>
      <c r="K38" s="784">
        <f>J38/E38</f>
        <v>0.1875</v>
      </c>
      <c r="L38" s="785">
        <v>2</v>
      </c>
      <c r="M38" s="784">
        <f>L38/E38</f>
        <v>1.3888888888888888E-2</v>
      </c>
      <c r="N38" s="786">
        <v>7</v>
      </c>
      <c r="O38" s="787">
        <f>N38/E38</f>
        <v>4.8611111111111112E-2</v>
      </c>
      <c r="P38" s="785">
        <v>16</v>
      </c>
      <c r="Q38" s="784">
        <f>P38/E38</f>
        <v>0.1111111111111111</v>
      </c>
      <c r="R38" s="786">
        <v>1</v>
      </c>
      <c r="S38" s="787">
        <f>R38/E38</f>
        <v>6.9444444444444441E-3</v>
      </c>
    </row>
    <row r="39" spans="2:19" ht="20.5" x14ac:dyDescent="0.25">
      <c r="C39" s="962" t="s">
        <v>76</v>
      </c>
      <c r="D39" s="781">
        <v>4</v>
      </c>
      <c r="E39" s="782">
        <f t="shared" ref="E39:E46" si="4">F39+H39+J39+L39+N39+P39+R39</f>
        <v>134</v>
      </c>
      <c r="F39" s="785">
        <v>24</v>
      </c>
      <c r="G39" s="784">
        <f>F39/E39</f>
        <v>0.17910447761194029</v>
      </c>
      <c r="H39" s="785">
        <v>68</v>
      </c>
      <c r="I39" s="784">
        <f>H39/E39</f>
        <v>0.5074626865671642</v>
      </c>
      <c r="J39" s="785">
        <v>16</v>
      </c>
      <c r="K39" s="784">
        <f>J39/E39</f>
        <v>0.11940298507462686</v>
      </c>
      <c r="L39" s="785">
        <v>2</v>
      </c>
      <c r="M39" s="784">
        <f>L39/E39</f>
        <v>1.4925373134328358E-2</v>
      </c>
      <c r="N39" s="786">
        <v>5</v>
      </c>
      <c r="O39" s="787">
        <f>N39/E39</f>
        <v>3.7313432835820892E-2</v>
      </c>
      <c r="P39" s="785">
        <v>19</v>
      </c>
      <c r="Q39" s="784">
        <f>P39/E39</f>
        <v>0.1417910447761194</v>
      </c>
      <c r="R39" s="786">
        <v>0</v>
      </c>
      <c r="S39" s="787">
        <f>R39/E39</f>
        <v>0</v>
      </c>
    </row>
    <row r="40" spans="2:19" ht="20.5" x14ac:dyDescent="0.25">
      <c r="C40" s="962" t="s">
        <v>848</v>
      </c>
      <c r="D40" s="781">
        <v>4</v>
      </c>
      <c r="E40" s="782">
        <f t="shared" si="4"/>
        <v>0</v>
      </c>
      <c r="F40" s="785">
        <v>0</v>
      </c>
      <c r="G40" s="784">
        <v>0</v>
      </c>
      <c r="H40" s="785">
        <v>0</v>
      </c>
      <c r="I40" s="784">
        <v>0</v>
      </c>
      <c r="J40" s="785">
        <v>0</v>
      </c>
      <c r="K40" s="784">
        <v>1</v>
      </c>
      <c r="L40" s="785">
        <v>0</v>
      </c>
      <c r="M40" s="784">
        <v>0</v>
      </c>
      <c r="N40" s="786">
        <v>0</v>
      </c>
      <c r="O40" s="787">
        <v>0</v>
      </c>
      <c r="P40" s="785">
        <v>0</v>
      </c>
      <c r="Q40" s="784">
        <v>0</v>
      </c>
      <c r="R40" s="786">
        <v>0</v>
      </c>
      <c r="S40" s="787">
        <v>0</v>
      </c>
    </row>
    <row r="41" spans="2:19" x14ac:dyDescent="0.25">
      <c r="C41" s="962" t="s">
        <v>770</v>
      </c>
      <c r="D41" s="781">
        <v>4</v>
      </c>
      <c r="E41" s="782">
        <f t="shared" si="4"/>
        <v>0</v>
      </c>
      <c r="F41" s="785">
        <v>0</v>
      </c>
      <c r="G41" s="784">
        <v>0</v>
      </c>
      <c r="H41" s="785">
        <v>0</v>
      </c>
      <c r="I41" s="784">
        <v>0</v>
      </c>
      <c r="J41" s="785">
        <v>0</v>
      </c>
      <c r="K41" s="784">
        <v>1</v>
      </c>
      <c r="L41" s="785">
        <v>0</v>
      </c>
      <c r="M41" s="784">
        <v>0</v>
      </c>
      <c r="N41" s="786">
        <v>0</v>
      </c>
      <c r="O41" s="787">
        <v>0</v>
      </c>
      <c r="P41" s="785">
        <v>0</v>
      </c>
      <c r="Q41" s="784">
        <v>0</v>
      </c>
      <c r="R41" s="786">
        <v>0</v>
      </c>
      <c r="S41" s="787">
        <v>0</v>
      </c>
    </row>
    <row r="42" spans="2:19" ht="20.5" x14ac:dyDescent="0.25">
      <c r="C42" s="962" t="s">
        <v>771</v>
      </c>
      <c r="D42" s="781">
        <v>4</v>
      </c>
      <c r="E42" s="782">
        <f t="shared" si="4"/>
        <v>0</v>
      </c>
      <c r="F42" s="783">
        <v>0</v>
      </c>
      <c r="G42" s="784">
        <v>0</v>
      </c>
      <c r="H42" s="785">
        <v>0</v>
      </c>
      <c r="I42" s="784">
        <v>0</v>
      </c>
      <c r="J42" s="785">
        <v>0</v>
      </c>
      <c r="K42" s="784">
        <v>1</v>
      </c>
      <c r="L42" s="785">
        <v>0</v>
      </c>
      <c r="M42" s="784">
        <v>0</v>
      </c>
      <c r="N42" s="786">
        <v>0</v>
      </c>
      <c r="O42" s="787">
        <v>0</v>
      </c>
      <c r="P42" s="785">
        <v>0</v>
      </c>
      <c r="Q42" s="784">
        <v>0</v>
      </c>
      <c r="R42" s="786">
        <v>0</v>
      </c>
      <c r="S42" s="787">
        <v>0</v>
      </c>
    </row>
    <row r="43" spans="2:19" ht="20.5" x14ac:dyDescent="0.25">
      <c r="C43" s="962" t="s">
        <v>77</v>
      </c>
      <c r="D43" s="781">
        <v>4</v>
      </c>
      <c r="E43" s="782">
        <f t="shared" si="4"/>
        <v>86</v>
      </c>
      <c r="F43" s="785">
        <v>6</v>
      </c>
      <c r="G43" s="784">
        <f>F43/E43</f>
        <v>6.9767441860465115E-2</v>
      </c>
      <c r="H43" s="783">
        <v>24</v>
      </c>
      <c r="I43" s="784">
        <f>H43/E43</f>
        <v>0.27906976744186046</v>
      </c>
      <c r="J43" s="783">
        <v>3</v>
      </c>
      <c r="K43" s="784">
        <f>J43/E43</f>
        <v>3.4883720930232558E-2</v>
      </c>
      <c r="L43" s="783">
        <v>11</v>
      </c>
      <c r="M43" s="784">
        <f>L43/E43</f>
        <v>0.12790697674418605</v>
      </c>
      <c r="N43" s="786">
        <v>16</v>
      </c>
      <c r="O43" s="787">
        <f>N43/E43</f>
        <v>0.18604651162790697</v>
      </c>
      <c r="P43" s="783">
        <v>14</v>
      </c>
      <c r="Q43" s="784">
        <f>P43/E43</f>
        <v>0.16279069767441862</v>
      </c>
      <c r="R43" s="786">
        <v>12</v>
      </c>
      <c r="S43" s="787">
        <f>R43/E43</f>
        <v>0.13953488372093023</v>
      </c>
    </row>
    <row r="44" spans="2:19" ht="20.5" x14ac:dyDescent="0.25">
      <c r="C44" s="962" t="s">
        <v>78</v>
      </c>
      <c r="D44" s="781">
        <v>5</v>
      </c>
      <c r="E44" s="782">
        <f t="shared" si="4"/>
        <v>162</v>
      </c>
      <c r="F44" s="785">
        <v>45</v>
      </c>
      <c r="G44" s="784">
        <f>F44/E44</f>
        <v>0.27777777777777779</v>
      </c>
      <c r="H44" s="785">
        <v>57</v>
      </c>
      <c r="I44" s="784">
        <f>H44/E44</f>
        <v>0.35185185185185186</v>
      </c>
      <c r="J44" s="785">
        <v>16</v>
      </c>
      <c r="K44" s="784">
        <f>J44/E44</f>
        <v>9.8765432098765427E-2</v>
      </c>
      <c r="L44" s="785">
        <v>7</v>
      </c>
      <c r="M44" s="784">
        <f>L44/E44</f>
        <v>4.3209876543209874E-2</v>
      </c>
      <c r="N44" s="786">
        <v>12</v>
      </c>
      <c r="O44" s="787">
        <f>N44/E44</f>
        <v>7.407407407407407E-2</v>
      </c>
      <c r="P44" s="785">
        <v>24</v>
      </c>
      <c r="Q44" s="784">
        <f>P44/E44</f>
        <v>0.14814814814814814</v>
      </c>
      <c r="R44" s="786">
        <v>1</v>
      </c>
      <c r="S44" s="787">
        <f>R44/E44</f>
        <v>6.1728395061728392E-3</v>
      </c>
    </row>
    <row r="45" spans="2:19" ht="20.5" x14ac:dyDescent="0.25">
      <c r="C45" s="962" t="s">
        <v>55</v>
      </c>
      <c r="D45" s="781">
        <v>5</v>
      </c>
      <c r="E45" s="782">
        <f t="shared" si="4"/>
        <v>237</v>
      </c>
      <c r="F45" s="785">
        <v>102</v>
      </c>
      <c r="G45" s="784">
        <f>F45/E45</f>
        <v>0.43037974683544306</v>
      </c>
      <c r="H45" s="785">
        <v>64</v>
      </c>
      <c r="I45" s="784">
        <f>H45/E45</f>
        <v>0.27004219409282698</v>
      </c>
      <c r="J45" s="785">
        <v>7</v>
      </c>
      <c r="K45" s="784">
        <f>J45/E45</f>
        <v>2.9535864978902954E-2</v>
      </c>
      <c r="L45" s="785">
        <v>15</v>
      </c>
      <c r="M45" s="784">
        <f>L45/E45</f>
        <v>6.3291139240506333E-2</v>
      </c>
      <c r="N45" s="786">
        <v>14</v>
      </c>
      <c r="O45" s="787">
        <f>N45/E45</f>
        <v>5.9071729957805907E-2</v>
      </c>
      <c r="P45" s="785">
        <v>33</v>
      </c>
      <c r="Q45" s="784">
        <f>P45/E45</f>
        <v>0.13924050632911392</v>
      </c>
      <c r="R45" s="786">
        <v>2</v>
      </c>
      <c r="S45" s="787">
        <f>R45/E45</f>
        <v>8.4388185654008432E-3</v>
      </c>
    </row>
    <row r="46" spans="2:19" ht="20.5" x14ac:dyDescent="0.25">
      <c r="C46" s="962" t="s">
        <v>80</v>
      </c>
      <c r="D46" s="781">
        <v>6</v>
      </c>
      <c r="E46" s="782">
        <f t="shared" si="4"/>
        <v>136</v>
      </c>
      <c r="F46" s="785">
        <v>23</v>
      </c>
      <c r="G46" s="784">
        <f>F46/E46</f>
        <v>0.16911764705882354</v>
      </c>
      <c r="H46" s="785">
        <v>16</v>
      </c>
      <c r="I46" s="784">
        <f>H46/E46</f>
        <v>0.11764705882352941</v>
      </c>
      <c r="J46" s="785">
        <v>1</v>
      </c>
      <c r="K46" s="784">
        <f>J46/E46</f>
        <v>7.3529411764705881E-3</v>
      </c>
      <c r="L46" s="785">
        <v>28</v>
      </c>
      <c r="M46" s="784">
        <f>L46/E46</f>
        <v>0.20588235294117646</v>
      </c>
      <c r="N46" s="786">
        <v>32</v>
      </c>
      <c r="O46" s="787">
        <f>N46/E46</f>
        <v>0.23529411764705882</v>
      </c>
      <c r="P46" s="785">
        <v>1</v>
      </c>
      <c r="Q46" s="784">
        <f>P46/E46</f>
        <v>7.3529411764705881E-3</v>
      </c>
      <c r="R46" s="786">
        <v>35</v>
      </c>
      <c r="S46" s="787">
        <f>R46/E46</f>
        <v>0.25735294117647056</v>
      </c>
    </row>
    <row r="48" spans="2:19" ht="13" x14ac:dyDescent="0.3">
      <c r="B48" s="1024" t="s">
        <v>957</v>
      </c>
    </row>
    <row r="50" spans="3:19" ht="21" x14ac:dyDescent="0.25">
      <c r="C50" s="773" t="s">
        <v>66</v>
      </c>
      <c r="D50" s="774" t="s">
        <v>51</v>
      </c>
      <c r="E50" s="775" t="s">
        <v>688</v>
      </c>
      <c r="F50" s="776" t="s">
        <v>839</v>
      </c>
      <c r="G50" s="777" t="s">
        <v>858</v>
      </c>
      <c r="H50" s="776" t="s">
        <v>840</v>
      </c>
      <c r="I50" s="777" t="s">
        <v>880</v>
      </c>
      <c r="J50" s="776" t="s">
        <v>841</v>
      </c>
      <c r="K50" s="777" t="s">
        <v>881</v>
      </c>
      <c r="L50" s="776" t="s">
        <v>842</v>
      </c>
      <c r="M50" s="777" t="s">
        <v>882</v>
      </c>
      <c r="N50" s="778" t="s">
        <v>843</v>
      </c>
      <c r="O50" s="779" t="s">
        <v>883</v>
      </c>
      <c r="P50" s="776" t="s">
        <v>844</v>
      </c>
      <c r="Q50" s="777" t="s">
        <v>884</v>
      </c>
      <c r="R50" s="778" t="s">
        <v>845</v>
      </c>
      <c r="S50" s="779" t="s">
        <v>885</v>
      </c>
    </row>
    <row r="51" spans="3:19" ht="20.5" x14ac:dyDescent="0.25">
      <c r="C51" s="780" t="s">
        <v>67</v>
      </c>
      <c r="D51" s="781">
        <v>3</v>
      </c>
      <c r="E51" s="782">
        <f t="shared" ref="E51:S51" si="5">E5-E29</f>
        <v>4</v>
      </c>
      <c r="F51" s="822">
        <f t="shared" si="5"/>
        <v>1</v>
      </c>
      <c r="G51" s="821">
        <f t="shared" si="5"/>
        <v>1.2499999999999997E-2</v>
      </c>
      <c r="H51" s="822">
        <f t="shared" si="5"/>
        <v>1</v>
      </c>
      <c r="I51" s="821">
        <f t="shared" si="5"/>
        <v>-6.2499999999999778E-3</v>
      </c>
      <c r="J51" s="822">
        <f t="shared" si="5"/>
        <v>0</v>
      </c>
      <c r="K51" s="821">
        <f t="shared" si="5"/>
        <v>-4.1666666666666657E-3</v>
      </c>
      <c r="L51" s="822">
        <f t="shared" si="5"/>
        <v>2</v>
      </c>
      <c r="M51" s="821">
        <f t="shared" si="5"/>
        <v>2.1875000000000006E-2</v>
      </c>
      <c r="N51" s="822">
        <f t="shared" si="5"/>
        <v>0</v>
      </c>
      <c r="O51" s="821">
        <f t="shared" si="5"/>
        <v>-3.1250000000000028E-3</v>
      </c>
      <c r="P51" s="822">
        <f t="shared" si="5"/>
        <v>-2</v>
      </c>
      <c r="Q51" s="821">
        <f t="shared" si="5"/>
        <v>-4.4791666666666674E-2</v>
      </c>
      <c r="R51" s="822">
        <f t="shared" si="5"/>
        <v>2</v>
      </c>
      <c r="S51" s="821">
        <f t="shared" si="5"/>
        <v>2.3958333333333331E-2</v>
      </c>
    </row>
    <row r="52" spans="3:19" ht="20.5" x14ac:dyDescent="0.25">
      <c r="C52" s="780" t="s">
        <v>68</v>
      </c>
      <c r="D52" s="781">
        <v>3</v>
      </c>
      <c r="E52" s="782">
        <f t="shared" ref="E52:G68" si="6">E6-E30</f>
        <v>2</v>
      </c>
      <c r="F52" s="822">
        <f t="shared" si="6"/>
        <v>-2</v>
      </c>
      <c r="G52" s="821">
        <f t="shared" si="6"/>
        <v>-2.9160739687055487E-2</v>
      </c>
      <c r="H52" s="822">
        <f t="shared" ref="H52:I68" si="7">H6-H30</f>
        <v>10</v>
      </c>
      <c r="I52" s="821">
        <f t="shared" si="7"/>
        <v>0.12553342816500709</v>
      </c>
      <c r="J52" s="822">
        <f t="shared" ref="J52:K68" si="8">J6-J30</f>
        <v>-4</v>
      </c>
      <c r="K52" s="821">
        <f t="shared" si="8"/>
        <v>-5.5832147937411106E-2</v>
      </c>
      <c r="L52" s="822">
        <f t="shared" ref="L52:M68" si="9">L6-L30</f>
        <v>0</v>
      </c>
      <c r="M52" s="821">
        <f t="shared" si="9"/>
        <v>-3.9118065433854932E-3</v>
      </c>
      <c r="N52" s="822">
        <f t="shared" ref="N52:O68" si="10">N6-N30</f>
        <v>1</v>
      </c>
      <c r="O52" s="821">
        <f t="shared" si="10"/>
        <v>9.6017069701280211E-3</v>
      </c>
      <c r="P52" s="822">
        <f t="shared" ref="P52:Q68" si="11">P6-P30</f>
        <v>-1</v>
      </c>
      <c r="Q52" s="821">
        <f t="shared" si="11"/>
        <v>-1.7780938833570431E-2</v>
      </c>
      <c r="R52" s="822">
        <f t="shared" ref="R52:S68" si="12">R6-R30</f>
        <v>-2</v>
      </c>
      <c r="S52" s="821">
        <f t="shared" si="12"/>
        <v>-2.8449502133712667E-2</v>
      </c>
    </row>
    <row r="53" spans="3:19" ht="20.5" x14ac:dyDescent="0.25">
      <c r="C53" s="780" t="s">
        <v>69</v>
      </c>
      <c r="D53" s="781">
        <v>3</v>
      </c>
      <c r="E53" s="782">
        <f t="shared" si="6"/>
        <v>0</v>
      </c>
      <c r="F53" s="822">
        <f t="shared" si="6"/>
        <v>-5</v>
      </c>
      <c r="G53" s="821">
        <f t="shared" si="6"/>
        <v>-6.7567567567567571E-2</v>
      </c>
      <c r="H53" s="822">
        <f t="shared" si="7"/>
        <v>4</v>
      </c>
      <c r="I53" s="821">
        <f t="shared" si="7"/>
        <v>5.4054054054054057E-2</v>
      </c>
      <c r="J53" s="822">
        <f t="shared" si="8"/>
        <v>-4</v>
      </c>
      <c r="K53" s="821">
        <f t="shared" si="8"/>
        <v>-5.4054054054054057E-2</v>
      </c>
      <c r="L53" s="822">
        <f t="shared" si="9"/>
        <v>4</v>
      </c>
      <c r="M53" s="821">
        <f t="shared" si="9"/>
        <v>5.4054054054054057E-2</v>
      </c>
      <c r="N53" s="822">
        <f t="shared" si="10"/>
        <v>-2</v>
      </c>
      <c r="O53" s="821">
        <f t="shared" si="10"/>
        <v>-2.7027027027027029E-2</v>
      </c>
      <c r="P53" s="822">
        <f t="shared" si="11"/>
        <v>2</v>
      </c>
      <c r="Q53" s="821">
        <f t="shared" si="11"/>
        <v>2.7027027027027029E-2</v>
      </c>
      <c r="R53" s="822">
        <f t="shared" si="12"/>
        <v>1</v>
      </c>
      <c r="S53" s="821">
        <f t="shared" si="12"/>
        <v>1.3513513513513514E-2</v>
      </c>
    </row>
    <row r="54" spans="3:19" ht="20.5" x14ac:dyDescent="0.25">
      <c r="C54" s="780" t="s">
        <v>70</v>
      </c>
      <c r="D54" s="781">
        <v>3</v>
      </c>
      <c r="E54" s="782">
        <f t="shared" si="6"/>
        <v>-2</v>
      </c>
      <c r="F54" s="822">
        <f t="shared" si="6"/>
        <v>-1</v>
      </c>
      <c r="G54" s="821">
        <f t="shared" si="6"/>
        <v>-1.6123499142367062E-2</v>
      </c>
      <c r="H54" s="822">
        <f t="shared" si="7"/>
        <v>2</v>
      </c>
      <c r="I54" s="821">
        <f t="shared" si="7"/>
        <v>4.8027444253859353E-2</v>
      </c>
      <c r="J54" s="822">
        <f t="shared" si="8"/>
        <v>0</v>
      </c>
      <c r="K54" s="821">
        <f t="shared" si="8"/>
        <v>1.3722126929674103E-3</v>
      </c>
      <c r="L54" s="822">
        <f t="shared" si="9"/>
        <v>-4</v>
      </c>
      <c r="M54" s="821">
        <f t="shared" si="9"/>
        <v>-6.6552315608919388E-2</v>
      </c>
      <c r="N54" s="822">
        <f t="shared" si="10"/>
        <v>1</v>
      </c>
      <c r="O54" s="821">
        <f t="shared" si="10"/>
        <v>2.4356775300171524E-2</v>
      </c>
      <c r="P54" s="822">
        <f t="shared" si="11"/>
        <v>0</v>
      </c>
      <c r="Q54" s="821">
        <f t="shared" si="11"/>
        <v>5.4888507718696411E-3</v>
      </c>
      <c r="R54" s="822">
        <f t="shared" si="12"/>
        <v>0</v>
      </c>
      <c r="S54" s="821">
        <f t="shared" si="12"/>
        <v>3.4305317324185292E-3</v>
      </c>
    </row>
    <row r="55" spans="3:19" ht="20.5" x14ac:dyDescent="0.25">
      <c r="C55" s="780" t="s">
        <v>71</v>
      </c>
      <c r="D55" s="781">
        <v>3</v>
      </c>
      <c r="E55" s="782">
        <f t="shared" si="6"/>
        <v>1</v>
      </c>
      <c r="F55" s="822">
        <f t="shared" si="6"/>
        <v>0</v>
      </c>
      <c r="G55" s="821">
        <f t="shared" si="6"/>
        <v>-1.3223626212165718E-3</v>
      </c>
      <c r="H55" s="822">
        <f t="shared" si="7"/>
        <v>2</v>
      </c>
      <c r="I55" s="821">
        <f t="shared" si="7"/>
        <v>1.9100793417572759E-2</v>
      </c>
      <c r="J55" s="822">
        <f t="shared" si="8"/>
        <v>0</v>
      </c>
      <c r="K55" s="821">
        <f t="shared" si="8"/>
        <v>-2.9385836027034928E-4</v>
      </c>
      <c r="L55" s="822">
        <f t="shared" si="9"/>
        <v>2</v>
      </c>
      <c r="M55" s="821">
        <f t="shared" si="9"/>
        <v>2.2480164560681748E-2</v>
      </c>
      <c r="N55" s="822">
        <f t="shared" si="10"/>
        <v>-1</v>
      </c>
      <c r="O55" s="821">
        <f t="shared" si="10"/>
        <v>-1.3517484572436081E-2</v>
      </c>
      <c r="P55" s="822">
        <f t="shared" si="11"/>
        <v>0</v>
      </c>
      <c r="Q55" s="821">
        <f t="shared" si="11"/>
        <v>-8.8157508081104785E-4</v>
      </c>
      <c r="R55" s="822">
        <f t="shared" si="12"/>
        <v>-2</v>
      </c>
      <c r="S55" s="821">
        <f t="shared" si="12"/>
        <v>-2.5565677343520415E-2</v>
      </c>
    </row>
    <row r="56" spans="3:19" x14ac:dyDescent="0.25">
      <c r="C56" s="780" t="s">
        <v>98</v>
      </c>
      <c r="D56" s="781">
        <v>3</v>
      </c>
      <c r="E56" s="782">
        <f t="shared" si="6"/>
        <v>0</v>
      </c>
      <c r="F56" s="822">
        <f t="shared" si="6"/>
        <v>0</v>
      </c>
      <c r="G56" s="821">
        <f t="shared" si="6"/>
        <v>0</v>
      </c>
      <c r="H56" s="822">
        <f t="shared" si="7"/>
        <v>0</v>
      </c>
      <c r="I56" s="821">
        <f t="shared" si="7"/>
        <v>0</v>
      </c>
      <c r="J56" s="822">
        <f t="shared" si="8"/>
        <v>0</v>
      </c>
      <c r="K56" s="821">
        <f t="shared" si="8"/>
        <v>0</v>
      </c>
      <c r="L56" s="822">
        <f t="shared" si="9"/>
        <v>0</v>
      </c>
      <c r="M56" s="821">
        <f t="shared" si="9"/>
        <v>0</v>
      </c>
      <c r="N56" s="822">
        <f t="shared" si="10"/>
        <v>0</v>
      </c>
      <c r="O56" s="821">
        <f t="shared" si="10"/>
        <v>0</v>
      </c>
      <c r="P56" s="822">
        <f t="shared" si="11"/>
        <v>0</v>
      </c>
      <c r="Q56" s="821">
        <f t="shared" si="11"/>
        <v>0</v>
      </c>
      <c r="R56" s="822">
        <f t="shared" si="12"/>
        <v>0</v>
      </c>
      <c r="S56" s="821">
        <f t="shared" si="12"/>
        <v>0</v>
      </c>
    </row>
    <row r="57" spans="3:19" ht="20.5" x14ac:dyDescent="0.25">
      <c r="C57" s="780" t="s">
        <v>72</v>
      </c>
      <c r="D57" s="781">
        <v>3</v>
      </c>
      <c r="E57" s="782">
        <f t="shared" si="6"/>
        <v>7</v>
      </c>
      <c r="F57" s="822">
        <f t="shared" si="6"/>
        <v>-1</v>
      </c>
      <c r="G57" s="821">
        <f t="shared" si="6"/>
        <v>-2.5598086124401925E-2</v>
      </c>
      <c r="H57" s="822">
        <f t="shared" si="7"/>
        <v>17</v>
      </c>
      <c r="I57" s="821">
        <f t="shared" si="7"/>
        <v>0.15801435406698561</v>
      </c>
      <c r="J57" s="822">
        <f t="shared" si="8"/>
        <v>-5</v>
      </c>
      <c r="K57" s="821">
        <f t="shared" si="8"/>
        <v>-6.6866028708133962E-2</v>
      </c>
      <c r="L57" s="822">
        <f t="shared" si="9"/>
        <v>0</v>
      </c>
      <c r="M57" s="821">
        <f t="shared" si="9"/>
        <v>-1.2559808612440188E-2</v>
      </c>
      <c r="N57" s="822">
        <f t="shared" si="10"/>
        <v>-3</v>
      </c>
      <c r="O57" s="821">
        <f t="shared" si="10"/>
        <v>-3.7440191387559808E-2</v>
      </c>
      <c r="P57" s="822">
        <f t="shared" si="11"/>
        <v>-1</v>
      </c>
      <c r="Q57" s="821">
        <f t="shared" si="11"/>
        <v>-1.5550239234449759E-2</v>
      </c>
      <c r="R57" s="822">
        <f t="shared" si="12"/>
        <v>0</v>
      </c>
      <c r="S57" s="821">
        <f t="shared" si="12"/>
        <v>0</v>
      </c>
    </row>
    <row r="58" spans="3:19" ht="20.5" x14ac:dyDescent="0.25">
      <c r="C58" s="780" t="s">
        <v>73</v>
      </c>
      <c r="D58" s="781">
        <v>3</v>
      </c>
      <c r="E58" s="782">
        <f t="shared" si="6"/>
        <v>2</v>
      </c>
      <c r="F58" s="822">
        <f t="shared" si="6"/>
        <v>4</v>
      </c>
      <c r="G58" s="821">
        <f t="shared" si="6"/>
        <v>3.9934888768312526E-2</v>
      </c>
      <c r="H58" s="822">
        <f t="shared" si="7"/>
        <v>-4</v>
      </c>
      <c r="I58" s="821">
        <f t="shared" si="7"/>
        <v>-5.3174172544763976E-2</v>
      </c>
      <c r="J58" s="822">
        <f t="shared" si="8"/>
        <v>-2</v>
      </c>
      <c r="K58" s="821">
        <f t="shared" si="8"/>
        <v>-2.2788931090613126E-2</v>
      </c>
      <c r="L58" s="822">
        <f t="shared" si="9"/>
        <v>4</v>
      </c>
      <c r="M58" s="821">
        <f t="shared" si="9"/>
        <v>4.0151926207270761E-2</v>
      </c>
      <c r="N58" s="822">
        <f t="shared" si="10"/>
        <v>0</v>
      </c>
      <c r="O58" s="821">
        <f t="shared" si="10"/>
        <v>-2.1703743895822025E-4</v>
      </c>
      <c r="P58" s="822">
        <f t="shared" si="11"/>
        <v>0</v>
      </c>
      <c r="Q58" s="821">
        <f t="shared" si="11"/>
        <v>-3.9066739012479645E-3</v>
      </c>
      <c r="R58" s="822">
        <f t="shared" si="12"/>
        <v>0</v>
      </c>
      <c r="S58" s="821">
        <f t="shared" si="12"/>
        <v>0</v>
      </c>
    </row>
    <row r="59" spans="3:19" ht="20.5" x14ac:dyDescent="0.25">
      <c r="C59" s="780" t="s">
        <v>74</v>
      </c>
      <c r="D59" s="781">
        <v>4</v>
      </c>
      <c r="E59" s="782">
        <f t="shared" si="6"/>
        <v>-3</v>
      </c>
      <c r="F59" s="822">
        <f t="shared" si="6"/>
        <v>-1</v>
      </c>
      <c r="G59" s="821">
        <f t="shared" si="6"/>
        <v>2.3754914809960836E-3</v>
      </c>
      <c r="H59" s="822">
        <f t="shared" si="7"/>
        <v>-1</v>
      </c>
      <c r="I59" s="821">
        <f t="shared" si="7"/>
        <v>-1.8020969855832014E-3</v>
      </c>
      <c r="J59" s="822">
        <f t="shared" si="8"/>
        <v>-3</v>
      </c>
      <c r="K59" s="821">
        <f t="shared" si="8"/>
        <v>-2.2608125819134989E-2</v>
      </c>
      <c r="L59" s="822">
        <f t="shared" si="9"/>
        <v>0</v>
      </c>
      <c r="M59" s="821">
        <f t="shared" si="9"/>
        <v>1.2287024901703816E-3</v>
      </c>
      <c r="N59" s="822">
        <f t="shared" si="10"/>
        <v>1</v>
      </c>
      <c r="O59" s="821">
        <f t="shared" si="10"/>
        <v>1.0157273918741813E-2</v>
      </c>
      <c r="P59" s="822">
        <f t="shared" si="11"/>
        <v>1</v>
      </c>
      <c r="Q59" s="821">
        <f t="shared" si="11"/>
        <v>1.0403014416775887E-2</v>
      </c>
      <c r="R59" s="822">
        <f t="shared" si="12"/>
        <v>0</v>
      </c>
      <c r="S59" s="821">
        <f t="shared" si="12"/>
        <v>2.4574049803407702E-4</v>
      </c>
    </row>
    <row r="60" spans="3:19" ht="20.5" x14ac:dyDescent="0.25">
      <c r="C60" s="780" t="s">
        <v>75</v>
      </c>
      <c r="D60" s="781">
        <v>4</v>
      </c>
      <c r="E60" s="782">
        <f t="shared" si="6"/>
        <v>-2</v>
      </c>
      <c r="F60" s="822">
        <f t="shared" si="6"/>
        <v>-6</v>
      </c>
      <c r="G60" s="821">
        <f t="shared" si="6"/>
        <v>-3.5700312989045413E-2</v>
      </c>
      <c r="H60" s="822">
        <f t="shared" si="7"/>
        <v>12</v>
      </c>
      <c r="I60" s="821">
        <f t="shared" si="7"/>
        <v>8.6854460093896718E-2</v>
      </c>
      <c r="J60" s="822">
        <f t="shared" si="8"/>
        <v>-5</v>
      </c>
      <c r="K60" s="821">
        <f t="shared" si="8"/>
        <v>-3.257042253521128E-2</v>
      </c>
      <c r="L60" s="822">
        <f t="shared" si="9"/>
        <v>1</v>
      </c>
      <c r="M60" s="821">
        <f t="shared" si="9"/>
        <v>7.2378716744913932E-3</v>
      </c>
      <c r="N60" s="822">
        <f t="shared" si="10"/>
        <v>-1</v>
      </c>
      <c r="O60" s="821">
        <f t="shared" si="10"/>
        <v>-6.3575899843505493E-3</v>
      </c>
      <c r="P60" s="822">
        <f t="shared" si="11"/>
        <v>-4</v>
      </c>
      <c r="Q60" s="821">
        <f t="shared" si="11"/>
        <v>-2.660406885758998E-2</v>
      </c>
      <c r="R60" s="822">
        <f t="shared" si="12"/>
        <v>1</v>
      </c>
      <c r="S60" s="821">
        <f t="shared" si="12"/>
        <v>7.1400625978090774E-3</v>
      </c>
    </row>
    <row r="61" spans="3:19" ht="20.5" x14ac:dyDescent="0.25">
      <c r="C61" s="780" t="s">
        <v>76</v>
      </c>
      <c r="D61" s="781">
        <v>4</v>
      </c>
      <c r="E61" s="782">
        <f t="shared" si="6"/>
        <v>-5</v>
      </c>
      <c r="F61" s="822">
        <f t="shared" si="6"/>
        <v>-2</v>
      </c>
      <c r="G61" s="821">
        <f t="shared" si="6"/>
        <v>-8.5618419530255618E-3</v>
      </c>
      <c r="H61" s="822">
        <f t="shared" si="7"/>
        <v>7</v>
      </c>
      <c r="I61" s="821">
        <f t="shared" si="7"/>
        <v>7.3932662270045135E-2</v>
      </c>
      <c r="J61" s="822">
        <f t="shared" si="8"/>
        <v>-5</v>
      </c>
      <c r="K61" s="821">
        <f t="shared" si="8"/>
        <v>-3.41316672451695E-2</v>
      </c>
      <c r="L61" s="822">
        <f t="shared" si="9"/>
        <v>0</v>
      </c>
      <c r="M61" s="821">
        <f t="shared" si="9"/>
        <v>5.7850283466388992E-4</v>
      </c>
      <c r="N61" s="822">
        <f t="shared" si="10"/>
        <v>-1</v>
      </c>
      <c r="O61" s="821">
        <f t="shared" si="10"/>
        <v>-6.3056808978363965E-3</v>
      </c>
      <c r="P61" s="822">
        <f t="shared" si="11"/>
        <v>-4</v>
      </c>
      <c r="Q61" s="821">
        <f t="shared" si="11"/>
        <v>-2.5511975008677537E-2</v>
      </c>
      <c r="R61" s="822">
        <f t="shared" si="12"/>
        <v>0</v>
      </c>
      <c r="S61" s="821">
        <f t="shared" si="12"/>
        <v>0</v>
      </c>
    </row>
    <row r="62" spans="3:19" ht="20.5" x14ac:dyDescent="0.25">
      <c r="C62" s="780" t="s">
        <v>99</v>
      </c>
      <c r="D62" s="781">
        <v>4</v>
      </c>
      <c r="E62" s="782">
        <f t="shared" si="6"/>
        <v>0</v>
      </c>
      <c r="F62" s="822">
        <f t="shared" si="6"/>
        <v>0</v>
      </c>
      <c r="G62" s="821">
        <f t="shared" si="6"/>
        <v>0</v>
      </c>
      <c r="H62" s="822">
        <f t="shared" si="7"/>
        <v>0</v>
      </c>
      <c r="I62" s="821">
        <f t="shared" si="7"/>
        <v>0</v>
      </c>
      <c r="J62" s="822">
        <f t="shared" si="8"/>
        <v>0</v>
      </c>
      <c r="K62" s="821">
        <f t="shared" si="8"/>
        <v>0</v>
      </c>
      <c r="L62" s="822">
        <f t="shared" si="9"/>
        <v>0</v>
      </c>
      <c r="M62" s="821">
        <f t="shared" si="9"/>
        <v>0</v>
      </c>
      <c r="N62" s="822">
        <f t="shared" si="10"/>
        <v>0</v>
      </c>
      <c r="O62" s="821">
        <f t="shared" si="10"/>
        <v>0</v>
      </c>
      <c r="P62" s="822">
        <f t="shared" si="11"/>
        <v>0</v>
      </c>
      <c r="Q62" s="821">
        <f t="shared" si="11"/>
        <v>0</v>
      </c>
      <c r="R62" s="822">
        <f t="shared" si="12"/>
        <v>0</v>
      </c>
      <c r="S62" s="821">
        <f t="shared" si="12"/>
        <v>0</v>
      </c>
    </row>
    <row r="63" spans="3:19" ht="20.5" x14ac:dyDescent="0.25">
      <c r="C63" s="780" t="s">
        <v>100</v>
      </c>
      <c r="D63" s="781">
        <v>4</v>
      </c>
      <c r="E63" s="782">
        <f t="shared" si="6"/>
        <v>0</v>
      </c>
      <c r="F63" s="822">
        <f t="shared" si="6"/>
        <v>0</v>
      </c>
      <c r="G63" s="821">
        <f t="shared" si="6"/>
        <v>0</v>
      </c>
      <c r="H63" s="822">
        <f t="shared" si="7"/>
        <v>0</v>
      </c>
      <c r="I63" s="821">
        <f t="shared" si="7"/>
        <v>0</v>
      </c>
      <c r="J63" s="822">
        <f t="shared" si="8"/>
        <v>0</v>
      </c>
      <c r="K63" s="821">
        <f t="shared" si="8"/>
        <v>0</v>
      </c>
      <c r="L63" s="822">
        <f t="shared" si="9"/>
        <v>0</v>
      </c>
      <c r="M63" s="821">
        <f t="shared" si="9"/>
        <v>0</v>
      </c>
      <c r="N63" s="822">
        <f t="shared" si="10"/>
        <v>0</v>
      </c>
      <c r="O63" s="821">
        <f t="shared" si="10"/>
        <v>0</v>
      </c>
      <c r="P63" s="822">
        <f t="shared" si="11"/>
        <v>0</v>
      </c>
      <c r="Q63" s="821">
        <f t="shared" si="11"/>
        <v>0</v>
      </c>
      <c r="R63" s="822">
        <f t="shared" si="12"/>
        <v>0</v>
      </c>
      <c r="S63" s="821">
        <f t="shared" si="12"/>
        <v>0</v>
      </c>
    </row>
    <row r="64" spans="3:19" ht="30.5" x14ac:dyDescent="0.25">
      <c r="C64" s="780" t="s">
        <v>92</v>
      </c>
      <c r="D64" s="781">
        <v>4</v>
      </c>
      <c r="E64" s="782">
        <f t="shared" si="6"/>
        <v>0</v>
      </c>
      <c r="F64" s="822">
        <f t="shared" si="6"/>
        <v>0</v>
      </c>
      <c r="G64" s="821">
        <f t="shared" si="6"/>
        <v>0</v>
      </c>
      <c r="H64" s="822">
        <f t="shared" si="7"/>
        <v>0</v>
      </c>
      <c r="I64" s="821">
        <f t="shared" si="7"/>
        <v>0</v>
      </c>
      <c r="J64" s="822">
        <f t="shared" si="8"/>
        <v>0</v>
      </c>
      <c r="K64" s="821">
        <f t="shared" si="8"/>
        <v>0</v>
      </c>
      <c r="L64" s="822">
        <f t="shared" si="9"/>
        <v>0</v>
      </c>
      <c r="M64" s="821">
        <f t="shared" si="9"/>
        <v>0</v>
      </c>
      <c r="N64" s="822">
        <f t="shared" si="10"/>
        <v>0</v>
      </c>
      <c r="O64" s="821">
        <f t="shared" si="10"/>
        <v>0</v>
      </c>
      <c r="P64" s="822">
        <f t="shared" si="11"/>
        <v>0</v>
      </c>
      <c r="Q64" s="821">
        <f t="shared" si="11"/>
        <v>0</v>
      </c>
      <c r="R64" s="822">
        <f t="shared" si="12"/>
        <v>0</v>
      </c>
      <c r="S64" s="821">
        <f t="shared" si="12"/>
        <v>0</v>
      </c>
    </row>
    <row r="65" spans="3:19" ht="20.5" x14ac:dyDescent="0.25">
      <c r="C65" s="780" t="s">
        <v>77</v>
      </c>
      <c r="D65" s="781">
        <v>4</v>
      </c>
      <c r="E65" s="782">
        <f t="shared" si="6"/>
        <v>9</v>
      </c>
      <c r="F65" s="822">
        <f t="shared" si="6"/>
        <v>3</v>
      </c>
      <c r="G65" s="821">
        <f t="shared" si="6"/>
        <v>2.4969400244798046E-2</v>
      </c>
      <c r="H65" s="822">
        <f t="shared" si="7"/>
        <v>10</v>
      </c>
      <c r="I65" s="821">
        <f t="shared" si="7"/>
        <v>7.8824969400244804E-2</v>
      </c>
      <c r="J65" s="822">
        <f t="shared" si="8"/>
        <v>1</v>
      </c>
      <c r="K65" s="821">
        <f t="shared" si="8"/>
        <v>7.2215422276621782E-3</v>
      </c>
      <c r="L65" s="822">
        <f t="shared" si="9"/>
        <v>-2</v>
      </c>
      <c r="M65" s="821">
        <f t="shared" si="9"/>
        <v>-3.3170134638922891E-2</v>
      </c>
      <c r="N65" s="822">
        <f t="shared" si="10"/>
        <v>-2</v>
      </c>
      <c r="O65" s="821">
        <f t="shared" si="10"/>
        <v>-3.8678090575275409E-2</v>
      </c>
      <c r="P65" s="822">
        <f t="shared" si="11"/>
        <v>-1</v>
      </c>
      <c r="Q65" s="821">
        <f t="shared" si="11"/>
        <v>-2.5948592411260712E-2</v>
      </c>
      <c r="R65" s="822">
        <f t="shared" si="12"/>
        <v>0</v>
      </c>
      <c r="S65" s="821">
        <f t="shared" si="12"/>
        <v>-1.3219094247246016E-2</v>
      </c>
    </row>
    <row r="66" spans="3:19" ht="20.5" x14ac:dyDescent="0.25">
      <c r="C66" s="780" t="s">
        <v>78</v>
      </c>
      <c r="D66" s="781">
        <v>5</v>
      </c>
      <c r="E66" s="782">
        <f t="shared" si="6"/>
        <v>1</v>
      </c>
      <c r="F66" s="822">
        <f t="shared" si="6"/>
        <v>2</v>
      </c>
      <c r="G66" s="821">
        <f t="shared" si="6"/>
        <v>1.05657805044308E-2</v>
      </c>
      <c r="H66" s="822">
        <f t="shared" si="7"/>
        <v>1</v>
      </c>
      <c r="I66" s="821">
        <f t="shared" si="7"/>
        <v>3.9763690070438451E-3</v>
      </c>
      <c r="J66" s="822">
        <f t="shared" si="8"/>
        <v>0</v>
      </c>
      <c r="K66" s="821">
        <f t="shared" si="8"/>
        <v>-6.0592289631143659E-4</v>
      </c>
      <c r="L66" s="822">
        <f t="shared" si="9"/>
        <v>3</v>
      </c>
      <c r="M66" s="821">
        <f t="shared" si="9"/>
        <v>1.8139816708323868E-2</v>
      </c>
      <c r="N66" s="822">
        <f t="shared" si="10"/>
        <v>-2</v>
      </c>
      <c r="O66" s="821">
        <f t="shared" si="10"/>
        <v>-1.2724380822540328E-2</v>
      </c>
      <c r="P66" s="822">
        <f t="shared" si="11"/>
        <v>-4</v>
      </c>
      <c r="Q66" s="821">
        <f t="shared" si="11"/>
        <v>-2.5448761645080656E-2</v>
      </c>
      <c r="R66" s="822">
        <f t="shared" si="12"/>
        <v>1</v>
      </c>
      <c r="S66" s="821">
        <f t="shared" si="12"/>
        <v>6.0970991441339096E-3</v>
      </c>
    </row>
    <row r="67" spans="3:19" ht="20.5" x14ac:dyDescent="0.25">
      <c r="C67" s="780" t="s">
        <v>55</v>
      </c>
      <c r="D67" s="781">
        <v>5</v>
      </c>
      <c r="E67" s="782">
        <f t="shared" si="6"/>
        <v>-5</v>
      </c>
      <c r="F67" s="822">
        <f t="shared" si="6"/>
        <v>-14</v>
      </c>
      <c r="G67" s="821">
        <f t="shared" si="6"/>
        <v>-5.1069402007856868E-2</v>
      </c>
      <c r="H67" s="822">
        <f t="shared" si="7"/>
        <v>13</v>
      </c>
      <c r="I67" s="821">
        <f t="shared" si="7"/>
        <v>6.1854357631310974E-2</v>
      </c>
      <c r="J67" s="822">
        <f t="shared" si="8"/>
        <v>-1</v>
      </c>
      <c r="K67" s="821">
        <f t="shared" si="8"/>
        <v>-3.6737960133857127E-3</v>
      </c>
      <c r="L67" s="822">
        <f t="shared" si="9"/>
        <v>0</v>
      </c>
      <c r="M67" s="821">
        <f t="shared" si="9"/>
        <v>1.3640331732867744E-3</v>
      </c>
      <c r="N67" s="822">
        <f t="shared" si="10"/>
        <v>-5</v>
      </c>
      <c r="O67" s="821">
        <f t="shared" si="10"/>
        <v>-2.0278626509530044E-2</v>
      </c>
      <c r="P67" s="822">
        <f t="shared" si="11"/>
        <v>1</v>
      </c>
      <c r="Q67" s="821">
        <f t="shared" si="11"/>
        <v>7.3112178088171054E-3</v>
      </c>
      <c r="R67" s="822">
        <f t="shared" si="12"/>
        <v>1</v>
      </c>
      <c r="S67" s="821">
        <f t="shared" si="12"/>
        <v>4.4922159173577773E-3</v>
      </c>
    </row>
    <row r="68" spans="3:19" ht="20.5" x14ac:dyDescent="0.25">
      <c r="C68" s="780" t="s">
        <v>80</v>
      </c>
      <c r="D68" s="781">
        <v>6</v>
      </c>
      <c r="E68" s="782">
        <f t="shared" si="6"/>
        <v>16</v>
      </c>
      <c r="F68" s="822">
        <f t="shared" si="6"/>
        <v>9</v>
      </c>
      <c r="G68" s="821">
        <f t="shared" si="6"/>
        <v>4.1408668730650133E-2</v>
      </c>
      <c r="H68" s="822">
        <f t="shared" si="7"/>
        <v>5</v>
      </c>
      <c r="I68" s="821">
        <f t="shared" si="7"/>
        <v>2.0510835913312708E-2</v>
      </c>
      <c r="J68" s="822">
        <f t="shared" si="8"/>
        <v>0</v>
      </c>
      <c r="K68" s="821">
        <f t="shared" si="8"/>
        <v>-7.7399380804953587E-4</v>
      </c>
      <c r="L68" s="822">
        <f t="shared" si="9"/>
        <v>5</v>
      </c>
      <c r="M68" s="821">
        <f t="shared" si="9"/>
        <v>1.1222910216718285E-2</v>
      </c>
      <c r="N68" s="822">
        <f t="shared" si="10"/>
        <v>-2</v>
      </c>
      <c r="O68" s="821">
        <f t="shared" si="10"/>
        <v>-3.7925696594427238E-2</v>
      </c>
      <c r="P68" s="822">
        <f t="shared" si="11"/>
        <v>0</v>
      </c>
      <c r="Q68" s="821">
        <f t="shared" si="11"/>
        <v>-7.7399380804953587E-4</v>
      </c>
      <c r="R68" s="822">
        <f t="shared" si="12"/>
        <v>-1</v>
      </c>
      <c r="S68" s="821">
        <f t="shared" si="12"/>
        <v>-3.3668730650154771E-2</v>
      </c>
    </row>
  </sheetData>
  <mergeCells count="1">
    <mergeCell ref="U2:V2"/>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29"/>
  <sheetViews>
    <sheetView workbookViewId="0">
      <selection activeCell="M22" sqref="M22"/>
    </sheetView>
  </sheetViews>
  <sheetFormatPr defaultRowHeight="12.5" x14ac:dyDescent="0.25"/>
  <cols>
    <col min="9" max="9" width="9.1796875" style="1026"/>
    <col min="10" max="12" width="9.54296875" bestFit="1" customWidth="1"/>
    <col min="13" max="14" width="9.26953125" bestFit="1" customWidth="1"/>
    <col min="15" max="15" width="9.54296875" bestFit="1" customWidth="1"/>
    <col min="16" max="16" width="9.26953125" bestFit="1" customWidth="1"/>
  </cols>
  <sheetData>
    <row r="4" spans="1:19" x14ac:dyDescent="0.25">
      <c r="B4" t="s">
        <v>858</v>
      </c>
      <c r="C4" t="s">
        <v>859</v>
      </c>
      <c r="D4" t="s">
        <v>860</v>
      </c>
      <c r="E4" t="s">
        <v>861</v>
      </c>
      <c r="F4" t="s">
        <v>862</v>
      </c>
      <c r="G4" t="s">
        <v>863</v>
      </c>
      <c r="H4" t="s">
        <v>864</v>
      </c>
      <c r="I4" s="672" t="s">
        <v>138</v>
      </c>
      <c r="J4" t="s">
        <v>858</v>
      </c>
      <c r="K4" t="s">
        <v>859</v>
      </c>
      <c r="L4" t="s">
        <v>860</v>
      </c>
      <c r="M4" t="s">
        <v>861</v>
      </c>
      <c r="N4" t="s">
        <v>862</v>
      </c>
      <c r="O4" t="s">
        <v>863</v>
      </c>
      <c r="P4" t="s">
        <v>864</v>
      </c>
    </row>
    <row r="5" spans="1:19" x14ac:dyDescent="0.25">
      <c r="A5" s="612" t="s">
        <v>846</v>
      </c>
      <c r="B5" s="1028">
        <v>0.17910447761194029</v>
      </c>
      <c r="C5" s="1028">
        <v>0.5074626865671642</v>
      </c>
      <c r="D5" s="1028">
        <v>0.11940298507462686</v>
      </c>
      <c r="E5" s="1028">
        <v>1.4925373134328358E-2</v>
      </c>
      <c r="F5" s="1028">
        <v>3.7313432835820892E-2</v>
      </c>
      <c r="G5" s="1028">
        <v>0.1417910447761194</v>
      </c>
      <c r="H5" s="1028">
        <v>0</v>
      </c>
      <c r="I5" s="1030">
        <f>'1920 Funding Detail'!M11</f>
        <v>134.16666666666669</v>
      </c>
      <c r="J5" s="1029">
        <f>B5*$I$5</f>
        <v>24.029850746268657</v>
      </c>
      <c r="K5" s="1029">
        <f t="shared" ref="K5:P5" si="0">C5*$I$5</f>
        <v>68.084577114427873</v>
      </c>
      <c r="L5" s="1029">
        <f t="shared" si="0"/>
        <v>16.019900497512438</v>
      </c>
      <c r="M5" s="1029">
        <f t="shared" si="0"/>
        <v>2.0024875621890548</v>
      </c>
      <c r="N5" s="1029">
        <f t="shared" si="0"/>
        <v>5.0062189054726369</v>
      </c>
      <c r="O5" s="1029">
        <f t="shared" si="0"/>
        <v>19.023631840796021</v>
      </c>
      <c r="P5" s="1029">
        <f t="shared" si="0"/>
        <v>0</v>
      </c>
      <c r="R5" s="1029">
        <f>I5*'1920 Funding Detail'!U11*-1</f>
        <v>83209.202555855503</v>
      </c>
      <c r="S5">
        <f>R5/I5</f>
        <v>620.19281408091047</v>
      </c>
    </row>
    <row r="6" spans="1:19" x14ac:dyDescent="0.25">
      <c r="A6" s="612" t="s">
        <v>937</v>
      </c>
      <c r="B6" s="812">
        <v>0.17054263565891473</v>
      </c>
      <c r="C6" s="812">
        <v>0.58139534883720934</v>
      </c>
      <c r="D6" s="812">
        <v>8.5271317829457363E-2</v>
      </c>
      <c r="E6" s="812">
        <v>1.5503875968992248E-2</v>
      </c>
      <c r="F6" s="812">
        <v>3.1007751937984496E-2</v>
      </c>
      <c r="G6" s="812">
        <v>0.11627906976744186</v>
      </c>
      <c r="H6" s="812">
        <v>0</v>
      </c>
      <c r="I6" s="1030">
        <f>'2021 Funding Detail'!M11</f>
        <v>135.58333333333334</v>
      </c>
      <c r="J6" s="1029">
        <f>B6*$I$6</f>
        <v>23.122739018087856</v>
      </c>
      <c r="K6" s="1029">
        <f t="shared" ref="K6:P6" si="1">C6*$I$6</f>
        <v>78.827519379844972</v>
      </c>
      <c r="L6" s="1029">
        <f t="shared" si="1"/>
        <v>11.561369509043928</v>
      </c>
      <c r="M6" s="1029">
        <f t="shared" si="1"/>
        <v>2.1020671834625326</v>
      </c>
      <c r="N6" s="1029">
        <f t="shared" si="1"/>
        <v>4.2041343669250653</v>
      </c>
      <c r="O6" s="1029">
        <f t="shared" si="1"/>
        <v>15.765503875968992</v>
      </c>
      <c r="P6" s="1029">
        <f t="shared" si="1"/>
        <v>0</v>
      </c>
    </row>
    <row r="7" spans="1:19" x14ac:dyDescent="0.25">
      <c r="J7" s="1029">
        <f>J6-J5</f>
        <v>-0.90711172818080144</v>
      </c>
      <c r="K7" s="1029">
        <f t="shared" ref="K7:P7" si="2">K6-K5</f>
        <v>10.742942265417099</v>
      </c>
      <c r="L7" s="1029">
        <f t="shared" si="2"/>
        <v>-4.4585309884685103</v>
      </c>
      <c r="M7" s="1029">
        <f t="shared" si="2"/>
        <v>9.9579621273477859E-2</v>
      </c>
      <c r="N7" s="1029">
        <f t="shared" si="2"/>
        <v>-0.80208453854757167</v>
      </c>
      <c r="O7" s="1029">
        <f t="shared" si="2"/>
        <v>-3.2581279648270289</v>
      </c>
      <c r="P7" s="1029">
        <f t="shared" si="2"/>
        <v>0</v>
      </c>
    </row>
    <row r="9" spans="1:19" x14ac:dyDescent="0.25">
      <c r="J9">
        <f>J5*$S$5</f>
        <v>14903.140756272625</v>
      </c>
      <c r="K9">
        <f t="shared" ref="K9:P9" si="3">K5*$S$5</f>
        <v>42225.565476105774</v>
      </c>
      <c r="L9">
        <f t="shared" si="3"/>
        <v>9935.4271708484175</v>
      </c>
      <c r="M9">
        <f t="shared" si="3"/>
        <v>1241.9283963560522</v>
      </c>
      <c r="N9">
        <f t="shared" si="3"/>
        <v>3104.8209908901304</v>
      </c>
      <c r="O9">
        <f t="shared" si="3"/>
        <v>11798.319765382495</v>
      </c>
      <c r="P9">
        <f t="shared" si="3"/>
        <v>0</v>
      </c>
      <c r="R9">
        <f>SUM(J9:P9)</f>
        <v>83209.202555855503</v>
      </c>
    </row>
    <row r="11" spans="1:19" x14ac:dyDescent="0.25">
      <c r="J11">
        <f t="shared" ref="J11:O11" si="4">IF(J7&lt;0,(J6*$S$5),IF(J7&gt;0,(J5*$S$5),(0)))</f>
        <v>14340.556580886376</v>
      </c>
      <c r="K11">
        <f t="shared" si="4"/>
        <v>42225.565476105774</v>
      </c>
      <c r="L11">
        <f t="shared" si="4"/>
        <v>7170.2782904431879</v>
      </c>
      <c r="M11">
        <f t="shared" si="4"/>
        <v>1241.9283963560522</v>
      </c>
      <c r="N11">
        <f t="shared" si="4"/>
        <v>2607.3739237975233</v>
      </c>
      <c r="O11">
        <f t="shared" si="4"/>
        <v>9777.6522142407102</v>
      </c>
      <c r="R11">
        <f>SUM(J11:P11)</f>
        <v>77363.354881829611</v>
      </c>
    </row>
    <row r="14" spans="1:19" x14ac:dyDescent="0.25">
      <c r="J14" s="1" t="s">
        <v>959</v>
      </c>
    </row>
    <row r="15" spans="1:19" x14ac:dyDescent="0.25">
      <c r="B15" t="s">
        <v>839</v>
      </c>
      <c r="D15">
        <v>5740.9218150011166</v>
      </c>
      <c r="E15">
        <f>D15</f>
        <v>5740.9218150011166</v>
      </c>
      <c r="F15">
        <f>E15/E15</f>
        <v>1</v>
      </c>
      <c r="J15" s="612" t="s">
        <v>960</v>
      </c>
    </row>
    <row r="16" spans="1:19" x14ac:dyDescent="0.25">
      <c r="J16" s="612" t="s">
        <v>961</v>
      </c>
    </row>
    <row r="17" spans="2:10" x14ac:dyDescent="0.25">
      <c r="B17" t="s">
        <v>840</v>
      </c>
      <c r="D17">
        <v>6829.0826228613796</v>
      </c>
      <c r="E17">
        <f t="shared" ref="E17:E27" si="5">D17</f>
        <v>6829.0826228613796</v>
      </c>
      <c r="F17">
        <f>E17/$E$15</f>
        <v>1.1895446137268204</v>
      </c>
      <c r="J17" s="612" t="s">
        <v>962</v>
      </c>
    </row>
    <row r="18" spans="2:10" x14ac:dyDescent="0.25">
      <c r="J18" s="612" t="s">
        <v>963</v>
      </c>
    </row>
    <row r="19" spans="2:10" x14ac:dyDescent="0.25">
      <c r="B19" t="s">
        <v>841</v>
      </c>
      <c r="D19">
        <v>11263.412317184524</v>
      </c>
      <c r="E19">
        <f>D19+D29</f>
        <v>13898.412317184524</v>
      </c>
      <c r="F19">
        <f t="shared" ref="F19:F27" si="6">E19/$E$15</f>
        <v>2.420937397347541</v>
      </c>
      <c r="J19" s="612" t="s">
        <v>964</v>
      </c>
    </row>
    <row r="21" spans="2:10" x14ac:dyDescent="0.25">
      <c r="B21" t="s">
        <v>842</v>
      </c>
      <c r="D21">
        <v>14004.235952555704</v>
      </c>
      <c r="E21">
        <f t="shared" si="5"/>
        <v>14004.235952555704</v>
      </c>
      <c r="F21">
        <f t="shared" si="6"/>
        <v>2.4393706104762516</v>
      </c>
    </row>
    <row r="23" spans="2:10" x14ac:dyDescent="0.25">
      <c r="B23" t="s">
        <v>843</v>
      </c>
      <c r="D23">
        <v>14004.235952555704</v>
      </c>
      <c r="E23">
        <f t="shared" si="5"/>
        <v>14004.235952555704</v>
      </c>
      <c r="F23">
        <f t="shared" si="6"/>
        <v>2.4393706104762516</v>
      </c>
    </row>
    <row r="25" spans="2:10" x14ac:dyDescent="0.25">
      <c r="B25" t="s">
        <v>844</v>
      </c>
      <c r="D25">
        <v>14877.000599571715</v>
      </c>
      <c r="E25">
        <f t="shared" si="5"/>
        <v>14877.000599571715</v>
      </c>
      <c r="F25">
        <f t="shared" si="6"/>
        <v>2.5913957860735684</v>
      </c>
    </row>
    <row r="27" spans="2:10" x14ac:dyDescent="0.25">
      <c r="B27" t="s">
        <v>845</v>
      </c>
      <c r="D27">
        <v>22512.750755794426</v>
      </c>
      <c r="E27">
        <f t="shared" si="5"/>
        <v>22512.750755794426</v>
      </c>
      <c r="F27">
        <f t="shared" si="6"/>
        <v>3.9214522477850622</v>
      </c>
    </row>
    <row r="29" spans="2:10" x14ac:dyDescent="0.25">
      <c r="B29" t="s">
        <v>865</v>
      </c>
      <c r="D29">
        <v>2635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N38"/>
  <sheetViews>
    <sheetView workbookViewId="0">
      <selection activeCell="H14" sqref="H14"/>
    </sheetView>
  </sheetViews>
  <sheetFormatPr defaultRowHeight="12.5" x14ac:dyDescent="0.25"/>
  <cols>
    <col min="1" max="1" width="29.453125" bestFit="1" customWidth="1"/>
    <col min="3" max="3" width="12.26953125" style="1071" customWidth="1"/>
    <col min="5" max="5" width="11.1796875" style="1065" bestFit="1" customWidth="1"/>
    <col min="7" max="7" width="11.54296875" bestFit="1" customWidth="1"/>
    <col min="9" max="9" width="59.81640625" customWidth="1"/>
    <col min="10" max="10" width="11.453125" customWidth="1"/>
    <col min="11" max="11" width="11.1796875" bestFit="1" customWidth="1"/>
  </cols>
  <sheetData>
    <row r="2" spans="1:14" ht="13" x14ac:dyDescent="0.3">
      <c r="A2" s="1" t="s">
        <v>505</v>
      </c>
      <c r="B2" s="503"/>
      <c r="C2" s="503" t="s">
        <v>937</v>
      </c>
      <c r="D2" s="504"/>
      <c r="E2" s="503" t="s">
        <v>990</v>
      </c>
      <c r="F2" s="504"/>
      <c r="G2" s="503" t="s">
        <v>524</v>
      </c>
    </row>
    <row r="3" spans="1:14" x14ac:dyDescent="0.25">
      <c r="B3" s="1065"/>
      <c r="G3" s="1065"/>
    </row>
    <row r="4" spans="1:14" x14ac:dyDescent="0.25">
      <c r="A4" s="612" t="s">
        <v>511</v>
      </c>
      <c r="B4" s="1065"/>
      <c r="C4" s="16">
        <f>'2021 Funding Detail'!AH25</f>
        <v>29334218.614862774</v>
      </c>
      <c r="D4" s="502"/>
      <c r="E4" s="16">
        <f>SUM('2122 Funding Detail'!R23)</f>
        <v>32166020.508465875</v>
      </c>
      <c r="F4" s="502"/>
      <c r="G4" s="16">
        <f>E4-C4</f>
        <v>2831801.8936031014</v>
      </c>
      <c r="I4" s="612" t="s">
        <v>1319</v>
      </c>
    </row>
    <row r="5" spans="1:14" x14ac:dyDescent="0.25">
      <c r="A5" s="612" t="s">
        <v>512</v>
      </c>
      <c r="B5" s="1065"/>
      <c r="C5" s="16">
        <f>SUM('2021 Funding Detail'!F25)</f>
        <v>971898</v>
      </c>
      <c r="D5" s="502"/>
      <c r="E5" s="16">
        <f>SUM('2122 Funding Detail'!F23)</f>
        <v>978190</v>
      </c>
      <c r="F5" s="502"/>
      <c r="G5" s="16">
        <f t="shared" ref="G5:G23" si="0">E5-C5</f>
        <v>6292</v>
      </c>
      <c r="I5" s="612"/>
    </row>
    <row r="6" spans="1:14" x14ac:dyDescent="0.25">
      <c r="A6" s="612" t="s">
        <v>603</v>
      </c>
      <c r="B6" s="1065"/>
      <c r="C6" s="16">
        <f>'2021 Funding Detail'!G25</f>
        <v>160701</v>
      </c>
      <c r="D6" s="502"/>
      <c r="E6" s="16">
        <f>SUM('2122 Funding Detail'!G23)</f>
        <v>168000</v>
      </c>
      <c r="F6" s="502"/>
      <c r="G6" s="16">
        <f t="shared" si="0"/>
        <v>7299</v>
      </c>
      <c r="I6" s="612"/>
    </row>
    <row r="7" spans="1:14" ht="13" x14ac:dyDescent="0.3">
      <c r="A7" s="860" t="s">
        <v>1326</v>
      </c>
      <c r="B7" s="1599"/>
      <c r="C7" s="16"/>
      <c r="D7" s="502"/>
      <c r="E7" s="16">
        <f>'2122 OLEA Placements'!F24*-1</f>
        <v>-552667.23376730504</v>
      </c>
      <c r="F7" s="502"/>
      <c r="G7" s="16">
        <f t="shared" si="0"/>
        <v>-552667.23376730504</v>
      </c>
      <c r="I7" s="612"/>
    </row>
    <row r="8" spans="1:14" ht="13" x14ac:dyDescent="0.3">
      <c r="A8" s="860"/>
      <c r="B8" s="1599"/>
      <c r="C8" s="859">
        <f>SUM(C4:C7)</f>
        <v>30466817.614862774</v>
      </c>
      <c r="D8" s="1533"/>
      <c r="E8" s="859">
        <f>SUM(E4:E7)</f>
        <v>32759543.27469857</v>
      </c>
      <c r="F8" s="1533"/>
      <c r="G8" s="859">
        <f t="shared" si="0"/>
        <v>2292725.6598357968</v>
      </c>
      <c r="I8" s="1612" t="s">
        <v>1266</v>
      </c>
      <c r="J8" s="671">
        <f>'Pay &amp; Pension Workings'!F109*-1</f>
        <v>-1400520</v>
      </c>
      <c r="K8" s="1536">
        <f>G8+J8</f>
        <v>892205.6598357968</v>
      </c>
      <c r="L8" s="612" t="s">
        <v>953</v>
      </c>
    </row>
    <row r="9" spans="1:14" x14ac:dyDescent="0.25">
      <c r="B9" s="1599"/>
      <c r="C9" s="16"/>
      <c r="D9" s="502"/>
      <c r="F9" s="502"/>
      <c r="G9" s="16"/>
      <c r="I9" s="612"/>
    </row>
    <row r="10" spans="1:14" x14ac:dyDescent="0.25">
      <c r="A10" s="612" t="s">
        <v>506</v>
      </c>
      <c r="B10" s="1065"/>
      <c r="C10" s="16">
        <f>'2021 Other Funding'!BH26+442129</f>
        <v>757935.66666666674</v>
      </c>
      <c r="D10" s="502"/>
      <c r="E10" s="16">
        <f>SUM('2122 Other Funding'!BM26)</f>
        <v>315806.66666666669</v>
      </c>
      <c r="F10" s="502"/>
      <c r="G10" s="16">
        <f t="shared" si="0"/>
        <v>-442129.00000000006</v>
      </c>
      <c r="I10" s="610" t="s">
        <v>994</v>
      </c>
    </row>
    <row r="11" spans="1:14" ht="13" x14ac:dyDescent="0.3">
      <c r="A11" s="1562" t="s">
        <v>1264</v>
      </c>
      <c r="B11" s="1563"/>
      <c r="C11" s="1531"/>
      <c r="D11" s="1564"/>
      <c r="E11" s="1531">
        <f>(617500-'2122 Other Funding'!BO10)+140436-'2122 Other Funding'!BM18</f>
        <v>442129.33333333331</v>
      </c>
      <c r="F11" s="1564"/>
      <c r="G11" s="1531">
        <f t="shared" si="0"/>
        <v>442129.33333333331</v>
      </c>
      <c r="H11" s="1562"/>
      <c r="I11" s="1565" t="s">
        <v>1265</v>
      </c>
      <c r="J11" s="860"/>
      <c r="K11" s="860"/>
      <c r="L11" s="860"/>
      <c r="M11" s="860"/>
      <c r="N11" s="860"/>
    </row>
    <row r="12" spans="1:14" x14ac:dyDescent="0.25">
      <c r="A12" s="612" t="s">
        <v>183</v>
      </c>
      <c r="B12" s="1065"/>
      <c r="C12" s="16">
        <f>'2021 Other Funding'!BG26</f>
        <v>329822</v>
      </c>
      <c r="D12" s="502"/>
      <c r="E12" s="16">
        <f>SUM('2122 Other Funding'!BL26)</f>
        <v>132217.5</v>
      </c>
      <c r="F12" s="502"/>
      <c r="G12" s="16">
        <f t="shared" si="0"/>
        <v>-197604.5</v>
      </c>
      <c r="I12" s="610" t="s">
        <v>995</v>
      </c>
    </row>
    <row r="13" spans="1:14" ht="13" x14ac:dyDescent="0.3">
      <c r="A13" s="1562" t="s">
        <v>1366</v>
      </c>
      <c r="B13" s="1625"/>
      <c r="C13" s="16"/>
      <c r="D13" s="502"/>
      <c r="E13" s="613">
        <f>317322-'2122 Other Funding'!BL26</f>
        <v>185104.5</v>
      </c>
      <c r="F13" s="502"/>
      <c r="G13" s="1531">
        <f t="shared" si="0"/>
        <v>185104.5</v>
      </c>
      <c r="I13" s="610"/>
    </row>
    <row r="14" spans="1:14" ht="13" x14ac:dyDescent="0.3">
      <c r="A14" s="612" t="s">
        <v>184</v>
      </c>
      <c r="B14" s="1065"/>
      <c r="C14" s="16">
        <f>'2021 Other Funding'!BI26</f>
        <v>1119519</v>
      </c>
      <c r="D14" s="502"/>
      <c r="E14" s="16">
        <f>SUM('2122 Other Funding'!BN20)+((5/12)*'2122 Other Funding'!BP18)</f>
        <v>779687.66666666674</v>
      </c>
      <c r="F14" s="502"/>
      <c r="G14" s="16">
        <f t="shared" si="0"/>
        <v>-339831.33333333326</v>
      </c>
      <c r="I14" s="1565" t="s">
        <v>1327</v>
      </c>
    </row>
    <row r="15" spans="1:14" ht="13" x14ac:dyDescent="0.3">
      <c r="A15" s="612"/>
      <c r="B15" s="1599"/>
      <c r="C15" s="859">
        <f>SUM(C10:C14)</f>
        <v>2207276.666666667</v>
      </c>
      <c r="D15" s="859"/>
      <c r="E15" s="859">
        <f t="shared" ref="E15:G15" si="1">SUM(E10:E14)</f>
        <v>1854945.6666666667</v>
      </c>
      <c r="F15" s="859"/>
      <c r="G15" s="859">
        <f t="shared" si="1"/>
        <v>-352331</v>
      </c>
      <c r="I15" s="1565"/>
    </row>
    <row r="16" spans="1:14" ht="13" x14ac:dyDescent="0.3">
      <c r="A16" s="612"/>
      <c r="B16" s="1599"/>
      <c r="C16" s="16"/>
      <c r="D16" s="502"/>
      <c r="E16" s="16"/>
      <c r="F16" s="502"/>
      <c r="G16" s="16"/>
      <c r="I16" s="1565"/>
    </row>
    <row r="17" spans="1:12" ht="13.5" thickBot="1" x14ac:dyDescent="0.35">
      <c r="A17" s="612"/>
      <c r="B17" s="1599"/>
      <c r="C17" s="1613">
        <f>C8+C15</f>
        <v>32674094.281529441</v>
      </c>
      <c r="D17" s="1613"/>
      <c r="E17" s="1613">
        <f t="shared" ref="E17:G17" si="2">E8+E15</f>
        <v>34614488.941365235</v>
      </c>
      <c r="F17" s="1613"/>
      <c r="G17" s="1613">
        <f t="shared" si="2"/>
        <v>1940394.6598357968</v>
      </c>
      <c r="I17" s="1565"/>
    </row>
    <row r="18" spans="1:12" ht="13" x14ac:dyDescent="0.3">
      <c r="A18" s="612"/>
      <c r="B18" s="1599"/>
      <c r="C18" s="16"/>
      <c r="D18" s="502"/>
      <c r="E18" s="16"/>
      <c r="F18" s="502"/>
      <c r="G18" s="16"/>
      <c r="I18" s="1565"/>
    </row>
    <row r="19" spans="1:12" x14ac:dyDescent="0.25">
      <c r="A19" s="1465" t="s">
        <v>507</v>
      </c>
      <c r="B19" s="81"/>
      <c r="C19" s="418">
        <v>1563045</v>
      </c>
      <c r="D19" s="1615"/>
      <c r="E19" s="418">
        <v>2047777</v>
      </c>
      <c r="F19" s="1615"/>
      <c r="G19" s="418">
        <f t="shared" si="0"/>
        <v>484732</v>
      </c>
      <c r="H19" s="19"/>
      <c r="I19" s="610" t="s">
        <v>1008</v>
      </c>
    </row>
    <row r="20" spans="1:12" ht="13" x14ac:dyDescent="0.3">
      <c r="A20" s="1465" t="s">
        <v>508</v>
      </c>
      <c r="B20" s="81"/>
      <c r="C20" s="418">
        <v>294911</v>
      </c>
      <c r="D20" s="1615"/>
      <c r="E20" s="418">
        <v>0</v>
      </c>
      <c r="F20" s="1615"/>
      <c r="G20" s="418">
        <f t="shared" si="0"/>
        <v>-294911</v>
      </c>
      <c r="H20" s="19"/>
      <c r="I20" s="1616" t="s">
        <v>1266</v>
      </c>
      <c r="J20" s="671">
        <f>80*557.86*-1</f>
        <v>-44628.800000000003</v>
      </c>
      <c r="K20" s="1536">
        <f>G19+G20+J20</f>
        <v>145192.20000000001</v>
      </c>
      <c r="L20" s="612" t="s">
        <v>953</v>
      </c>
    </row>
    <row r="21" spans="1:12" x14ac:dyDescent="0.25">
      <c r="A21" s="1465"/>
      <c r="B21" s="81"/>
      <c r="C21" s="418"/>
      <c r="D21" s="1615"/>
      <c r="E21" s="418"/>
      <c r="F21" s="1615"/>
      <c r="G21" s="418"/>
      <c r="H21" s="19"/>
      <c r="I21" s="610"/>
    </row>
    <row r="22" spans="1:12" x14ac:dyDescent="0.25">
      <c r="A22" s="612" t="s">
        <v>973</v>
      </c>
      <c r="B22" s="1065"/>
      <c r="C22" s="16">
        <v>235160</v>
      </c>
      <c r="D22" s="502"/>
      <c r="E22" s="16">
        <v>235160</v>
      </c>
      <c r="F22" s="502"/>
      <c r="G22" s="16">
        <f t="shared" si="0"/>
        <v>0</v>
      </c>
      <c r="I22" s="610" t="s">
        <v>1328</v>
      </c>
    </row>
    <row r="23" spans="1:12" x14ac:dyDescent="0.25">
      <c r="A23" s="612" t="s">
        <v>974</v>
      </c>
      <c r="B23" s="1065"/>
      <c r="C23" s="16">
        <v>40000</v>
      </c>
      <c r="D23" s="502"/>
      <c r="E23" s="16">
        <v>40000</v>
      </c>
      <c r="F23" s="502"/>
      <c r="G23" s="16">
        <f t="shared" si="0"/>
        <v>0</v>
      </c>
      <c r="I23" s="610"/>
      <c r="J23" s="19"/>
    </row>
    <row r="24" spans="1:12" ht="13" x14ac:dyDescent="0.3">
      <c r="A24" s="612"/>
      <c r="B24" s="1065"/>
      <c r="C24" s="16"/>
      <c r="D24" s="502"/>
      <c r="E24" s="16"/>
      <c r="F24" s="502"/>
      <c r="G24" s="419"/>
      <c r="I24" s="19"/>
    </row>
    <row r="25" spans="1:12" ht="13" x14ac:dyDescent="0.3">
      <c r="A25" s="424" t="s">
        <v>847</v>
      </c>
      <c r="B25" s="1065"/>
      <c r="C25" s="174">
        <f>C17+C19+C20+C22+C23</f>
        <v>34807210.281529441</v>
      </c>
      <c r="D25" s="174"/>
      <c r="E25" s="174">
        <f t="shared" ref="E25:G25" si="3">E17+E19+E20+E22+E23</f>
        <v>36937425.941365235</v>
      </c>
      <c r="F25" s="174"/>
      <c r="G25" s="174">
        <f t="shared" si="3"/>
        <v>2130215.6598357968</v>
      </c>
      <c r="H25" s="20"/>
      <c r="I25" s="423"/>
    </row>
    <row r="26" spans="1:12" ht="13" x14ac:dyDescent="0.3">
      <c r="A26" s="424"/>
      <c r="B26" s="1515"/>
      <c r="C26" s="174"/>
      <c r="D26" s="419"/>
      <c r="E26" s="174"/>
      <c r="F26" s="419"/>
      <c r="G26" s="174"/>
      <c r="H26" s="20"/>
      <c r="I26" s="423"/>
    </row>
    <row r="27" spans="1:12" ht="13" x14ac:dyDescent="0.3">
      <c r="A27" s="1566"/>
      <c r="B27" s="1563"/>
      <c r="C27" s="1618"/>
      <c r="D27" s="1619"/>
      <c r="E27" s="1617" t="s">
        <v>1329</v>
      </c>
      <c r="F27" s="1619"/>
      <c r="G27" s="1531">
        <f>J8+G25+J20</f>
        <v>685066.85983579676</v>
      </c>
      <c r="H27" s="1620"/>
      <c r="I27" s="423"/>
    </row>
    <row r="28" spans="1:12" ht="13" x14ac:dyDescent="0.3">
      <c r="A28" s="1566"/>
      <c r="B28" s="1515"/>
      <c r="C28" s="174"/>
      <c r="D28" s="419"/>
      <c r="E28" s="174"/>
      <c r="F28" s="419"/>
      <c r="G28" s="174"/>
      <c r="H28" s="20"/>
      <c r="I28" s="423"/>
    </row>
    <row r="29" spans="1:12" ht="13" x14ac:dyDescent="0.3">
      <c r="A29" s="1566"/>
      <c r="B29" s="1515"/>
      <c r="C29" s="174"/>
      <c r="D29" s="419"/>
      <c r="E29" s="174"/>
      <c r="F29" s="419"/>
      <c r="G29" s="174"/>
      <c r="H29" s="20"/>
      <c r="I29" s="423"/>
    </row>
    <row r="30" spans="1:12" x14ac:dyDescent="0.25">
      <c r="E30" s="16"/>
    </row>
    <row r="31" spans="1:12" x14ac:dyDescent="0.25">
      <c r="A31" s="612"/>
      <c r="C31" s="16"/>
      <c r="E31" s="16"/>
      <c r="G31" s="16"/>
    </row>
    <row r="32" spans="1:12" x14ac:dyDescent="0.25">
      <c r="A32" s="612"/>
      <c r="C32" s="16"/>
      <c r="E32" s="502"/>
      <c r="G32" s="16"/>
    </row>
    <row r="34" spans="3:5" x14ac:dyDescent="0.25">
      <c r="C34" s="16"/>
      <c r="E34" s="16"/>
    </row>
    <row r="35" spans="3:5" x14ac:dyDescent="0.25">
      <c r="C35" s="16"/>
    </row>
    <row r="36" spans="3:5" x14ac:dyDescent="0.25">
      <c r="E36" s="16"/>
    </row>
    <row r="38" spans="3:5" x14ac:dyDescent="0.25">
      <c r="E38" s="16"/>
    </row>
  </sheetData>
  <pageMargins left="0.7" right="0.7" top="0.75" bottom="0.75" header="0.3" footer="0.3"/>
  <pageSetup orientation="portrait" horizontalDpi="90" verticalDpi="90"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F71"/>
  <sheetViews>
    <sheetView zoomScaleNormal="100" workbookViewId="0">
      <selection activeCell="J27" sqref="J27"/>
    </sheetView>
  </sheetViews>
  <sheetFormatPr defaultColWidth="10.26953125" defaultRowHeight="12.5" x14ac:dyDescent="0.25"/>
  <cols>
    <col min="1" max="1" width="10.26953125" style="34"/>
    <col min="2" max="2" width="31.54296875" style="34" customWidth="1"/>
    <col min="3" max="3" width="26.54296875" style="34" customWidth="1"/>
    <col min="4" max="7" width="15.7265625" style="1052" customWidth="1"/>
    <col min="8" max="9" width="15.7265625" style="34" customWidth="1"/>
    <col min="10" max="10" width="15.7265625" style="40" customWidth="1"/>
    <col min="11" max="11" width="15.7265625" style="1052" customWidth="1"/>
    <col min="12" max="12" width="17.26953125" style="34" customWidth="1"/>
    <col min="13" max="13" width="10.26953125" style="1052" customWidth="1"/>
    <col min="14" max="16" width="13.81640625" style="34" customWidth="1"/>
    <col min="17" max="17" width="10.26953125" style="34" customWidth="1"/>
    <col min="18" max="19" width="11.1796875" style="34" customWidth="1"/>
    <col min="20" max="20" width="10.26953125" style="34" customWidth="1"/>
    <col min="21" max="21" width="10.26953125" style="42" customWidth="1"/>
    <col min="22" max="22" width="11.81640625" style="1052" customWidth="1"/>
    <col min="23" max="23" width="10.26953125" style="1052" customWidth="1"/>
    <col min="24" max="24" width="11.1796875" style="34" customWidth="1"/>
    <col min="25" max="25" width="11.26953125" style="34" customWidth="1"/>
    <col min="26" max="26" width="9.81640625" style="1052" bestFit="1" customWidth="1"/>
    <col min="27" max="27" width="10.26953125" style="34"/>
    <col min="28" max="30" width="14.453125" style="34" bestFit="1" customWidth="1"/>
    <col min="31" max="16384" width="10.26953125" style="34"/>
  </cols>
  <sheetData>
    <row r="1" spans="1:32" ht="17.5" x14ac:dyDescent="0.35">
      <c r="B1" s="919" t="s">
        <v>988</v>
      </c>
      <c r="C1" s="33"/>
      <c r="U1" s="80"/>
    </row>
    <row r="2" spans="1:32" ht="12.75" customHeight="1" x14ac:dyDescent="0.25">
      <c r="B2" s="47"/>
      <c r="C2" s="47"/>
      <c r="M2" s="1051"/>
    </row>
    <row r="3" spans="1:32" ht="39" customHeight="1" x14ac:dyDescent="0.25">
      <c r="A3" s="184" t="s">
        <v>201</v>
      </c>
      <c r="B3" s="36" t="s">
        <v>66</v>
      </c>
      <c r="C3" s="541" t="s">
        <v>1320</v>
      </c>
      <c r="D3" s="538" t="s">
        <v>20</v>
      </c>
      <c r="E3" s="141" t="s">
        <v>21</v>
      </c>
      <c r="F3" s="39" t="s">
        <v>64</v>
      </c>
      <c r="G3" s="1054" t="s">
        <v>113</v>
      </c>
      <c r="H3" s="1060" t="s">
        <v>450</v>
      </c>
      <c r="I3" s="1060" t="s">
        <v>400</v>
      </c>
      <c r="J3" s="157" t="s">
        <v>173</v>
      </c>
      <c r="K3" s="1054" t="s">
        <v>103</v>
      </c>
      <c r="L3" s="1060" t="s">
        <v>297</v>
      </c>
      <c r="M3" s="540" t="s">
        <v>989</v>
      </c>
      <c r="N3" s="1524" t="s">
        <v>845</v>
      </c>
      <c r="O3" s="1525" t="s">
        <v>1225</v>
      </c>
      <c r="P3" s="1526" t="s">
        <v>909</v>
      </c>
      <c r="Q3" s="689" t="s">
        <v>645</v>
      </c>
      <c r="R3" s="689" t="s">
        <v>646</v>
      </c>
      <c r="S3" s="689" t="s">
        <v>647</v>
      </c>
      <c r="T3" s="689" t="s">
        <v>648</v>
      </c>
      <c r="U3" s="1060" t="s">
        <v>152</v>
      </c>
      <c r="V3" s="1059" t="s">
        <v>151</v>
      </c>
      <c r="W3" s="1059" t="s">
        <v>310</v>
      </c>
      <c r="X3" s="553" t="s">
        <v>345</v>
      </c>
      <c r="Y3" s="542" t="s">
        <v>196</v>
      </c>
      <c r="Z3" s="540" t="s">
        <v>950</v>
      </c>
      <c r="AB3" s="1057"/>
      <c r="AC3" s="1057"/>
      <c r="AD3" s="588"/>
      <c r="AF3" s="1057"/>
    </row>
    <row r="4" spans="1:32" x14ac:dyDescent="0.25">
      <c r="A4" s="185">
        <v>9257010</v>
      </c>
      <c r="B4" s="915" t="s">
        <v>773</v>
      </c>
      <c r="C4" s="1604" t="str">
        <f>IF(I4+H4-'Pay &amp; Pension Workings'!H112-'TA Workings'!J112&lt;'Group Sizes'!$B$46,'Group Sizes'!$C$46,IF('2122 Funding Detail'!I4+H4-'Pay &amp; Pension Workings'!H112-'TA Workings'!J112&lt;'Group Sizes'!$B$47,'Group Sizes'!$C$47,IF('2122 Funding Detail'!I4+H4-'Pay &amp; Pension Workings'!H112-'TA Workings'!J112&lt;'Group Sizes'!$B$48,'Group Sizes'!$C$48,IF(I4+H4-'Pay &amp; Pension Workings'!H112-'TA Workings'!J112&lt;'Group Sizes'!$B$49,'Group Sizes'!$C$49,IF(I4+H4-'Pay &amp; Pension Workings'!H112-'TA Workings'!J112&lt;'Group Sizes'!$B$50,'Group Sizes'!$C$50,IF(I4+H4-'Pay &amp; Pension Workings'!H112-'TA Workings'!J112&lt;'Group Sizes'!$B$51,'Group Sizes'!$C$51,IF(I4+H4-'Pay &amp; Pension Workings'!H112-'TA Workings'!J112&lt;'Group Sizes'!$B$52,'Group Sizes'!$C$52,IF(I4+H4-'Pay &amp; Pension Workings'!H112-'TA Workings'!J112&lt;'Group Sizes'!$B$53,'Group Sizes'!$C$53,IF(I4+H4-'Pay &amp; Pension Workings'!H112-'TA Workings'!J112&lt;'Group Sizes'!$B$54,'Group Sizes'!$C$54,IF(I4+H4-'Pay &amp; Pension Workings'!H112-'TA Workings'!J112&lt;'Group Sizes'!$B$55,'Group Sizes'!$C$55,IF(I4+H4-'Pay &amp; Pension Workings'!H112-'TA Workings'!J112&lt;'Group Sizes'!$B$56,'Group Sizes'!$C$56)))))))))))</f>
        <v>School Size 5</v>
      </c>
      <c r="D4" s="94">
        <f>IF(H4+I4-'Pay &amp; Pension Workings'!H112-'TA Workings'!J112&lt;'Group Sizes'!$B$46,'Group Sizes'!$D$46,IF('2122 Funding Detail'!H4+I4-'Pay &amp; Pension Workings'!H112-'TA Workings'!J112&lt;'Group Sizes'!$B$47,'Group Sizes'!$D$47,IF('2122 Funding Detail'!H4+I4-'Pay &amp; Pension Workings'!H112-'TA Workings'!J112&lt;'Group Sizes'!$B$48,'Group Sizes'!$D$48,IF(H4+I4-'Pay &amp; Pension Workings'!H112-'TA Workings'!J112&lt;'Group Sizes'!$B$49,'Group Sizes'!$D$49,IF(H4+I4-'Pay &amp; Pension Workings'!H112-'TA Workings'!J112&lt;'Group Sizes'!$B$50,'Group Sizes'!$D$50,IF(H4+I4-'Pay &amp; Pension Workings'!H112-'TA Workings'!J112&lt;'Group Sizes'!$B$51,'Group Sizes'!$D$51,IF(H4+I4-'Pay &amp; Pension Workings'!H112-'TA Workings'!J112&lt;'Group Sizes'!$B$52,'Group Sizes'!$D$52,IF(H4+I4-'Pay &amp; Pension Workings'!H112-'TA Workings'!J112&lt;'Group Sizes'!$B$53,'Group Sizes'!$D$53,IF(H4+I4-'Pay &amp; Pension Workings'!H112-'TA Workings'!J112&lt;'Group Sizes'!$B$54,'Group Sizes'!$D$54,IF(H4+I4-'Pay &amp; Pension Workings'!H112-'TA Workings'!J112&lt;'Group Sizes'!$B$55,'Group Sizes'!$D$55,IF(H4+I4-'Pay &amp; Pension Workings'!H112-'TA Workings'!J112&lt;'Group Sizes'!$B$56,'Group Sizes'!$D$56)))))))))))</f>
        <v>420000</v>
      </c>
      <c r="E4" s="94">
        <f>IF(I4+H4-'Pay &amp; Pension Workings'!H112-'TA Workings'!J112&lt;'Group Sizes'!$B$46,'Group Sizes'!$E$46,IF('2122 Funding Detail'!I4+H4-'Pay &amp; Pension Workings'!H112-'TA Workings'!J112&lt;'Group Sizes'!$B$47,'Group Sizes'!$E$47,IF('2122 Funding Detail'!I4+H4-'Pay &amp; Pension Workings'!H112-'TA Workings'!J112&lt;'Group Sizes'!$B$48,'Group Sizes'!$E$48,IF(I4+H4-'Pay &amp; Pension Workings'!H112-'TA Workings'!J112&lt;'Group Sizes'!$B$49,'Group Sizes'!$E$49,IF(I4+H4-'Pay &amp; Pension Workings'!H112-'TA Workings'!J112&lt;'Group Sizes'!$B$50,'Group Sizes'!$E$50,IF(I4+H4-'Pay &amp; Pension Workings'!H112-'TA Workings'!J112&lt;'Group Sizes'!$B$51,'Group Sizes'!$E$51,IF(I4+H4-'Pay &amp; Pension Workings'!H112-'TA Workings'!J112&lt;'Group Sizes'!$B$52,'Group Sizes'!$E$52,IF(I4+H4-'Pay &amp; Pension Workings'!H112-'TA Workings'!J112&lt;'Group Sizes'!$B$53,'Group Sizes'!$E$53,IF(I4+H4-'Pay &amp; Pension Workings'!H112-'TA Workings'!J112&lt;'Group Sizes'!$B$54,'Group Sizes'!$E$54,IF(I4+H4-'Pay &amp; Pension Workings'!H112-'TA Workings'!J112&lt;'Group Sizes'!$B$55,'Group Sizes'!$E$55,IF(I4+H4-'Pay &amp; Pension Workings'!H112-'TA Workings'!J112&lt;'Group Sizes'!$B$56,'Group Sizes'!$E$56)))))))))))</f>
        <v>120000</v>
      </c>
      <c r="F4" s="1061"/>
      <c r="G4" s="1061"/>
      <c r="H4" s="333">
        <f>VLOOKUP(A4,'2122 Band Calculations'!$A$112:$T$129,10,FALSE)</f>
        <v>1158838.1764308882</v>
      </c>
      <c r="I4" s="333">
        <f>VLOOKUP(A4,'2122 Band Calculations'!$A$112:$T$129,17,FALSE)</f>
        <v>21498.253968253968</v>
      </c>
      <c r="J4" s="94">
        <f>VLOOKUP(A4,'2122 FSM Calculation'!$A$4:$D$21,4,FALSE)</f>
        <v>7630.4500000000007</v>
      </c>
      <c r="K4" s="1061">
        <f t="shared" ref="K4:K21" si="0">SUM(D4:J4)</f>
        <v>1727966.8803991422</v>
      </c>
      <c r="L4" s="333">
        <f>K4-F4-G4</f>
        <v>1727966.8803991422</v>
      </c>
      <c r="M4" s="751">
        <f>VLOOKUP(A4,'2122 Band Calculations'!$A$112:$T$129,19,FALSE)</f>
        <v>85.666666666666671</v>
      </c>
      <c r="N4" s="42">
        <f>VLOOKUP(A4,'2122 Band Calculations'!$A$110:$AL$129,38,(FALSE))</f>
        <v>279960.97400187148</v>
      </c>
      <c r="O4" s="165">
        <f>M4-(M4*(VLOOKUP(A4,'2122 Band Calculations'!$A$6:$J$23,10,(FALSE))))</f>
        <v>73.428571428571431</v>
      </c>
      <c r="P4" s="42">
        <f>(H4+I4-N4)/O4</f>
        <v>12261.922557939484</v>
      </c>
      <c r="Q4" s="813">
        <f>'2122 MFG Protection'!L9</f>
        <v>9139.18596024607</v>
      </c>
      <c r="R4" s="813">
        <f>L4+Q4</f>
        <v>1737106.0663593882</v>
      </c>
      <c r="S4" s="42">
        <f>M4*10000</f>
        <v>856666.66666666674</v>
      </c>
      <c r="T4" s="42">
        <f>IF(S4&gt;R4,(S4-R4),(0))</f>
        <v>0</v>
      </c>
      <c r="U4" s="1512">
        <f>R4/M4</f>
        <v>20277.502720148499</v>
      </c>
      <c r="V4" s="1059">
        <f t="shared" ref="V4:V21" si="1">M4*10000</f>
        <v>856666.66666666674</v>
      </c>
      <c r="W4" s="1059">
        <f>U4-10000</f>
        <v>10277.502720148499</v>
      </c>
      <c r="X4" s="94">
        <f>R4-V4</f>
        <v>880439.39969272143</v>
      </c>
      <c r="Y4" s="94">
        <f>V4+X4</f>
        <v>1737106.0663593882</v>
      </c>
      <c r="Z4" s="1061">
        <f>R4-Y4</f>
        <v>0</v>
      </c>
      <c r="AB4" s="869"/>
      <c r="AC4" s="869"/>
      <c r="AD4" s="869"/>
      <c r="AE4" s="873"/>
      <c r="AF4" s="125"/>
    </row>
    <row r="5" spans="1:32" x14ac:dyDescent="0.25">
      <c r="A5" s="185">
        <v>9257005</v>
      </c>
      <c r="B5" s="915" t="s">
        <v>774</v>
      </c>
      <c r="C5" s="861" t="str">
        <f>IF(I5+H5-'Pay &amp; Pension Workings'!H113-'TA Workings'!J113&lt;'Group Sizes'!$B$46,'Group Sizes'!$C$46,IF('2122 Funding Detail'!I5+H5-'Pay &amp; Pension Workings'!H113-'TA Workings'!J113&lt;'Group Sizes'!$B$47,'Group Sizes'!$C$47,IF('2122 Funding Detail'!I5+H5-'Pay &amp; Pension Workings'!H113-'TA Workings'!J113&lt;'Group Sizes'!$B$48,'Group Sizes'!$C$48,IF(I5+H5-'Pay &amp; Pension Workings'!H113-'TA Workings'!J113&lt;'Group Sizes'!$B$49,'Group Sizes'!$C$49,IF(I5+H5-'Pay &amp; Pension Workings'!H113-'TA Workings'!J113&lt;'Group Sizes'!$B$50,'Group Sizes'!$C$50,IF(I5+H5-'Pay &amp; Pension Workings'!H113-'TA Workings'!J113&lt;'Group Sizes'!$B$51,'Group Sizes'!$C$51,IF(I5+H5-'Pay &amp; Pension Workings'!H113-'TA Workings'!J113&lt;'Group Sizes'!$B$52,'Group Sizes'!$C$52,IF(I5+H5-'Pay &amp; Pension Workings'!H113-'TA Workings'!J113&lt;'Group Sizes'!$B$53,'Group Sizes'!$C$53,IF(I5+H5-'Pay &amp; Pension Workings'!H113-'TA Workings'!J113&lt;'Group Sizes'!$B$54,'Group Sizes'!$C$54,IF(I5+H5-'Pay &amp; Pension Workings'!H113-'TA Workings'!J113&lt;'Group Sizes'!$B$55,'Group Sizes'!$C$55,IF(I5+H5-'Pay &amp; Pension Workings'!H113-'TA Workings'!J113&lt;'Group Sizes'!$B$56,'Group Sizes'!$C$56)))))))))))</f>
        <v>School Size 4</v>
      </c>
      <c r="D5" s="94">
        <f>IF(H5+I5-'Pay &amp; Pension Workings'!H113-'TA Workings'!J113&lt;'Group Sizes'!$B$46,'Group Sizes'!$D$46,IF('2122 Funding Detail'!H5+I5-'Pay &amp; Pension Workings'!H113-'TA Workings'!J113&lt;'Group Sizes'!$B$47,'Group Sizes'!$D$47,IF('2122 Funding Detail'!H5+I5-'Pay &amp; Pension Workings'!H113-'TA Workings'!J113&lt;'Group Sizes'!$B$48,'Group Sizes'!$D$48,IF(H5+I5-'Pay &amp; Pension Workings'!H113-'TA Workings'!J113&lt;'Group Sizes'!$B$49,'Group Sizes'!$D$49,IF(H5+I5-'Pay &amp; Pension Workings'!H113-'TA Workings'!J113&lt;'Group Sizes'!$B$50,'Group Sizes'!$D$50,IF(H5+I5-'Pay &amp; Pension Workings'!H113-'TA Workings'!J113&lt;'Group Sizes'!$B$51,'Group Sizes'!$D$51,IF(H5+I5-'Pay &amp; Pension Workings'!H113-'TA Workings'!J113&lt;'Group Sizes'!$B$52,'Group Sizes'!$D$52,IF(H5+I5-'Pay &amp; Pension Workings'!H113-'TA Workings'!J113&lt;'Group Sizes'!$B$53,'Group Sizes'!$D$53,IF(H5+I5-'Pay &amp; Pension Workings'!H113-'TA Workings'!J113&lt;'Group Sizes'!$B$54,'Group Sizes'!$D$54,IF(H5+I5-'Pay &amp; Pension Workings'!H113-'TA Workings'!J113&lt;'Group Sizes'!$B$55,'Group Sizes'!$D$55,IF(H5+I5-'Pay &amp; Pension Workings'!H113-'TA Workings'!J113&lt;'Group Sizes'!$B$56,'Group Sizes'!$D$56)))))))))))</f>
        <v>360000</v>
      </c>
      <c r="E5" s="94">
        <f>IF(I5+H5-'Pay &amp; Pension Workings'!H113-'TA Workings'!J113&lt;'Group Sizes'!$B$46,'Group Sizes'!$E$46,IF('2122 Funding Detail'!I5+H5-'Pay &amp; Pension Workings'!H113-'TA Workings'!J113&lt;'Group Sizes'!$B$47,'Group Sizes'!$E$47,IF('2122 Funding Detail'!I5+H5-'Pay &amp; Pension Workings'!H113-'TA Workings'!J113&lt;'Group Sizes'!$B$48,'Group Sizes'!$E$48,IF(I5+H5-'Pay &amp; Pension Workings'!H113-'TA Workings'!J113&lt;'Group Sizes'!$B$49,'Group Sizes'!$E$49,IF(I5+H5-'Pay &amp; Pension Workings'!H113-'TA Workings'!J113&lt;'Group Sizes'!$B$50,'Group Sizes'!$E$50,IF(I5+H5-'Pay &amp; Pension Workings'!H113-'TA Workings'!J113&lt;'Group Sizes'!$B$51,'Group Sizes'!$E$51,IF(I5+H5-'Pay &amp; Pension Workings'!H113-'TA Workings'!J113&lt;'Group Sizes'!$B$52,'Group Sizes'!$E$52,IF(I5+H5-'Pay &amp; Pension Workings'!H113-'TA Workings'!J113&lt;'Group Sizes'!$B$53,'Group Sizes'!$E$53,IF(I5+H5-'Pay &amp; Pension Workings'!H113-'TA Workings'!J113&lt;'Group Sizes'!$B$54,'Group Sizes'!$E$54,IF(I5+H5-'Pay &amp; Pension Workings'!H113-'TA Workings'!J113&lt;'Group Sizes'!$B$55,'Group Sizes'!$E$55,IF(I5+H5-'Pay &amp; Pension Workings'!H113-'TA Workings'!J113&lt;'Group Sizes'!$B$56,'Group Sizes'!$E$56)))))))))))</f>
        <v>110000</v>
      </c>
      <c r="F5" s="1061"/>
      <c r="G5" s="1061"/>
      <c r="H5" s="333">
        <f>VLOOKUP(A5,'2122 Band Calculations'!$A$112:$T$129,10,FALSE)</f>
        <v>1001409.0586673757</v>
      </c>
      <c r="I5" s="333">
        <f>VLOOKUP(A5,'2122 Band Calculations'!$A$112:$T$129,17,FALSE)</f>
        <v>13710.234375</v>
      </c>
      <c r="J5" s="94">
        <f>VLOOKUP(A5,'2122 FSM Calculation'!$A$4:$D$21,4,FALSE)</f>
        <v>10323.550000000001</v>
      </c>
      <c r="K5" s="1061">
        <f t="shared" si="0"/>
        <v>1495442.8430423758</v>
      </c>
      <c r="L5" s="333">
        <f t="shared" ref="L5:L21" si="2">K5-F5-G5</f>
        <v>1495442.8430423758</v>
      </c>
      <c r="M5" s="751">
        <f>VLOOKUP(A5,'2122 Band Calculations'!$A$112:$T$129,19,FALSE)</f>
        <v>83.25</v>
      </c>
      <c r="N5" s="42">
        <f>VLOOKUP(A5,'2122 Band Calculations'!$A$110:$AL$129,38,(FALSE))</f>
        <v>119027.6684821916</v>
      </c>
      <c r="O5" s="165">
        <f>M5-(M5*(VLOOKUP(A5,'2122 Band Calculations'!$A$6:$J$23,10,(FALSE))))</f>
        <v>78.046875</v>
      </c>
      <c r="P5" s="42">
        <f t="shared" ref="P5:P21" si="3">(H5+I5-N5)/O5</f>
        <v>11481.454248618975</v>
      </c>
      <c r="Q5" s="813">
        <f>'2122 MFG Protection'!L17</f>
        <v>1106.2590793901277</v>
      </c>
      <c r="R5" s="813">
        <f t="shared" ref="R5:R21" si="4">L5+Q5</f>
        <v>1496549.102121766</v>
      </c>
      <c r="S5" s="42">
        <f t="shared" ref="S5:S21" si="5">M5*10000</f>
        <v>832500</v>
      </c>
      <c r="T5" s="42">
        <f t="shared" ref="T5:T21" si="6">IF(S5&gt;R5,(S5-R5),(0))</f>
        <v>0</v>
      </c>
      <c r="U5" s="1512">
        <f t="shared" ref="U5:U21" si="7">R5/M5</f>
        <v>17976.565791252444</v>
      </c>
      <c r="V5" s="1059">
        <f t="shared" si="1"/>
        <v>832500</v>
      </c>
      <c r="W5" s="1059">
        <f t="shared" ref="W5:W21" si="8">U5-10000</f>
        <v>7976.5657912524439</v>
      </c>
      <c r="X5" s="94">
        <f t="shared" ref="X5:X21" si="9">R5-V5</f>
        <v>664049.10212176596</v>
      </c>
      <c r="Y5" s="94">
        <f t="shared" ref="Y5:Y21" si="10">V5+X5</f>
        <v>1496549.102121766</v>
      </c>
      <c r="Z5" s="1513">
        <f t="shared" ref="Z5:Z21" si="11">R5-Y5</f>
        <v>0</v>
      </c>
      <c r="AB5" s="869"/>
      <c r="AC5" s="869"/>
      <c r="AD5" s="869"/>
      <c r="AE5" s="873"/>
    </row>
    <row r="6" spans="1:32" x14ac:dyDescent="0.25">
      <c r="A6" s="185">
        <v>9257025</v>
      </c>
      <c r="B6" s="915" t="s">
        <v>776</v>
      </c>
      <c r="C6" s="861" t="str">
        <f>IF(I6+H6-'Pay &amp; Pension Workings'!H114-'TA Workings'!J114&lt;'Group Sizes'!$B$46,'Group Sizes'!$C$46,IF('2122 Funding Detail'!I6+H6-'Pay &amp; Pension Workings'!H114-'TA Workings'!J114&lt;'Group Sizes'!$B$47,'Group Sizes'!$C$47,IF('2122 Funding Detail'!I6+H6-'Pay &amp; Pension Workings'!H114-'TA Workings'!J114&lt;'Group Sizes'!$B$48,'Group Sizes'!$C$48,IF(I6+H6-'Pay &amp; Pension Workings'!H114-'TA Workings'!J114&lt;'Group Sizes'!$B$49,'Group Sizes'!$C$49,IF(I6+H6-'Pay &amp; Pension Workings'!H114-'TA Workings'!J114&lt;'Group Sizes'!$B$50,'Group Sizes'!$C$50,IF(I6+H6-'Pay &amp; Pension Workings'!H114-'TA Workings'!J114&lt;'Group Sizes'!$B$51,'Group Sizes'!$C$51,IF(I6+H6-'Pay &amp; Pension Workings'!H114-'TA Workings'!J114&lt;'Group Sizes'!$B$52,'Group Sizes'!$C$52,IF(I6+H6-'Pay &amp; Pension Workings'!H114-'TA Workings'!J114&lt;'Group Sizes'!$B$53,'Group Sizes'!$C$53,IF(I6+H6-'Pay &amp; Pension Workings'!H114-'TA Workings'!J114&lt;'Group Sizes'!$B$54,'Group Sizes'!$C$54,IF(I6+H6-'Pay &amp; Pension Workings'!H114-'TA Workings'!J114&lt;'Group Sizes'!$B$55,'Group Sizes'!$C$55,IF(I6+H6-'Pay &amp; Pension Workings'!H114-'TA Workings'!J114&lt;'Group Sizes'!$B$56,'Group Sizes'!$C$56)))))))))))</f>
        <v>School Size 4</v>
      </c>
      <c r="D6" s="94">
        <f>IF(H6+I6-'Pay &amp; Pension Workings'!H114-'TA Workings'!J114&lt;'Group Sizes'!$B$46,'Group Sizes'!$D$46,IF('2122 Funding Detail'!H6+I6-'Pay &amp; Pension Workings'!H114-'TA Workings'!J114&lt;'Group Sizes'!$B$47,'Group Sizes'!$D$47,IF('2122 Funding Detail'!H6+I6-'Pay &amp; Pension Workings'!H114-'TA Workings'!J114&lt;'Group Sizes'!$B$48,'Group Sizes'!$D$48,IF(H6+I6-'Pay &amp; Pension Workings'!H114-'TA Workings'!J114&lt;'Group Sizes'!$B$49,'Group Sizes'!$D$49,IF(H6+I6-'Pay &amp; Pension Workings'!H114-'TA Workings'!J114&lt;'Group Sizes'!$B$50,'Group Sizes'!$D$50,IF(H6+I6-'Pay &amp; Pension Workings'!H114-'TA Workings'!J114&lt;'Group Sizes'!$B$51,'Group Sizes'!$D$51,IF(H6+I6-'Pay &amp; Pension Workings'!H114-'TA Workings'!J114&lt;'Group Sizes'!$B$52,'Group Sizes'!$D$52,IF(H6+I6-'Pay &amp; Pension Workings'!H114-'TA Workings'!J114&lt;'Group Sizes'!$B$53,'Group Sizes'!$D$53,IF(H6+I6-'Pay &amp; Pension Workings'!H114-'TA Workings'!J114&lt;'Group Sizes'!$B$54,'Group Sizes'!$D$54,IF(H6+I6-'Pay &amp; Pension Workings'!H114-'TA Workings'!J114&lt;'Group Sizes'!$B$55,'Group Sizes'!$D$55,IF(H6+I6-'Pay &amp; Pension Workings'!H114-'TA Workings'!J114&lt;'Group Sizes'!$B$56,'Group Sizes'!$D$56)))))))))))</f>
        <v>360000</v>
      </c>
      <c r="E6" s="94">
        <f>IF(I6+H6-'Pay &amp; Pension Workings'!H114-'TA Workings'!J114&lt;'Group Sizes'!$B$46,'Group Sizes'!$E$46,IF('2122 Funding Detail'!I6+H6-'Pay &amp; Pension Workings'!H114-'TA Workings'!J114&lt;'Group Sizes'!$B$47,'Group Sizes'!$E$47,IF('2122 Funding Detail'!I6+H6-'Pay &amp; Pension Workings'!H114-'TA Workings'!J114&lt;'Group Sizes'!$B$48,'Group Sizes'!$E$48,IF(I6+H6-'Pay &amp; Pension Workings'!H114-'TA Workings'!J114&lt;'Group Sizes'!$B$49,'Group Sizes'!$E$49,IF(I6+H6-'Pay &amp; Pension Workings'!H114-'TA Workings'!J114&lt;'Group Sizes'!$B$50,'Group Sizes'!$E$50,IF(I6+H6-'Pay &amp; Pension Workings'!H114-'TA Workings'!J114&lt;'Group Sizes'!$B$51,'Group Sizes'!$E$51,IF(I6+H6-'Pay &amp; Pension Workings'!H114-'TA Workings'!J114&lt;'Group Sizes'!$B$52,'Group Sizes'!$E$52,IF(I6+H6-'Pay &amp; Pension Workings'!H114-'TA Workings'!J114&lt;'Group Sizes'!$B$53,'Group Sizes'!$E$53,IF(I6+H6-'Pay &amp; Pension Workings'!H114-'TA Workings'!J114&lt;'Group Sizes'!$B$54,'Group Sizes'!$E$54,IF(I6+H6-'Pay &amp; Pension Workings'!H114-'TA Workings'!J114&lt;'Group Sizes'!$B$55,'Group Sizes'!$E$55,IF(I6+H6-'Pay &amp; Pension Workings'!H114-'TA Workings'!J114&lt;'Group Sizes'!$B$56,'Group Sizes'!$E$56)))))))))))</f>
        <v>110000</v>
      </c>
      <c r="F6" s="1061"/>
      <c r="G6" s="1061"/>
      <c r="H6" s="333">
        <f>VLOOKUP(A6,'2122 Band Calculations'!$A$112:$T$129,10,FALSE)</f>
        <v>857582.99105446076</v>
      </c>
      <c r="I6" s="333">
        <f>VLOOKUP(A6,'2122 Band Calculations'!$A$112:$T$129,17,FALSE)</f>
        <v>7956.3311688311687</v>
      </c>
      <c r="J6" s="94">
        <f>VLOOKUP(A6,'2122 FSM Calculation'!$A$4:$D$21,4,FALSE)</f>
        <v>9425.85</v>
      </c>
      <c r="K6" s="1061">
        <f t="shared" si="0"/>
        <v>1344965.1722232921</v>
      </c>
      <c r="L6" s="333">
        <f t="shared" si="2"/>
        <v>1344965.1722232921</v>
      </c>
      <c r="M6" s="751">
        <f>VLOOKUP(A6,'2122 Band Calculations'!$A$112:$T$129,19,FALSE)</f>
        <v>77.5</v>
      </c>
      <c r="N6" s="42">
        <f>VLOOKUP(A6,'2122 Band Calculations'!$A$110:$AL$129,38,(FALSE))</f>
        <v>92098.940863721436</v>
      </c>
      <c r="O6" s="165">
        <f>M6-(M6*(VLOOKUP(A6,'2122 Band Calculations'!$A$6:$J$23,10,(FALSE))))</f>
        <v>73.474025974025977</v>
      </c>
      <c r="P6" s="42">
        <f t="shared" si="3"/>
        <v>10526.718402949524</v>
      </c>
      <c r="Q6" s="813">
        <f>'2122 MFG Protection'!L25</f>
        <v>20124.481605575605</v>
      </c>
      <c r="R6" s="813">
        <f t="shared" si="4"/>
        <v>1365089.6538288677</v>
      </c>
      <c r="S6" s="42">
        <f t="shared" si="5"/>
        <v>775000</v>
      </c>
      <c r="T6" s="42">
        <f t="shared" si="6"/>
        <v>0</v>
      </c>
      <c r="U6" s="1512">
        <f t="shared" si="7"/>
        <v>17614.060049404743</v>
      </c>
      <c r="V6" s="1059">
        <f t="shared" si="1"/>
        <v>775000</v>
      </c>
      <c r="W6" s="1059">
        <f t="shared" si="8"/>
        <v>7614.060049404743</v>
      </c>
      <c r="X6" s="94">
        <f t="shared" si="9"/>
        <v>590089.65382886771</v>
      </c>
      <c r="Y6" s="94">
        <f t="shared" si="10"/>
        <v>1365089.6538288677</v>
      </c>
      <c r="Z6" s="1513">
        <f t="shared" si="11"/>
        <v>0</v>
      </c>
      <c r="AB6" s="869"/>
      <c r="AC6" s="869"/>
      <c r="AD6" s="869"/>
      <c r="AE6" s="873"/>
    </row>
    <row r="7" spans="1:32" x14ac:dyDescent="0.25">
      <c r="A7" s="185">
        <v>9257011</v>
      </c>
      <c r="B7" s="38" t="s">
        <v>70</v>
      </c>
      <c r="C7" s="1605" t="str">
        <f>IF(I7+H7-'Pay &amp; Pension Workings'!H115-'TA Workings'!J115&lt;'Group Sizes'!$B$46,'Group Sizes'!$C$46,IF('2122 Funding Detail'!I7+H7-'Pay &amp; Pension Workings'!H115-'TA Workings'!J115&lt;'Group Sizes'!$B$47,'Group Sizes'!$C$47,IF('2122 Funding Detail'!I7+H7-'Pay &amp; Pension Workings'!H115-'TA Workings'!J115&lt;'Group Sizes'!$B$48,'Group Sizes'!$C$48,IF(I7+H7-'Pay &amp; Pension Workings'!H115-'TA Workings'!J115&lt;'Group Sizes'!$B$49,'Group Sizes'!$C$49,IF(I7+H7-'Pay &amp; Pension Workings'!H115-'TA Workings'!J115&lt;'Group Sizes'!$B$50,'Group Sizes'!$C$50,IF(I7+H7-'Pay &amp; Pension Workings'!H115-'TA Workings'!J115&lt;'Group Sizes'!$B$51,'Group Sizes'!$C$51,IF(I7+H7-'Pay &amp; Pension Workings'!H115-'TA Workings'!J115&lt;'Group Sizes'!$B$52,'Group Sizes'!$C$52,IF(I7+H7-'Pay &amp; Pension Workings'!H115-'TA Workings'!J115&lt;'Group Sizes'!$B$53,'Group Sizes'!$C$53,IF(I7+H7-'Pay &amp; Pension Workings'!H115-'TA Workings'!J115&lt;'Group Sizes'!$B$54,'Group Sizes'!$C$54,IF(I7+H7-'Pay &amp; Pension Workings'!H115-'TA Workings'!J115&lt;'Group Sizes'!$B$55,'Group Sizes'!$C$55,IF(I7+H7-'Pay &amp; Pension Workings'!H115-'TA Workings'!J115&lt;'Group Sizes'!$B$56,'Group Sizes'!$C$56)))))))))))</f>
        <v>School Size 3 Transition Point</v>
      </c>
      <c r="D7" s="94">
        <f>IF(H7+I7-'Pay &amp; Pension Workings'!H115-'TA Workings'!J115&lt;'Group Sizes'!$B$46,'Group Sizes'!$D$46,IF('2122 Funding Detail'!H7+I7-'Pay &amp; Pension Workings'!H115-'TA Workings'!J115&lt;'Group Sizes'!$B$47,'Group Sizes'!$D$47,IF('2122 Funding Detail'!H7+I7-'Pay &amp; Pension Workings'!H115-'TA Workings'!J115&lt;'Group Sizes'!$B$48,'Group Sizes'!$D$48,IF(H7+I7-'Pay &amp; Pension Workings'!H115-'TA Workings'!J115&lt;'Group Sizes'!$B$49,'Group Sizes'!$D$49,IF(H7+I7-'Pay &amp; Pension Workings'!H115-'TA Workings'!J115&lt;'Group Sizes'!$B$50,'Group Sizes'!$D$50,IF(H7+I7-'Pay &amp; Pension Workings'!H115-'TA Workings'!J115&lt;'Group Sizes'!$B$51,'Group Sizes'!$D$51,IF(H7+I7-'Pay &amp; Pension Workings'!H115-'TA Workings'!J115&lt;'Group Sizes'!$B$52,'Group Sizes'!$D$52,IF(H7+I7-'Pay &amp; Pension Workings'!H115-'TA Workings'!J115&lt;'Group Sizes'!$B$53,'Group Sizes'!$D$53,IF(H7+I7-'Pay &amp; Pension Workings'!H115-'TA Workings'!J115&lt;'Group Sizes'!$B$54,'Group Sizes'!$D$54,IF(H7+I7-'Pay &amp; Pension Workings'!H115-'TA Workings'!J115&lt;'Group Sizes'!$B$55,'Group Sizes'!$D$55,IF(H7+I7-'Pay &amp; Pension Workings'!H115-'TA Workings'!J115&lt;'Group Sizes'!$B$56,'Group Sizes'!$D$56)))))))))))</f>
        <v>332500</v>
      </c>
      <c r="E7" s="94">
        <f>IF(I7+H7-'Pay &amp; Pension Workings'!H115-'TA Workings'!J115&lt;'Group Sizes'!$B$46,'Group Sizes'!$E$46,IF('2122 Funding Detail'!I7+H7-'Pay &amp; Pension Workings'!H115-'TA Workings'!J115&lt;'Group Sizes'!$B$47,'Group Sizes'!$E$47,IF('2122 Funding Detail'!I7+H7-'Pay &amp; Pension Workings'!H115-'TA Workings'!J115&lt;'Group Sizes'!$B$48,'Group Sizes'!$E$48,IF(I7+H7-'Pay &amp; Pension Workings'!H115-'TA Workings'!J115&lt;'Group Sizes'!$B$49,'Group Sizes'!$E$49,IF(I7+H7-'Pay &amp; Pension Workings'!H115-'TA Workings'!J115&lt;'Group Sizes'!$B$50,'Group Sizes'!$E$50,IF(I7+H7-'Pay &amp; Pension Workings'!H115-'TA Workings'!J115&lt;'Group Sizes'!$B$51,'Group Sizes'!$E$51,IF(I7+H7-'Pay &amp; Pension Workings'!H115-'TA Workings'!J115&lt;'Group Sizes'!$B$52,'Group Sizes'!$E$52,IF(I7+H7-'Pay &amp; Pension Workings'!H115-'TA Workings'!J115&lt;'Group Sizes'!$B$53,'Group Sizes'!$E$53,IF(I7+H7-'Pay &amp; Pension Workings'!H115-'TA Workings'!J115&lt;'Group Sizes'!$B$54,'Group Sizes'!$E$54,IF(I7+H7-'Pay &amp; Pension Workings'!H115-'TA Workings'!J115&lt;'Group Sizes'!$B$55,'Group Sizes'!$E$55,IF(I7+H7-'Pay &amp; Pension Workings'!H115-'TA Workings'!J115&lt;'Group Sizes'!$B$56,'Group Sizes'!$E$56)))))))))))</f>
        <v>105000</v>
      </c>
      <c r="F7" s="1061"/>
      <c r="G7" s="1061"/>
      <c r="H7" s="333">
        <f>VLOOKUP(A7,'2122 Band Calculations'!$A$112:$T$129,10,FALSE)</f>
        <v>743100.46710014949</v>
      </c>
      <c r="I7" s="333">
        <f>VLOOKUP(A7,'2122 Band Calculations'!$A$112:$T$129,17,FALSE)</f>
        <v>2883.5849056603774</v>
      </c>
      <c r="J7" s="94">
        <f>VLOOKUP(A7,'2122 FSM Calculation'!$A$4:$D$21,4,FALSE)</f>
        <v>10772.400000000001</v>
      </c>
      <c r="K7" s="1061">
        <f t="shared" si="0"/>
        <v>1194256.4520058099</v>
      </c>
      <c r="L7" s="333">
        <f t="shared" si="2"/>
        <v>1194256.4520058099</v>
      </c>
      <c r="M7" s="751">
        <f>VLOOKUP(A7,'2122 Band Calculations'!$A$112:$T$129,19,FALSE)</f>
        <v>58</v>
      </c>
      <c r="N7" s="42">
        <f>VLOOKUP(A7,'2122 Band Calculations'!$A$110:$AL$129,38,(FALSE))</f>
        <v>150205.91718711381</v>
      </c>
      <c r="O7" s="165">
        <f>M7-(M7*(VLOOKUP(A7,'2122 Band Calculations'!$A$6:$J$23,10,(FALSE))))</f>
        <v>51.433962264150942</v>
      </c>
      <c r="P7" s="42">
        <f t="shared" si="3"/>
        <v>11583.36065494897</v>
      </c>
      <c r="Q7" s="813">
        <f>'2122 MFG Protection'!L33</f>
        <v>0</v>
      </c>
      <c r="R7" s="813">
        <f t="shared" si="4"/>
        <v>1194256.4520058099</v>
      </c>
      <c r="S7" s="42">
        <f t="shared" si="5"/>
        <v>580000</v>
      </c>
      <c r="T7" s="42">
        <f t="shared" si="6"/>
        <v>0</v>
      </c>
      <c r="U7" s="1512">
        <f t="shared" si="7"/>
        <v>20590.628482858792</v>
      </c>
      <c r="V7" s="1059">
        <f t="shared" si="1"/>
        <v>580000</v>
      </c>
      <c r="W7" s="1059">
        <f t="shared" si="8"/>
        <v>10590.628482858792</v>
      </c>
      <c r="X7" s="94">
        <f t="shared" si="9"/>
        <v>614256.45200580987</v>
      </c>
      <c r="Y7" s="94">
        <f t="shared" si="10"/>
        <v>1194256.4520058099</v>
      </c>
      <c r="Z7" s="1513">
        <f t="shared" si="11"/>
        <v>0</v>
      </c>
      <c r="AB7" s="869"/>
      <c r="AC7" s="869"/>
      <c r="AD7" s="869"/>
      <c r="AE7" s="873"/>
    </row>
    <row r="8" spans="1:32" x14ac:dyDescent="0.25">
      <c r="A8" s="185">
        <v>9257024</v>
      </c>
      <c r="B8" s="915" t="s">
        <v>777</v>
      </c>
      <c r="C8" s="861" t="str">
        <f>IF(I8+H8-'Pay &amp; Pension Workings'!H116-'TA Workings'!J116&lt;'Group Sizes'!$B$46,'Group Sizes'!$C$46,IF('2122 Funding Detail'!I8+H8-'Pay &amp; Pension Workings'!H116-'TA Workings'!J116&lt;'Group Sizes'!$B$47,'Group Sizes'!$C$47,IF('2122 Funding Detail'!I8+H8-'Pay &amp; Pension Workings'!H116-'TA Workings'!J116&lt;'Group Sizes'!$B$48,'Group Sizes'!$C$48,IF(I8+H8-'Pay &amp; Pension Workings'!H116-'TA Workings'!J116&lt;'Group Sizes'!$B$49,'Group Sizes'!$C$49,IF(I8+H8-'Pay &amp; Pension Workings'!H116-'TA Workings'!J116&lt;'Group Sizes'!$B$50,'Group Sizes'!$C$50,IF(I8+H8-'Pay &amp; Pension Workings'!H116-'TA Workings'!J116&lt;'Group Sizes'!$B$51,'Group Sizes'!$C$51,IF(I8+H8-'Pay &amp; Pension Workings'!H116-'TA Workings'!J116&lt;'Group Sizes'!$B$52,'Group Sizes'!$C$52,IF(I8+H8-'Pay &amp; Pension Workings'!H116-'TA Workings'!J116&lt;'Group Sizes'!$B$53,'Group Sizes'!$C$53,IF(I8+H8-'Pay &amp; Pension Workings'!H116-'TA Workings'!J116&lt;'Group Sizes'!$B$54,'Group Sizes'!$C$54,IF(I8+H8-'Pay &amp; Pension Workings'!H116-'TA Workings'!J116&lt;'Group Sizes'!$B$55,'Group Sizes'!$C$55,IF(I8+H8-'Pay &amp; Pension Workings'!H116-'TA Workings'!J116&lt;'Group Sizes'!$B$56,'Group Sizes'!$C$56)))))))))))</f>
        <v>School Size 4</v>
      </c>
      <c r="D8" s="94">
        <f>IF(H8+I8-'Pay &amp; Pension Workings'!H116-'TA Workings'!J116&lt;'Group Sizes'!$B$46,'Group Sizes'!$D$46,IF('2122 Funding Detail'!H8+I8-'Pay &amp; Pension Workings'!H116-'TA Workings'!J116&lt;'Group Sizes'!$B$47,'Group Sizes'!$D$47,IF('2122 Funding Detail'!H8+I8-'Pay &amp; Pension Workings'!H116-'TA Workings'!J116&lt;'Group Sizes'!$B$48,'Group Sizes'!$D$48,IF(H8+I8-'Pay &amp; Pension Workings'!H116-'TA Workings'!J116&lt;'Group Sizes'!$B$49,'Group Sizes'!$D$49,IF(H8+I8-'Pay &amp; Pension Workings'!H116-'TA Workings'!J116&lt;'Group Sizes'!$B$50,'Group Sizes'!$D$50,IF(H8+I8-'Pay &amp; Pension Workings'!H116-'TA Workings'!J116&lt;'Group Sizes'!$B$51,'Group Sizes'!$D$51,IF(H8+I8-'Pay &amp; Pension Workings'!H116-'TA Workings'!J116&lt;'Group Sizes'!$B$52,'Group Sizes'!$D$52,IF(H8+I8-'Pay &amp; Pension Workings'!H116-'TA Workings'!J116&lt;'Group Sizes'!$B$53,'Group Sizes'!$D$53,IF(H8+I8-'Pay &amp; Pension Workings'!H116-'TA Workings'!J116&lt;'Group Sizes'!$B$54,'Group Sizes'!$D$54,IF(H8+I8-'Pay &amp; Pension Workings'!H116-'TA Workings'!J116&lt;'Group Sizes'!$B$55,'Group Sizes'!$D$55,IF(H8+I8-'Pay &amp; Pension Workings'!H116-'TA Workings'!J116&lt;'Group Sizes'!$B$56,'Group Sizes'!$D$56)))))))))))</f>
        <v>360000</v>
      </c>
      <c r="E8" s="94">
        <f>IF(I8+H8-'Pay &amp; Pension Workings'!H116-'TA Workings'!J116&lt;'Group Sizes'!$B$46,'Group Sizes'!$E$46,IF('2122 Funding Detail'!I8+H8-'Pay &amp; Pension Workings'!H116-'TA Workings'!J116&lt;'Group Sizes'!$B$47,'Group Sizes'!$E$47,IF('2122 Funding Detail'!I8+H8-'Pay &amp; Pension Workings'!H116-'TA Workings'!J116&lt;'Group Sizes'!$B$48,'Group Sizes'!$E$48,IF(I8+H8-'Pay &amp; Pension Workings'!H116-'TA Workings'!J116&lt;'Group Sizes'!$B$49,'Group Sizes'!$E$49,IF(I8+H8-'Pay &amp; Pension Workings'!H116-'TA Workings'!J116&lt;'Group Sizes'!$B$50,'Group Sizes'!$E$50,IF(I8+H8-'Pay &amp; Pension Workings'!H116-'TA Workings'!J116&lt;'Group Sizes'!$B$51,'Group Sizes'!$E$51,IF(I8+H8-'Pay &amp; Pension Workings'!H116-'TA Workings'!J116&lt;'Group Sizes'!$B$52,'Group Sizes'!$E$52,IF(I8+H8-'Pay &amp; Pension Workings'!H116-'TA Workings'!J116&lt;'Group Sizes'!$B$53,'Group Sizes'!$E$53,IF(I8+H8-'Pay &amp; Pension Workings'!H116-'TA Workings'!J116&lt;'Group Sizes'!$B$54,'Group Sizes'!$E$54,IF(I8+H8-'Pay &amp; Pension Workings'!H116-'TA Workings'!J116&lt;'Group Sizes'!$B$55,'Group Sizes'!$E$55,IF(I8+H8-'Pay &amp; Pension Workings'!H116-'TA Workings'!J116&lt;'Group Sizes'!$B$56,'Group Sizes'!$E$56)))))))))))</f>
        <v>110000</v>
      </c>
      <c r="F8" s="1061"/>
      <c r="G8" s="1061"/>
      <c r="H8" s="333">
        <f>VLOOKUP(A8,'2122 Band Calculations'!$A$112:$T$129,10,FALSE)</f>
        <v>983575.69878823857</v>
      </c>
      <c r="I8" s="333">
        <f>VLOOKUP(A8,'2122 Band Calculations'!$A$112:$T$129,17,FALSE)</f>
        <v>2664.1014056224903</v>
      </c>
      <c r="J8" s="94">
        <f>VLOOKUP(A8,'2122 FSM Calculation'!$A$4:$D$21,4,FALSE)</f>
        <v>9874.7000000000007</v>
      </c>
      <c r="K8" s="1061">
        <f t="shared" si="0"/>
        <v>1466114.5001938611</v>
      </c>
      <c r="L8" s="333">
        <f t="shared" si="2"/>
        <v>1466114.5001938611</v>
      </c>
      <c r="M8" s="751">
        <f>VLOOKUP(A8,'2122 Band Calculations'!$A$112:$T$129,19,FALSE)</f>
        <v>83.916666666666686</v>
      </c>
      <c r="N8" s="42">
        <f>VLOOKUP(A8,'2122 Band Calculations'!$A$110:$AL$129,38,(FALSE))</f>
        <v>208159.53485130478</v>
      </c>
      <c r="O8" s="165">
        <f>M8-(M8*(VLOOKUP(A8,'2122 Band Calculations'!$A$6:$J$23,10,(FALSE))))</f>
        <v>74.817269076305237</v>
      </c>
      <c r="P8" s="42">
        <f t="shared" si="3"/>
        <v>10399.74159640873</v>
      </c>
      <c r="Q8" s="813">
        <f>'2122 MFG Protection'!L41</f>
        <v>21452.798486354863</v>
      </c>
      <c r="R8" s="813">
        <f t="shared" si="4"/>
        <v>1487567.2986802158</v>
      </c>
      <c r="S8" s="42">
        <f t="shared" si="5"/>
        <v>839166.66666666686</v>
      </c>
      <c r="T8" s="42">
        <f t="shared" si="6"/>
        <v>0</v>
      </c>
      <c r="U8" s="1512">
        <f t="shared" si="7"/>
        <v>17726.720540379927</v>
      </c>
      <c r="V8" s="1059">
        <f t="shared" si="1"/>
        <v>839166.66666666686</v>
      </c>
      <c r="W8" s="1059">
        <f t="shared" si="8"/>
        <v>7726.7205403799271</v>
      </c>
      <c r="X8" s="94">
        <f t="shared" si="9"/>
        <v>648400.63201354898</v>
      </c>
      <c r="Y8" s="94">
        <f t="shared" si="10"/>
        <v>1487567.2986802158</v>
      </c>
      <c r="Z8" s="1513">
        <f t="shared" si="11"/>
        <v>0</v>
      </c>
      <c r="AB8" s="869"/>
      <c r="AC8" s="869"/>
      <c r="AD8" s="869"/>
      <c r="AE8" s="873"/>
    </row>
    <row r="9" spans="1:32" ht="13" x14ac:dyDescent="0.3">
      <c r="A9" s="185">
        <v>9257031</v>
      </c>
      <c r="B9" s="918" t="s">
        <v>422</v>
      </c>
      <c r="C9" s="1604" t="str">
        <f>IF(I9+H9-'Pay &amp; Pension Workings'!H117-'TA Workings'!J117&lt;'Group Sizes'!$B$46,'Group Sizes'!$C$46,IF('2122 Funding Detail'!I9+H9-'Pay &amp; Pension Workings'!H117-'TA Workings'!J117&lt;'Group Sizes'!$B$47,'Group Sizes'!$C$47,IF('2122 Funding Detail'!I9+H9-'Pay &amp; Pension Workings'!H117-'TA Workings'!J117&lt;'Group Sizes'!$B$48,'Group Sizes'!$C$48,IF(I9+H9-'Pay &amp; Pension Workings'!H117-'TA Workings'!J117&lt;'Group Sizes'!$B$49,'Group Sizes'!$C$49,IF(I9+H9-'Pay &amp; Pension Workings'!H117-'TA Workings'!J117&lt;'Group Sizes'!$B$50,'Group Sizes'!$C$50,IF(I9+H9-'Pay &amp; Pension Workings'!H117-'TA Workings'!J117&lt;'Group Sizes'!$B$51,'Group Sizes'!$C$51,IF(I9+H9-'Pay &amp; Pension Workings'!H117-'TA Workings'!J117&lt;'Group Sizes'!$B$52,'Group Sizes'!$C$52,IF(I9+H9-'Pay &amp; Pension Workings'!H117-'TA Workings'!J117&lt;'Group Sizes'!$B$53,'Group Sizes'!$C$53,IF(I9+H9-'Pay &amp; Pension Workings'!H117-'TA Workings'!J117&lt;'Group Sizes'!$B$54,'Group Sizes'!$C$54,IF(I9+H9-'Pay &amp; Pension Workings'!H117-'TA Workings'!J117&lt;'Group Sizes'!$B$55,'Group Sizes'!$C$55,IF(I9+H9-'Pay &amp; Pension Workings'!H117-'TA Workings'!J117&lt;'Group Sizes'!$B$56,'Group Sizes'!$C$56)))))))))))</f>
        <v>School Size 5</v>
      </c>
      <c r="D9" s="94">
        <f>IF(H9+I9-'Pay &amp; Pension Workings'!H117-'TA Workings'!J117&lt;'Group Sizes'!$B$61,'Group Sizes'!$D$61,IF('2122 Funding Detail'!H9+I9-'Pay &amp; Pension Workings'!H117-'TA Workings'!J117&lt;'Group Sizes'!$B$62,'Group Sizes'!$D$62,IF('2122 Funding Detail'!H9+I9-'Pay &amp; Pension Workings'!H117-'TA Workings'!J117&lt;'Group Sizes'!$B$63,'Group Sizes'!$D$63,IF(H9+I9-'Pay &amp; Pension Workings'!H117-'TA Workings'!J117&lt;'Group Sizes'!$B$64,'Group Sizes'!$D$64,IF(H9+I9-'Pay &amp; Pension Workings'!H117-'TA Workings'!J117&lt;'Group Sizes'!$B$65,'Group Sizes'!$D$65)))))</f>
        <v>360000</v>
      </c>
      <c r="E9" s="94">
        <f>IF(H9+I9-'Pay &amp; Pension Workings'!H117-'TA Workings'!J117&lt;'Group Sizes'!$B$61,'Group Sizes'!$E$61,IF('2122 Funding Detail'!H9+I9-'Pay &amp; Pension Workings'!H117-'TA Workings'!J117&lt;'Group Sizes'!$B$62,'Group Sizes'!$E$62,IF('2122 Funding Detail'!H9+I9-'Pay &amp; Pension Workings'!H117-'TA Workings'!J117&lt;'Group Sizes'!$B$63,'Group Sizes'!$E$63,IF(H9+I9-'Pay &amp; Pension Workings'!H117-'TA Workings'!J117&lt;'Group Sizes'!$B$64,'Group Sizes'!$E$64,IF(H9+I9-'Pay &amp; Pension Workings'!H117-'TA Workings'!J117&lt;'Group Sizes'!$B$65,'Group Sizes'!$E$65)))))</f>
        <v>85000</v>
      </c>
      <c r="F9" s="94">
        <v>187683</v>
      </c>
      <c r="G9" s="1061"/>
      <c r="H9" s="333">
        <f>VLOOKUP(A9,'2122 Band Calculations'!$A$112:$T$129,10,FALSE)</f>
        <v>971767.43493117648</v>
      </c>
      <c r="I9" s="333">
        <f>VLOOKUP(A9,'2122 Band Calculations'!$A$112:$T$129,17,FALSE)</f>
        <v>212337.08333333337</v>
      </c>
      <c r="J9" s="94">
        <f>VLOOKUP(A9,'2122 FSM Calculation'!$A$4:$D$21,4,FALSE)</f>
        <v>21095.95</v>
      </c>
      <c r="K9" s="1061">
        <f>SUM(D9:J9)</f>
        <v>1837883.4682645097</v>
      </c>
      <c r="L9" s="333">
        <f>K9-F9-G9</f>
        <v>1650200.4682645097</v>
      </c>
      <c r="M9" s="751">
        <f>VLOOKUP(A9,'2122 Band Calculations'!$A$112:$T$129,19,FALSE)</f>
        <v>80.583333333333343</v>
      </c>
      <c r="N9" s="42">
        <f>VLOOKUP(A9,'2122 Band Calculations'!$A$110:$AL$129,38,(FALSE))</f>
        <v>0</v>
      </c>
      <c r="O9" s="165">
        <f>M9-(M9*(VLOOKUP(A9,'2122 Band Calculations'!$A$6:$J$23,10,(FALSE))))</f>
        <v>80.583333333333343</v>
      </c>
      <c r="P9" s="42">
        <f>(H9+I9-N9)/O9</f>
        <v>14694.161550335177</v>
      </c>
      <c r="Q9" s="813">
        <f>'2122 MFG Protection'!L49</f>
        <v>17799.737007142194</v>
      </c>
      <c r="R9" s="813">
        <f>L9+Q9</f>
        <v>1668000.205271652</v>
      </c>
      <c r="S9" s="42">
        <f>M9*10000</f>
        <v>805833.33333333337</v>
      </c>
      <c r="T9" s="42">
        <f>IF(S9&gt;R9,(S9-R9),(0))</f>
        <v>0</v>
      </c>
      <c r="U9" s="1512">
        <f>R9/M9</f>
        <v>20699.071833774375</v>
      </c>
      <c r="V9" s="1059">
        <f>M9*10000</f>
        <v>805833.33333333337</v>
      </c>
      <c r="W9" s="1059">
        <f>U9-10000</f>
        <v>10699.071833774375</v>
      </c>
      <c r="X9" s="94">
        <f>R9-V9</f>
        <v>862166.8719383186</v>
      </c>
      <c r="Y9" s="94">
        <f>V9+X9</f>
        <v>1668000.205271652</v>
      </c>
      <c r="Z9" s="1513">
        <f>R9-Y9</f>
        <v>0</v>
      </c>
      <c r="AB9" s="869"/>
      <c r="AC9" s="869"/>
      <c r="AD9" s="869"/>
      <c r="AE9" s="873"/>
    </row>
    <row r="10" spans="1:32" x14ac:dyDescent="0.25">
      <c r="A10" s="185">
        <v>9257033</v>
      </c>
      <c r="B10" s="915" t="s">
        <v>768</v>
      </c>
      <c r="C10" s="861" t="str">
        <f>IF(I10+H10-'Pay &amp; Pension Workings'!H118-'TA Workings'!J118&lt;'Group Sizes'!$B$46,'Group Sizes'!$C$46,IF('2122 Funding Detail'!I10+H10-'Pay &amp; Pension Workings'!H118-'TA Workings'!J118&lt;'Group Sizes'!$B$47,'Group Sizes'!$C$47,IF('2122 Funding Detail'!I10+H10-'Pay &amp; Pension Workings'!H118-'TA Workings'!J118&lt;'Group Sizes'!$B$48,'Group Sizes'!$C$48,IF(I10+H10-'Pay &amp; Pension Workings'!H118-'TA Workings'!J118&lt;'Group Sizes'!$B$49,'Group Sizes'!$C$49,IF(I10+H10-'Pay &amp; Pension Workings'!H118-'TA Workings'!J118&lt;'Group Sizes'!$B$50,'Group Sizes'!$C$50,IF(I10+H10-'Pay &amp; Pension Workings'!H118-'TA Workings'!J118&lt;'Group Sizes'!$B$51,'Group Sizes'!$C$51,IF(I10+H10-'Pay &amp; Pension Workings'!H118-'TA Workings'!J118&lt;'Group Sizes'!$B$52,'Group Sizes'!$C$52,IF(I10+H10-'Pay &amp; Pension Workings'!H118-'TA Workings'!J118&lt;'Group Sizes'!$B$53,'Group Sizes'!$C$53,IF(I10+H10-'Pay &amp; Pension Workings'!H118-'TA Workings'!J118&lt;'Group Sizes'!$B$54,'Group Sizes'!$C$54,IF(I10+H10-'Pay &amp; Pension Workings'!H118-'TA Workings'!J118&lt;'Group Sizes'!$B$55,'Group Sizes'!$C$55,IF(I10+H10-'Pay &amp; Pension Workings'!H118-'TA Workings'!J118&lt;'Group Sizes'!$B$56,'Group Sizes'!$C$56)))))))))))</f>
        <v>School Size 4</v>
      </c>
      <c r="D10" s="94">
        <f>IF(H10+I10-'Pay &amp; Pension Workings'!H118-'TA Workings'!J118&lt;'Group Sizes'!$B$46,'Group Sizes'!$D$46,IF('2122 Funding Detail'!H10+I10-'Pay &amp; Pension Workings'!H118-'TA Workings'!J118&lt;'Group Sizes'!$B$47,'Group Sizes'!$D$47,IF('2122 Funding Detail'!H10+I10-'Pay &amp; Pension Workings'!H118-'TA Workings'!J118&lt;'Group Sizes'!$B$48,'Group Sizes'!$D$48,IF(H10+I10-'Pay &amp; Pension Workings'!H118-'TA Workings'!J118&lt;'Group Sizes'!$B$49,'Group Sizes'!$D$49,IF(H10+I10-'Pay &amp; Pension Workings'!H118-'TA Workings'!J118&lt;'Group Sizes'!$B$50,'Group Sizes'!$D$50,IF(H10+I10-'Pay &amp; Pension Workings'!H118-'TA Workings'!J118&lt;'Group Sizes'!$B$51,'Group Sizes'!$D$51,IF(H10+I10-'Pay &amp; Pension Workings'!H118-'TA Workings'!J118&lt;'Group Sizes'!$B$52,'Group Sizes'!$D$52,IF(H10+I10-'Pay &amp; Pension Workings'!H118-'TA Workings'!J118&lt;'Group Sizes'!$B$53,'Group Sizes'!$D$53,IF(H10+I10-'Pay &amp; Pension Workings'!H118-'TA Workings'!J118&lt;'Group Sizes'!$B$54,'Group Sizes'!$D$54,IF(H10+I10-'Pay &amp; Pension Workings'!H118-'TA Workings'!J118&lt;'Group Sizes'!$B$55,'Group Sizes'!$D$55,IF(H10+I10-'Pay &amp; Pension Workings'!H118-'TA Workings'!J118&lt;'Group Sizes'!$B$56,'Group Sizes'!$D$56)))))))))))</f>
        <v>360000</v>
      </c>
      <c r="E10" s="94">
        <f>IF(I10+H10-'Pay &amp; Pension Workings'!H118-'TA Workings'!J118&lt;'Group Sizes'!$B$46,'Group Sizes'!$E$46,IF('2122 Funding Detail'!I10+H10-'Pay &amp; Pension Workings'!H118-'TA Workings'!J118&lt;'Group Sizes'!$B$47,'Group Sizes'!$E$47,IF('2122 Funding Detail'!I10+H10-'Pay &amp; Pension Workings'!H118-'TA Workings'!J118&lt;'Group Sizes'!$B$48,'Group Sizes'!$E$48,IF(I10+H10-'Pay &amp; Pension Workings'!H118-'TA Workings'!J118&lt;'Group Sizes'!$B$49,'Group Sizes'!$E$49,IF(I10+H10-'Pay &amp; Pension Workings'!H118-'TA Workings'!J118&lt;'Group Sizes'!$B$50,'Group Sizes'!$E$50,IF(I10+H10-'Pay &amp; Pension Workings'!H118-'TA Workings'!J118&lt;'Group Sizes'!$B$51,'Group Sizes'!$E$51,IF(I10+H10-'Pay &amp; Pension Workings'!H118-'TA Workings'!J118&lt;'Group Sizes'!$B$52,'Group Sizes'!$E$52,IF(I10+H10-'Pay &amp; Pension Workings'!H118-'TA Workings'!J118&lt;'Group Sizes'!$B$53,'Group Sizes'!$E$53,IF(I10+H10-'Pay &amp; Pension Workings'!H118-'TA Workings'!J118&lt;'Group Sizes'!$B$54,'Group Sizes'!$E$54,IF(I10+H10-'Pay &amp; Pension Workings'!H118-'TA Workings'!J118&lt;'Group Sizes'!$B$55,'Group Sizes'!$E$55,IF(I10+H10-'Pay &amp; Pension Workings'!H118-'TA Workings'!J118&lt;'Group Sizes'!$B$56,'Group Sizes'!$E$56)))))))))))</f>
        <v>110000</v>
      </c>
      <c r="F10" s="1061"/>
      <c r="G10" s="1061"/>
      <c r="H10" s="333">
        <f>VLOOKUP(A10,'2122 Band Calculations'!$A$112:$T$129,10,FALSE)</f>
        <v>920915.78688585176</v>
      </c>
      <c r="I10" s="333">
        <f>VLOOKUP(A10,'2122 Band Calculations'!$A$112:$T$129,17,FALSE)</f>
        <v>16378.605263157897</v>
      </c>
      <c r="J10" s="94">
        <f>VLOOKUP(A10,'2122 FSM Calculation'!$A$4:$D$21,4,FALSE)</f>
        <v>21993.65</v>
      </c>
      <c r="K10" s="1061">
        <f>SUM(D10:J10)</f>
        <v>1429288.0421490096</v>
      </c>
      <c r="L10" s="333">
        <f>K10-F10-G10</f>
        <v>1429288.0421490096</v>
      </c>
      <c r="M10" s="751">
        <f>VLOOKUP(A10,'2122 Band Calculations'!$A$112:$T$129,19,FALSE)</f>
        <v>98.416666666666671</v>
      </c>
      <c r="N10" s="42">
        <f>VLOOKUP(A10,'2122 Band Calculations'!$A$110:$AL$129,38,(FALSE))</f>
        <v>0</v>
      </c>
      <c r="O10" s="165">
        <f>M10-(M10*(VLOOKUP(A10,'2122 Band Calculations'!$A$6:$J$23,10,(FALSE))))</f>
        <v>98.416666666666671</v>
      </c>
      <c r="P10" s="42">
        <f>(H10+I10-N10)/O10</f>
        <v>9523.7364147232129</v>
      </c>
      <c r="Q10" s="813">
        <f>'2122 MFG Protection'!L57</f>
        <v>0</v>
      </c>
      <c r="R10" s="813">
        <f>L10+Q10</f>
        <v>1429288.0421490096</v>
      </c>
      <c r="S10" s="42">
        <f>M10*10000</f>
        <v>984166.66666666674</v>
      </c>
      <c r="T10" s="42">
        <f>IF(S10&gt;R10,(S10-R10),(0))</f>
        <v>0</v>
      </c>
      <c r="U10" s="1512">
        <f>R10/M10</f>
        <v>14522.825153080537</v>
      </c>
      <c r="V10" s="1059">
        <f>M10*10000</f>
        <v>984166.66666666674</v>
      </c>
      <c r="W10" s="1059">
        <f>U10-10000</f>
        <v>4522.8251530805373</v>
      </c>
      <c r="X10" s="94">
        <f>R10-V10</f>
        <v>445121.3754823429</v>
      </c>
      <c r="Y10" s="94">
        <f>V10+X10</f>
        <v>1429288.0421490096</v>
      </c>
      <c r="Z10" s="1513">
        <f>R10-Y10</f>
        <v>0</v>
      </c>
      <c r="AB10" s="869"/>
      <c r="AC10" s="869"/>
      <c r="AD10" s="869"/>
      <c r="AE10" s="873"/>
    </row>
    <row r="11" spans="1:32" x14ac:dyDescent="0.25">
      <c r="A11" s="185">
        <v>9257008</v>
      </c>
      <c r="B11" s="915" t="s">
        <v>87</v>
      </c>
      <c r="C11" s="861" t="str">
        <f>IF(I11+H11-'Pay &amp; Pension Workings'!H119-'TA Workings'!J119&lt;'Group Sizes'!$B$46,'Group Sizes'!$C$46,IF('2122 Funding Detail'!I11+H11-'Pay &amp; Pension Workings'!H119-'TA Workings'!J119&lt;'Group Sizes'!$B$47,'Group Sizes'!$C$47,IF('2122 Funding Detail'!I11+H11-'Pay &amp; Pension Workings'!H119-'TA Workings'!J119&lt;'Group Sizes'!$B$48,'Group Sizes'!$C$48,IF(I11+H11-'Pay &amp; Pension Workings'!H119-'TA Workings'!J119&lt;'Group Sizes'!$B$49,'Group Sizes'!$C$49,IF(I11+H11-'Pay &amp; Pension Workings'!H119-'TA Workings'!J119&lt;'Group Sizes'!$B$50,'Group Sizes'!$C$50,IF(I11+H11-'Pay &amp; Pension Workings'!H119-'TA Workings'!J119&lt;'Group Sizes'!$B$51,'Group Sizes'!$C$51,IF(I11+H11-'Pay &amp; Pension Workings'!H119-'TA Workings'!J119&lt;'Group Sizes'!$B$52,'Group Sizes'!$C$52,IF(I11+H11-'Pay &amp; Pension Workings'!H119-'TA Workings'!J119&lt;'Group Sizes'!$B$53,'Group Sizes'!$C$53,IF(I11+H11-'Pay &amp; Pension Workings'!H119-'TA Workings'!J119&lt;'Group Sizes'!$B$54,'Group Sizes'!$C$54,IF(I11+H11-'Pay &amp; Pension Workings'!H119-'TA Workings'!J119&lt;'Group Sizes'!$B$55,'Group Sizes'!$C$55,IF(I11+H11-'Pay &amp; Pension Workings'!H119-'TA Workings'!J119&lt;'Group Sizes'!$B$56,'Group Sizes'!$C$56)))))))))))</f>
        <v>School Size 4</v>
      </c>
      <c r="D11" s="94">
        <f>IF(H11+I11-'Pay &amp; Pension Workings'!H119-'TA Workings'!J119&lt;'Group Sizes'!$B$46,'Group Sizes'!$D$46,IF('2122 Funding Detail'!H11+I11-'Pay &amp; Pension Workings'!H119-'TA Workings'!J119&lt;'Group Sizes'!$B$47,'Group Sizes'!$D$47,IF('2122 Funding Detail'!H11+I11-'Pay &amp; Pension Workings'!H119-'TA Workings'!J119&lt;'Group Sizes'!$B$48,'Group Sizes'!$D$48,IF(H11+I11-'Pay &amp; Pension Workings'!H119-'TA Workings'!J119&lt;'Group Sizes'!$B$49,'Group Sizes'!$D$49,IF(H11+I11-'Pay &amp; Pension Workings'!H119-'TA Workings'!J119&lt;'Group Sizes'!$B$50,'Group Sizes'!$D$50,IF(H11+I11-'Pay &amp; Pension Workings'!H119-'TA Workings'!J119&lt;'Group Sizes'!$B$51,'Group Sizes'!$D$51,IF(H11+I11-'Pay &amp; Pension Workings'!H119-'TA Workings'!J119&lt;'Group Sizes'!$B$52,'Group Sizes'!$D$52,IF(H11+I11-'Pay &amp; Pension Workings'!H119-'TA Workings'!J119&lt;'Group Sizes'!$B$53,'Group Sizes'!$D$53,IF(H11+I11-'Pay &amp; Pension Workings'!H119-'TA Workings'!J119&lt;'Group Sizes'!$B$54,'Group Sizes'!$D$54,IF(H11+I11-'Pay &amp; Pension Workings'!H119-'TA Workings'!J119&lt;'Group Sizes'!$B$55,'Group Sizes'!$D$55,IF(H11+I11-'Pay &amp; Pension Workings'!H119-'TA Workings'!J119&lt;'Group Sizes'!$B$56,'Group Sizes'!$D$56)))))))))))</f>
        <v>360000</v>
      </c>
      <c r="E11" s="94">
        <f>IF(I11+H11-'Pay &amp; Pension Workings'!H119-'TA Workings'!J119&lt;'Group Sizes'!$B$46,'Group Sizes'!$E$46,IF('2122 Funding Detail'!I11+H11-'Pay &amp; Pension Workings'!H119-'TA Workings'!J119&lt;'Group Sizes'!$B$47,'Group Sizes'!$E$47,IF('2122 Funding Detail'!I11+H11-'Pay &amp; Pension Workings'!H119-'TA Workings'!J119&lt;'Group Sizes'!$B$48,'Group Sizes'!$E$48,IF(I11+H11-'Pay &amp; Pension Workings'!H119-'TA Workings'!J119&lt;'Group Sizes'!$B$49,'Group Sizes'!$E$49,IF(I11+H11-'Pay &amp; Pension Workings'!H119-'TA Workings'!J119&lt;'Group Sizes'!$B$50,'Group Sizes'!$E$50,IF(I11+H11-'Pay &amp; Pension Workings'!H119-'TA Workings'!J119&lt;'Group Sizes'!$B$51,'Group Sizes'!$E$51,IF(I11+H11-'Pay &amp; Pension Workings'!H119-'TA Workings'!J119&lt;'Group Sizes'!$B$52,'Group Sizes'!$E$52,IF(I11+H11-'Pay &amp; Pension Workings'!H119-'TA Workings'!J119&lt;'Group Sizes'!$B$53,'Group Sizes'!$E$53,IF(I11+H11-'Pay &amp; Pension Workings'!H119-'TA Workings'!J119&lt;'Group Sizes'!$B$54,'Group Sizes'!$E$54,IF(I11+H11-'Pay &amp; Pension Workings'!H119-'TA Workings'!J119&lt;'Group Sizes'!$B$55,'Group Sizes'!$E$55,IF(I11+H11-'Pay &amp; Pension Workings'!H119-'TA Workings'!J119&lt;'Group Sizes'!$B$56,'Group Sizes'!$E$56)))))))))))</f>
        <v>110000</v>
      </c>
      <c r="F11" s="1061"/>
      <c r="G11" s="1061"/>
      <c r="H11" s="333">
        <f>VLOOKUP(A11,'2122 Band Calculations'!$A$112:$T$129,10,FALSE)</f>
        <v>955264.96067784482</v>
      </c>
      <c r="I11" s="333">
        <f>VLOOKUP(A11,'2122 Band Calculations'!$A$112:$T$129,17,FALSE)</f>
        <v>20991.279461279461</v>
      </c>
      <c r="J11" s="94">
        <f>VLOOKUP(A11,'2122 FSM Calculation'!$A$4:$D$21,4,FALSE)</f>
        <v>14363.2</v>
      </c>
      <c r="K11" s="1061">
        <f t="shared" si="0"/>
        <v>1460619.4401391244</v>
      </c>
      <c r="L11" s="333">
        <f t="shared" si="2"/>
        <v>1460619.4401391244</v>
      </c>
      <c r="M11" s="751">
        <f>VLOOKUP(A11,'2122 Band Calculations'!$A$112:$T$129,19,FALSE)</f>
        <v>98.583333333333343</v>
      </c>
      <c r="N11" s="42">
        <f>VLOOKUP(A11,'2122 Band Calculations'!$A$110:$AL$129,38,(FALSE))</f>
        <v>22779.908282332057</v>
      </c>
      <c r="O11" s="165">
        <f>M11-(M11*(VLOOKUP(A11,'2122 Band Calculations'!$A$6:$J$23,10,(FALSE))))</f>
        <v>97.58754208754209</v>
      </c>
      <c r="P11" s="42">
        <f t="shared" si="3"/>
        <v>9770.4718395455111</v>
      </c>
      <c r="Q11" s="813">
        <f>'2122 MFG Protection'!L65</f>
        <v>0</v>
      </c>
      <c r="R11" s="813">
        <f t="shared" si="4"/>
        <v>1460619.4401391244</v>
      </c>
      <c r="S11" s="42">
        <f t="shared" si="5"/>
        <v>985833.33333333337</v>
      </c>
      <c r="T11" s="42">
        <f t="shared" si="6"/>
        <v>0</v>
      </c>
      <c r="U11" s="1512">
        <f t="shared" si="7"/>
        <v>14816.088995494076</v>
      </c>
      <c r="V11" s="1059">
        <f t="shared" si="1"/>
        <v>985833.33333333337</v>
      </c>
      <c r="W11" s="1059">
        <f t="shared" si="8"/>
        <v>4816.0889954940758</v>
      </c>
      <c r="X11" s="94">
        <f t="shared" si="9"/>
        <v>474786.10680579103</v>
      </c>
      <c r="Y11" s="94">
        <f t="shared" si="10"/>
        <v>1460619.4401391244</v>
      </c>
      <c r="Z11" s="1513">
        <f t="shared" si="11"/>
        <v>0</v>
      </c>
      <c r="AB11" s="869"/>
      <c r="AC11" s="869"/>
      <c r="AD11" s="869"/>
      <c r="AE11" s="873"/>
    </row>
    <row r="12" spans="1:32" x14ac:dyDescent="0.25">
      <c r="A12" s="185">
        <v>9257034</v>
      </c>
      <c r="B12" s="915" t="s">
        <v>769</v>
      </c>
      <c r="C12" s="861" t="str">
        <f>IF(I12+H12-'Pay &amp; Pension Workings'!H120-'TA Workings'!J120&lt;'Group Sizes'!$B$46,'Group Sizes'!$C$46,IF('2122 Funding Detail'!I12+H12-'Pay &amp; Pension Workings'!H120-'TA Workings'!J120&lt;'Group Sizes'!$B$47,'Group Sizes'!$C$47,IF('2122 Funding Detail'!I12+H12-'Pay &amp; Pension Workings'!H120-'TA Workings'!J120&lt;'Group Sizes'!$B$48,'Group Sizes'!$C$48,IF(I12+H12-'Pay &amp; Pension Workings'!H120-'TA Workings'!J120&lt;'Group Sizes'!$B$49,'Group Sizes'!$C$49,IF(I12+H12-'Pay &amp; Pension Workings'!H120-'TA Workings'!J120&lt;'Group Sizes'!$B$50,'Group Sizes'!$C$50,IF(I12+H12-'Pay &amp; Pension Workings'!H120-'TA Workings'!J120&lt;'Group Sizes'!$B$51,'Group Sizes'!$C$51,IF(I12+H12-'Pay &amp; Pension Workings'!H120-'TA Workings'!J120&lt;'Group Sizes'!$B$52,'Group Sizes'!$C$52,IF(I12+H12-'Pay &amp; Pension Workings'!H120-'TA Workings'!J120&lt;'Group Sizes'!$B$53,'Group Sizes'!$C$53,IF(I12+H12-'Pay &amp; Pension Workings'!H120-'TA Workings'!J120&lt;'Group Sizes'!$B$54,'Group Sizes'!$C$54,IF(I12+H12-'Pay &amp; Pension Workings'!H120-'TA Workings'!J120&lt;'Group Sizes'!$B$55,'Group Sizes'!$C$55,IF(I12+H12-'Pay &amp; Pension Workings'!H120-'TA Workings'!J120&lt;'Group Sizes'!$B$56,'Group Sizes'!$C$56)))))))))))</f>
        <v>School Size 4 Transition Point</v>
      </c>
      <c r="D12" s="94">
        <f>IF(H12+I12-'Pay &amp; Pension Workings'!H120-'TA Workings'!J120&lt;'Group Sizes'!$B$46,'Group Sizes'!$D$46,IF('2122 Funding Detail'!H12+I12-'Pay &amp; Pension Workings'!H120-'TA Workings'!J120&lt;'Group Sizes'!$B$47,'Group Sizes'!$D$47,IF('2122 Funding Detail'!H12+I12-'Pay &amp; Pension Workings'!H120-'TA Workings'!J120&lt;'Group Sizes'!$B$48,'Group Sizes'!$D$48,IF(H12+I12-'Pay &amp; Pension Workings'!H120-'TA Workings'!J120&lt;'Group Sizes'!$B$49,'Group Sizes'!$D$49,IF(H12+I12-'Pay &amp; Pension Workings'!H120-'TA Workings'!J120&lt;'Group Sizes'!$B$50,'Group Sizes'!$D$50,IF(H12+I12-'Pay &amp; Pension Workings'!H120-'TA Workings'!J120&lt;'Group Sizes'!$B$51,'Group Sizes'!$D$51,IF(H12+I12-'Pay &amp; Pension Workings'!H120-'TA Workings'!J120&lt;'Group Sizes'!$B$52,'Group Sizes'!$D$52,IF(H12+I12-'Pay &amp; Pension Workings'!H120-'TA Workings'!J120&lt;'Group Sizes'!$B$53,'Group Sizes'!$D$53,IF(H12+I12-'Pay &amp; Pension Workings'!H120-'TA Workings'!J120&lt;'Group Sizes'!$B$54,'Group Sizes'!$D$54,IF(H12+I12-'Pay &amp; Pension Workings'!H120-'TA Workings'!J120&lt;'Group Sizes'!$B$55,'Group Sizes'!$D$55,IF(H12+I12-'Pay &amp; Pension Workings'!H120-'TA Workings'!J120&lt;'Group Sizes'!$B$56,'Group Sizes'!$D$56)))))))))))</f>
        <v>390000</v>
      </c>
      <c r="E12" s="94">
        <f>IF(I12+H12-'Pay &amp; Pension Workings'!H120-'TA Workings'!J120&lt;'Group Sizes'!$B$46,'Group Sizes'!$E$46,IF('2122 Funding Detail'!I12+H12-'Pay &amp; Pension Workings'!H120-'TA Workings'!J120&lt;'Group Sizes'!$B$47,'Group Sizes'!$E$47,IF('2122 Funding Detail'!I12+H12-'Pay &amp; Pension Workings'!H120-'TA Workings'!J120&lt;'Group Sizes'!$B$48,'Group Sizes'!$E$48,IF(I12+H12-'Pay &amp; Pension Workings'!H120-'TA Workings'!J120&lt;'Group Sizes'!$B$49,'Group Sizes'!$E$49,IF(I12+H12-'Pay &amp; Pension Workings'!H120-'TA Workings'!J120&lt;'Group Sizes'!$B$50,'Group Sizes'!$E$50,IF(I12+H12-'Pay &amp; Pension Workings'!H120-'TA Workings'!J120&lt;'Group Sizes'!$B$51,'Group Sizes'!$E$51,IF(I12+H12-'Pay &amp; Pension Workings'!H120-'TA Workings'!J120&lt;'Group Sizes'!$B$52,'Group Sizes'!$E$52,IF(I12+H12-'Pay &amp; Pension Workings'!H120-'TA Workings'!J120&lt;'Group Sizes'!$B$53,'Group Sizes'!$E$53,IF(I12+H12-'Pay &amp; Pension Workings'!H120-'TA Workings'!J120&lt;'Group Sizes'!$B$54,'Group Sizes'!$E$54,IF(I12+H12-'Pay &amp; Pension Workings'!H120-'TA Workings'!J120&lt;'Group Sizes'!$B$55,'Group Sizes'!$E$55,IF(I12+H12-'Pay &amp; Pension Workings'!H120-'TA Workings'!J120&lt;'Group Sizes'!$B$56,'Group Sizes'!$E$56)))))))))))</f>
        <v>115000</v>
      </c>
      <c r="F12" s="1061"/>
      <c r="G12" s="1061"/>
      <c r="H12" s="333">
        <f>VLOOKUP(A12,'2122 Band Calculations'!$A$112:$T$129,10,FALSE)</f>
        <v>1087703.2634701165</v>
      </c>
      <c r="I12" s="333">
        <f>VLOOKUP(A12,'2122 Band Calculations'!$A$112:$T$129,17,FALSE)</f>
        <v>45895.134680134681</v>
      </c>
      <c r="J12" s="94">
        <f>VLOOKUP(A12,'2122 FSM Calculation'!$A$4:$D$21,4,FALSE)</f>
        <v>12118.95</v>
      </c>
      <c r="K12" s="1061">
        <f>SUM(D12:J12)</f>
        <v>1650717.3481502512</v>
      </c>
      <c r="L12" s="333">
        <f>K12-F12-G12</f>
        <v>1650717.3481502512</v>
      </c>
      <c r="M12" s="751">
        <f>VLOOKUP(A12,'2122 Band Calculations'!$A$112:$T$129,19,FALSE)</f>
        <v>123.16666666666666</v>
      </c>
      <c r="N12" s="42">
        <f>VLOOKUP(A12,'2122 Band Calculations'!$A$110:$AL$129,38,(FALSE))</f>
        <v>28460.443314697197</v>
      </c>
      <c r="O12" s="165">
        <f>M12-(M12*(VLOOKUP(A12,'2122 Band Calculations'!$A$6:$J$23,10,(FALSE))))</f>
        <v>121.92255892255891</v>
      </c>
      <c r="P12" s="42">
        <f>(H12+I12-N12)/O12</f>
        <v>9064.261483697208</v>
      </c>
      <c r="Q12" s="813">
        <f>'2122 MFG Protection'!L73</f>
        <v>59535.284511571168</v>
      </c>
      <c r="R12" s="813">
        <f>L12+Q12</f>
        <v>1710252.6326618223</v>
      </c>
      <c r="S12" s="42">
        <f>M12*10000</f>
        <v>1231666.6666666665</v>
      </c>
      <c r="T12" s="42">
        <f>IF(S12&gt;R12,(S12-R12),(0))</f>
        <v>0</v>
      </c>
      <c r="U12" s="1512">
        <f>R12/M12</f>
        <v>13885.677667078395</v>
      </c>
      <c r="V12" s="1059">
        <f>M12*10000</f>
        <v>1231666.6666666665</v>
      </c>
      <c r="W12" s="1059">
        <f>U12-10000</f>
        <v>3885.6776670783947</v>
      </c>
      <c r="X12" s="94">
        <f>R12-V12</f>
        <v>478585.96599515574</v>
      </c>
      <c r="Y12" s="94">
        <f>V12+X12</f>
        <v>1710252.6326618223</v>
      </c>
      <c r="Z12" s="1513">
        <f>R12-Y12</f>
        <v>0</v>
      </c>
      <c r="AB12" s="869"/>
      <c r="AC12" s="869"/>
      <c r="AD12" s="869"/>
      <c r="AE12" s="873"/>
    </row>
    <row r="13" spans="1:32" x14ac:dyDescent="0.25">
      <c r="A13" s="185">
        <v>9257002</v>
      </c>
      <c r="B13" s="915" t="s">
        <v>775</v>
      </c>
      <c r="C13" s="861" t="str">
        <f>IF(I13+H13-'Pay &amp; Pension Workings'!H121-'TA Workings'!J121&lt;'Group Sizes'!$B$46,'Group Sizes'!$C$46,IF('2122 Funding Detail'!I13+H13-'Pay &amp; Pension Workings'!H121-'TA Workings'!J121&lt;'Group Sizes'!$B$47,'Group Sizes'!$C$47,IF('2122 Funding Detail'!I13+H13-'Pay &amp; Pension Workings'!H121-'TA Workings'!J121&lt;'Group Sizes'!$B$48,'Group Sizes'!$C$48,IF(I13+H13-'Pay &amp; Pension Workings'!H121-'TA Workings'!J121&lt;'Group Sizes'!$B$49,'Group Sizes'!$C$49,IF(I13+H13-'Pay &amp; Pension Workings'!H121-'TA Workings'!J121&lt;'Group Sizes'!$B$50,'Group Sizes'!$C$50,IF(I13+H13-'Pay &amp; Pension Workings'!H121-'TA Workings'!J121&lt;'Group Sizes'!$B$51,'Group Sizes'!$C$51,IF(I13+H13-'Pay &amp; Pension Workings'!H121-'TA Workings'!J121&lt;'Group Sizes'!$B$52,'Group Sizes'!$C$52,IF(I13+H13-'Pay &amp; Pension Workings'!H121-'TA Workings'!J121&lt;'Group Sizes'!$B$53,'Group Sizes'!$C$53,IF(I13+H13-'Pay &amp; Pension Workings'!H121-'TA Workings'!J121&lt;'Group Sizes'!$B$54,'Group Sizes'!$C$54,IF(I13+H13-'Pay &amp; Pension Workings'!H121-'TA Workings'!J121&lt;'Group Sizes'!$B$55,'Group Sizes'!$C$55,IF(I13+H13-'Pay &amp; Pension Workings'!H121-'TA Workings'!J121&lt;'Group Sizes'!$B$56,'Group Sizes'!$C$56)))))))))))</f>
        <v>School Size 5</v>
      </c>
      <c r="D13" s="94">
        <f>IF(H13+I13-'Pay &amp; Pension Workings'!H121-'TA Workings'!J121&lt;'Group Sizes'!$B$46,'Group Sizes'!$D$46,IF('2122 Funding Detail'!H13+I13-'Pay &amp; Pension Workings'!H121-'TA Workings'!J121&lt;'Group Sizes'!$B$47,'Group Sizes'!$D$47,IF('2122 Funding Detail'!H13+I13-'Pay &amp; Pension Workings'!H121-'TA Workings'!J121&lt;'Group Sizes'!$B$48,'Group Sizes'!$D$48,IF(H13+I13-'Pay &amp; Pension Workings'!H121-'TA Workings'!J121&lt;'Group Sizes'!$B$49,'Group Sizes'!$D$49,IF(H13+I13-'Pay &amp; Pension Workings'!H121-'TA Workings'!J121&lt;'Group Sizes'!$B$50,'Group Sizes'!$D$50,IF(H13+I13-'Pay &amp; Pension Workings'!H121-'TA Workings'!J121&lt;'Group Sizes'!$B$51,'Group Sizes'!$D$51,IF(H13+I13-'Pay &amp; Pension Workings'!H121-'TA Workings'!J121&lt;'Group Sizes'!$B$52,'Group Sizes'!$D$52,IF(H13+I13-'Pay &amp; Pension Workings'!H121-'TA Workings'!J121&lt;'Group Sizes'!$B$53,'Group Sizes'!$D$53,IF(H13+I13-'Pay &amp; Pension Workings'!H121-'TA Workings'!J121&lt;'Group Sizes'!$B$54,'Group Sizes'!$D$54,IF(H13+I13-'Pay &amp; Pension Workings'!H121-'TA Workings'!J121&lt;'Group Sizes'!$B$55,'Group Sizes'!$D$55,IF(H13+I13-'Pay &amp; Pension Workings'!H121-'TA Workings'!J121&lt;'Group Sizes'!$B$56,'Group Sizes'!$D$56)))))))))))</f>
        <v>420000</v>
      </c>
      <c r="E13" s="94">
        <f>IF(I13+H13-'Pay &amp; Pension Workings'!H121-'TA Workings'!J121&lt;'Group Sizes'!$B$46,'Group Sizes'!$E$46,IF('2122 Funding Detail'!I13+H13-'Pay &amp; Pension Workings'!H121-'TA Workings'!J121&lt;'Group Sizes'!$B$47,'Group Sizes'!$E$47,IF('2122 Funding Detail'!I13+H13-'Pay &amp; Pension Workings'!H121-'TA Workings'!J121&lt;'Group Sizes'!$B$48,'Group Sizes'!$E$48,IF(I13+H13-'Pay &amp; Pension Workings'!H121-'TA Workings'!J121&lt;'Group Sizes'!$B$49,'Group Sizes'!$E$49,IF(I13+H13-'Pay &amp; Pension Workings'!H121-'TA Workings'!J121&lt;'Group Sizes'!$B$50,'Group Sizes'!$E$50,IF(I13+H13-'Pay &amp; Pension Workings'!H121-'TA Workings'!J121&lt;'Group Sizes'!$B$51,'Group Sizes'!$E$51,IF(I13+H13-'Pay &amp; Pension Workings'!H121-'TA Workings'!J121&lt;'Group Sizes'!$B$52,'Group Sizes'!$E$52,IF(I13+H13-'Pay &amp; Pension Workings'!H121-'TA Workings'!J121&lt;'Group Sizes'!$B$53,'Group Sizes'!$E$53,IF(I13+H13-'Pay &amp; Pension Workings'!H121-'TA Workings'!J121&lt;'Group Sizes'!$B$54,'Group Sizes'!$E$54,IF(I13+H13-'Pay &amp; Pension Workings'!H121-'TA Workings'!J121&lt;'Group Sizes'!$B$55,'Group Sizes'!$E$55,IF(I13+H13-'Pay &amp; Pension Workings'!H121-'TA Workings'!J121&lt;'Group Sizes'!$B$56,'Group Sizes'!$E$56)))))))))))</f>
        <v>120000</v>
      </c>
      <c r="F13" s="1061"/>
      <c r="G13" s="1061"/>
      <c r="H13" s="333">
        <f>VLOOKUP(A13,'2122 Band Calculations'!$A$112:$T$129,10,FALSE)</f>
        <v>1324642.7827644676</v>
      </c>
      <c r="I13" s="333">
        <f>VLOOKUP(A13,'2122 Band Calculations'!$A$112:$T$129,17,FALSE)</f>
        <v>50653.670212765952</v>
      </c>
      <c r="J13" s="94">
        <f>VLOOKUP(A13,'2122 FSM Calculation'!$A$4:$D$21,4,FALSE)</f>
        <v>18851.7</v>
      </c>
      <c r="K13" s="1061">
        <f t="shared" si="0"/>
        <v>1934148.1529772335</v>
      </c>
      <c r="L13" s="333">
        <f t="shared" si="2"/>
        <v>1934148.1529772335</v>
      </c>
      <c r="M13" s="751">
        <f>VLOOKUP(A13,'2122 Band Calculations'!$A$112:$T$129,19,FALSE)</f>
        <v>150.58333333333334</v>
      </c>
      <c r="N13" s="42">
        <f>VLOOKUP(A13,'2122 Band Calculations'!$A$110:$AL$129,38,(FALSE))</f>
        <v>24431.012226106413</v>
      </c>
      <c r="O13" s="165">
        <f>M13-(M13*(VLOOKUP(A13,'2122 Band Calculations'!$A$6:$J$23,10,(FALSE))))</f>
        <v>149.51536643026006</v>
      </c>
      <c r="P13" s="42">
        <f t="shared" si="3"/>
        <v>9034.9605729737814</v>
      </c>
      <c r="Q13" s="813">
        <f>'2122 MFG Protection'!L81</f>
        <v>0</v>
      </c>
      <c r="R13" s="813">
        <f t="shared" si="4"/>
        <v>1934148.1529772335</v>
      </c>
      <c r="S13" s="42">
        <f t="shared" si="5"/>
        <v>1505833.3333333335</v>
      </c>
      <c r="T13" s="42">
        <f t="shared" si="6"/>
        <v>0</v>
      </c>
      <c r="U13" s="1512">
        <f t="shared" si="7"/>
        <v>12844.370689389485</v>
      </c>
      <c r="V13" s="1059">
        <f t="shared" si="1"/>
        <v>1505833.3333333335</v>
      </c>
      <c r="W13" s="1059">
        <f t="shared" si="8"/>
        <v>2844.3706893894851</v>
      </c>
      <c r="X13" s="94">
        <f t="shared" si="9"/>
        <v>428314.81964390003</v>
      </c>
      <c r="Y13" s="94">
        <f t="shared" si="10"/>
        <v>1934148.1529772335</v>
      </c>
      <c r="Z13" s="1513">
        <f t="shared" si="11"/>
        <v>0</v>
      </c>
      <c r="AB13" s="869"/>
      <c r="AC13" s="869"/>
      <c r="AD13" s="869"/>
      <c r="AE13" s="873"/>
    </row>
    <row r="14" spans="1:32" x14ac:dyDescent="0.25">
      <c r="A14" s="185">
        <v>9257009</v>
      </c>
      <c r="B14" s="915" t="s">
        <v>411</v>
      </c>
      <c r="C14" s="1605" t="str">
        <f>IF(I14+H14-'Pay &amp; Pension Workings'!H122-'TA Workings'!J122&lt;'Group Sizes'!$B$46,'Group Sizes'!$C$46,IF('2122 Funding Detail'!I14+H14-'Pay &amp; Pension Workings'!H122-'TA Workings'!J122&lt;'Group Sizes'!$B$47,'Group Sizes'!$C$47,IF('2122 Funding Detail'!I14+H14-'Pay &amp; Pension Workings'!H122-'TA Workings'!J122&lt;'Group Sizes'!$B$48,'Group Sizes'!$C$48,IF(I14+H14-'Pay &amp; Pension Workings'!H122-'TA Workings'!J122&lt;'Group Sizes'!$B$49,'Group Sizes'!$C$49,IF(I14+H14-'Pay &amp; Pension Workings'!H122-'TA Workings'!J122&lt;'Group Sizes'!$B$50,'Group Sizes'!$C$50,IF(I14+H14-'Pay &amp; Pension Workings'!H122-'TA Workings'!J122&lt;'Group Sizes'!$B$51,'Group Sizes'!$C$51,IF(I14+H14-'Pay &amp; Pension Workings'!H122-'TA Workings'!J122&lt;'Group Sizes'!$B$52,'Group Sizes'!$C$52,IF(I14+H14-'Pay &amp; Pension Workings'!H122-'TA Workings'!J122&lt;'Group Sizes'!$B$53,'Group Sizes'!$C$53,IF(I14+H14-'Pay &amp; Pension Workings'!H122-'TA Workings'!J122&lt;'Group Sizes'!$B$54,'Group Sizes'!$C$54,IF(I14+H14-'Pay &amp; Pension Workings'!H122-'TA Workings'!J122&lt;'Group Sizes'!$B$55,'Group Sizes'!$C$55,IF(I14+H14-'Pay &amp; Pension Workings'!H122-'TA Workings'!J122&lt;'Group Sizes'!$B$56,'Group Sizes'!$C$56)))))))))))</f>
        <v>School Size 4 Transition Point</v>
      </c>
      <c r="D14" s="94">
        <f>IF(H14+I14-'Pay &amp; Pension Workings'!H122-'TA Workings'!J122&lt;'Group Sizes'!$B$46,'Group Sizes'!$D$46,IF('2122 Funding Detail'!H14+I14-'Pay &amp; Pension Workings'!H122-'TA Workings'!J122&lt;'Group Sizes'!$B$47,'Group Sizes'!$D$47,IF('2122 Funding Detail'!H14+I14-'Pay &amp; Pension Workings'!H122-'TA Workings'!J122&lt;'Group Sizes'!$B$48,'Group Sizes'!$D$48,IF(H14+I14-'Pay &amp; Pension Workings'!H122-'TA Workings'!J122&lt;'Group Sizes'!$B$49,'Group Sizes'!$D$49,IF(H14+I14-'Pay &amp; Pension Workings'!H122-'TA Workings'!J122&lt;'Group Sizes'!$B$50,'Group Sizes'!$D$50,IF(H14+I14-'Pay &amp; Pension Workings'!H122-'TA Workings'!J122&lt;'Group Sizes'!$B$51,'Group Sizes'!$D$51,IF(H14+I14-'Pay &amp; Pension Workings'!H122-'TA Workings'!J122&lt;'Group Sizes'!$B$52,'Group Sizes'!$D$52,IF(H14+I14-'Pay &amp; Pension Workings'!H122-'TA Workings'!J122&lt;'Group Sizes'!$B$53,'Group Sizes'!$D$53,IF(H14+I14-'Pay &amp; Pension Workings'!H122-'TA Workings'!J122&lt;'Group Sizes'!$B$54,'Group Sizes'!$D$54,IF(H14+I14-'Pay &amp; Pension Workings'!H122-'TA Workings'!J122&lt;'Group Sizes'!$B$55,'Group Sizes'!$D$55,IF(H14+I14-'Pay &amp; Pension Workings'!H122-'TA Workings'!J122&lt;'Group Sizes'!$B$56,'Group Sizes'!$D$56)))))))))))</f>
        <v>390000</v>
      </c>
      <c r="E14" s="94">
        <f>IF(I14+H14-'Pay &amp; Pension Workings'!H122-'TA Workings'!J122&lt;'Group Sizes'!$B$46,'Group Sizes'!$E$46,IF('2122 Funding Detail'!I14+H14-'Pay &amp; Pension Workings'!H122-'TA Workings'!J122&lt;'Group Sizes'!$B$47,'Group Sizes'!$E$47,IF('2122 Funding Detail'!I14+H14-'Pay &amp; Pension Workings'!H122-'TA Workings'!J122&lt;'Group Sizes'!$B$48,'Group Sizes'!$E$48,IF(I14+H14-'Pay &amp; Pension Workings'!H122-'TA Workings'!J122&lt;'Group Sizes'!$B$49,'Group Sizes'!$E$49,IF(I14+H14-'Pay &amp; Pension Workings'!H122-'TA Workings'!J122&lt;'Group Sizes'!$B$50,'Group Sizes'!$E$50,IF(I14+H14-'Pay &amp; Pension Workings'!H122-'TA Workings'!J122&lt;'Group Sizes'!$B$51,'Group Sizes'!$E$51,IF(I14+H14-'Pay &amp; Pension Workings'!H122-'TA Workings'!J122&lt;'Group Sizes'!$B$52,'Group Sizes'!$E$52,IF(I14+H14-'Pay &amp; Pension Workings'!H122-'TA Workings'!J122&lt;'Group Sizes'!$B$53,'Group Sizes'!$E$53,IF(I14+H14-'Pay &amp; Pension Workings'!H122-'TA Workings'!J122&lt;'Group Sizes'!$B$54,'Group Sizes'!$E$54,IF(I14+H14-'Pay &amp; Pension Workings'!H122-'TA Workings'!J122&lt;'Group Sizes'!$B$55,'Group Sizes'!$E$55,IF(I14+H14-'Pay &amp; Pension Workings'!H122-'TA Workings'!J122&lt;'Group Sizes'!$B$56,'Group Sizes'!$E$56)))))))))))</f>
        <v>115000</v>
      </c>
      <c r="F14" s="1061"/>
      <c r="G14" s="1061"/>
      <c r="H14" s="333">
        <f>VLOOKUP(A14,'2122 Band Calculations'!$A$112:$T$129,10,FALSE)</f>
        <v>1141652.1160800529</v>
      </c>
      <c r="I14" s="333">
        <f>VLOOKUP(A14,'2122 Band Calculations'!$A$112:$T$129,17,FALSE)</f>
        <v>25801.919999999998</v>
      </c>
      <c r="J14" s="94">
        <f>VLOOKUP(A14,'2122 FSM Calculation'!$A$4:$D$21,4,FALSE)</f>
        <v>22442.5</v>
      </c>
      <c r="K14" s="1061">
        <f t="shared" si="0"/>
        <v>1694896.5360800528</v>
      </c>
      <c r="L14" s="333">
        <f t="shared" si="2"/>
        <v>1694896.5360800528</v>
      </c>
      <c r="M14" s="751">
        <f>VLOOKUP(A14,'2122 Band Calculations'!$A$112:$T$129,19,FALSE)</f>
        <v>136</v>
      </c>
      <c r="N14" s="42">
        <f>VLOOKUP(A14,'2122 Band Calculations'!$A$110:$AL$129,38,(FALSE))</f>
        <v>0</v>
      </c>
      <c r="O14" s="165">
        <f>M14-(M14*(VLOOKUP(A14,'2122 Band Calculations'!$A$6:$J$23,10,(FALSE))))</f>
        <v>136</v>
      </c>
      <c r="P14" s="42">
        <f t="shared" si="3"/>
        <v>8584.2208535297996</v>
      </c>
      <c r="Q14" s="813">
        <f>'2122 MFG Protection'!L89</f>
        <v>59707.736690524929</v>
      </c>
      <c r="R14" s="813">
        <f t="shared" si="4"/>
        <v>1754604.2727705778</v>
      </c>
      <c r="S14" s="42">
        <f t="shared" si="5"/>
        <v>1360000</v>
      </c>
      <c r="T14" s="42">
        <f t="shared" si="6"/>
        <v>0</v>
      </c>
      <c r="U14" s="1512">
        <f t="shared" si="7"/>
        <v>12901.502005666014</v>
      </c>
      <c r="V14" s="1059">
        <f t="shared" si="1"/>
        <v>1360000</v>
      </c>
      <c r="W14" s="1059">
        <f t="shared" si="8"/>
        <v>2901.5020056660142</v>
      </c>
      <c r="X14" s="94">
        <f t="shared" si="9"/>
        <v>394604.27277057781</v>
      </c>
      <c r="Y14" s="94">
        <f t="shared" si="10"/>
        <v>1754604.2727705778</v>
      </c>
      <c r="Z14" s="1513">
        <f t="shared" si="11"/>
        <v>0</v>
      </c>
      <c r="AB14" s="869"/>
      <c r="AC14" s="869"/>
      <c r="AD14" s="869"/>
      <c r="AE14" s="873"/>
    </row>
    <row r="15" spans="1:32" ht="13" x14ac:dyDescent="0.3">
      <c r="A15" s="185">
        <v>9257029</v>
      </c>
      <c r="B15" s="918" t="s">
        <v>848</v>
      </c>
      <c r="C15" s="861" t="str">
        <f>IF(I15+H15-'Pay &amp; Pension Workings'!H123-'TA Workings'!J123&lt;'Group Sizes'!$B$46,'Group Sizes'!$C$46,IF('2122 Funding Detail'!I15+H15-'Pay &amp; Pension Workings'!H123-'TA Workings'!J123&lt;'Group Sizes'!$B$47,'Group Sizes'!$C$47,IF('2122 Funding Detail'!I15+H15-'Pay &amp; Pension Workings'!H123-'TA Workings'!J123&lt;'Group Sizes'!$B$48,'Group Sizes'!$C$48,IF(I15+H15-'Pay &amp; Pension Workings'!H123-'TA Workings'!J123&lt;'Group Sizes'!$B$49,'Group Sizes'!$C$49,IF(I15+H15-'Pay &amp; Pension Workings'!H123-'TA Workings'!J123&lt;'Group Sizes'!$B$50,'Group Sizes'!$C$50,IF(I15+H15-'Pay &amp; Pension Workings'!H123-'TA Workings'!J123&lt;'Group Sizes'!$B$51,'Group Sizes'!$C$51,IF(I15+H15-'Pay &amp; Pension Workings'!H123-'TA Workings'!J123&lt;'Group Sizes'!$B$52,'Group Sizes'!$C$52,IF(I15+H15-'Pay &amp; Pension Workings'!H123-'TA Workings'!J123&lt;'Group Sizes'!$B$53,'Group Sizes'!$C$53,IF(I15+H15-'Pay &amp; Pension Workings'!H123-'TA Workings'!J123&lt;'Group Sizes'!$B$54,'Group Sizes'!$C$54,IF(I15+H15-'Pay &amp; Pension Workings'!H123-'TA Workings'!J123&lt;'Group Sizes'!$B$55,'Group Sizes'!$C$55,IF(I15+H15-'Pay &amp; Pension Workings'!H123-'TA Workings'!J123&lt;'Group Sizes'!$B$56,'Group Sizes'!$C$56)))))))))))</f>
        <v>School Size 4 Transition Point</v>
      </c>
      <c r="D15" s="94">
        <f>IF(H15+I15-'Pay &amp; Pension Workings'!H123-'TA Workings'!J123&lt;'Group Sizes'!$B$61,'Group Sizes'!$D$61,IF('2122 Funding Detail'!H15+I15-'Pay &amp; Pension Workings'!H123-'TA Workings'!J123&lt;'Group Sizes'!$B$62,'Group Sizes'!$D$62,IF('2122 Funding Detail'!H15+I15-'Pay &amp; Pension Workings'!H123-'TA Workings'!J123&lt;'Group Sizes'!$B$63,'Group Sizes'!$D$63,IF(H15+I15-'Pay &amp; Pension Workings'!H123-'TA Workings'!J123&lt;'Group Sizes'!$B$64,'Group Sizes'!$D$64,IF(H15+I15-'Pay &amp; Pension Workings'!H123-'TA Workings'!J123&lt;'Group Sizes'!$B$65,'Group Sizes'!$D$65)))))</f>
        <v>350000</v>
      </c>
      <c r="E15" s="94">
        <f>IF(H15+I15-'Pay &amp; Pension Workings'!H123-'TA Workings'!J123&lt;'Group Sizes'!$B$61,'Group Sizes'!$E$61,IF('2122 Funding Detail'!H15+I15-'Pay &amp; Pension Workings'!H123-'TA Workings'!J123&lt;'Group Sizes'!$B$62,'Group Sizes'!$E$62,IF('2122 Funding Detail'!H15+I15-'Pay &amp; Pension Workings'!H123-'TA Workings'!J123&lt;'Group Sizes'!$B$63,'Group Sizes'!$E$63,IF(H15+I15-'Pay &amp; Pension Workings'!H123-'TA Workings'!J123&lt;'Group Sizes'!$B$64,'Group Sizes'!$E$64,IF(H15+I15-'Pay &amp; Pension Workings'!H123-'TA Workings'!J123&lt;'Group Sizes'!$B$65,'Group Sizes'!$E$65)))))</f>
        <v>85000</v>
      </c>
      <c r="F15" s="94">
        <v>265481</v>
      </c>
      <c r="G15" s="1061"/>
      <c r="H15" s="333">
        <f>VLOOKUP(A15,'2122 Band Calculations'!$A$112:$T$129,10,FALSE)</f>
        <v>900417.39575836004</v>
      </c>
      <c r="I15" s="333">
        <f>VLOOKUP(A15,'2122 Band Calculations'!$A$112:$T$129,17,FALSE)</f>
        <v>196746.66666666669</v>
      </c>
      <c r="J15" s="94">
        <f>VLOOKUP(A15,'2122 FSM Calculation'!$A$4:$D$21,4,FALSE)</f>
        <v>10323.550000000001</v>
      </c>
      <c r="K15" s="1061">
        <f>SUM(D15:J15)</f>
        <v>1807968.6124250269</v>
      </c>
      <c r="L15" s="333">
        <f>K15-F15-G15</f>
        <v>1542487.6124250269</v>
      </c>
      <c r="M15" s="751">
        <f>VLOOKUP(A15,'2122 Band Calculations'!$A$112:$T$129,19,FALSE)</f>
        <v>74.666666666666671</v>
      </c>
      <c r="N15" s="42">
        <f>VLOOKUP(A15,'2122 Band Calculations'!$A$110:$AL$129,38,(FALSE))</f>
        <v>0</v>
      </c>
      <c r="O15" s="165">
        <f>M15-(M15*(VLOOKUP(A15,'2122 Band Calculations'!$A$6:$J$23,10,(FALSE))))</f>
        <v>74.666666666666671</v>
      </c>
      <c r="P15" s="42">
        <f>(H15+I15-N15)/O15</f>
        <v>14694.161550335177</v>
      </c>
      <c r="Q15" s="813">
        <f>'2122 MFG Protection'!L97</f>
        <v>4968.7663456613536</v>
      </c>
      <c r="R15" s="813">
        <f>L15+Q15</f>
        <v>1547456.3787706883</v>
      </c>
      <c r="S15" s="42">
        <f>M15*10000</f>
        <v>746666.66666666674</v>
      </c>
      <c r="T15" s="42">
        <f>IF(S15&gt;R15,(S15-R15),(0))</f>
        <v>0</v>
      </c>
      <c r="U15" s="1512">
        <f>R15/M15</f>
        <v>20724.862215678859</v>
      </c>
      <c r="V15" s="1059">
        <f>M15*10000</f>
        <v>746666.66666666674</v>
      </c>
      <c r="W15" s="1059">
        <f>U15-10000</f>
        <v>10724.862215678859</v>
      </c>
      <c r="X15" s="94">
        <f>R15-V15</f>
        <v>800789.71210402157</v>
      </c>
      <c r="Y15" s="94">
        <f>V15+X15</f>
        <v>1547456.3787706883</v>
      </c>
      <c r="Z15" s="1513">
        <f>R15-Y15</f>
        <v>0</v>
      </c>
      <c r="AB15" s="869"/>
      <c r="AC15" s="869"/>
      <c r="AD15" s="869"/>
      <c r="AE15" s="873"/>
    </row>
    <row r="16" spans="1:32" ht="13" x14ac:dyDescent="0.3">
      <c r="A16" s="185">
        <v>9257032</v>
      </c>
      <c r="B16" s="918" t="s">
        <v>770</v>
      </c>
      <c r="C16" s="861" t="s">
        <v>756</v>
      </c>
      <c r="D16" s="158">
        <v>350000</v>
      </c>
      <c r="E16" s="158">
        <v>85000</v>
      </c>
      <c r="F16" s="94">
        <v>235661</v>
      </c>
      <c r="G16" s="94">
        <v>168000</v>
      </c>
      <c r="H16" s="333">
        <f>VLOOKUP(A16,'2122 Band Calculations'!$A$112:$T$129,10,FALSE)</f>
        <v>1143610.4870234528</v>
      </c>
      <c r="I16" s="333">
        <f>VLOOKUP(A16,'2122 Band Calculations'!$A$112:$T$129,17,FALSE)</f>
        <v>249885.83333333337</v>
      </c>
      <c r="J16" s="94">
        <f>VLOOKUP(A16,'2122 FSM Calculation'!$A$4:$D$21,4,FALSE)</f>
        <v>19300.55</v>
      </c>
      <c r="K16" s="1061">
        <f>SUM(D16:J16)</f>
        <v>2251457.8703567861</v>
      </c>
      <c r="L16" s="333">
        <f>K16-F16-G16</f>
        <v>1847796.8703567861</v>
      </c>
      <c r="M16" s="751">
        <f>VLOOKUP(A16,'2122 Band Calculations'!$A$112:$T$129,19,FALSE)</f>
        <v>94.833333333333343</v>
      </c>
      <c r="N16" s="42">
        <f>VLOOKUP(A16,'2122 Band Calculations'!$A$110:$AL$129,38,(FALSE))</f>
        <v>0</v>
      </c>
      <c r="O16" s="165">
        <f>M16-(M16*(VLOOKUP(A16,'2122 Band Calculations'!$A$6:$J$23,10,(FALSE))))</f>
        <v>94.833333333333343</v>
      </c>
      <c r="P16" s="42">
        <f>(H16+I16-N16)/O16</f>
        <v>14694.161550335179</v>
      </c>
      <c r="Q16" s="813">
        <f>'2122 MFG Protection'!L105</f>
        <v>26861.708477914828</v>
      </c>
      <c r="R16" s="813">
        <f>L16+Q16</f>
        <v>1874658.5788347009</v>
      </c>
      <c r="S16" s="42">
        <f>M16*10000</f>
        <v>948333.33333333337</v>
      </c>
      <c r="T16" s="42">
        <f>IF(S16&gt;R16,(S16-R16),(0))</f>
        <v>0</v>
      </c>
      <c r="U16" s="1512">
        <f>R16/M16</f>
        <v>19767.928775058353</v>
      </c>
      <c r="V16" s="1059">
        <f>M16*10000</f>
        <v>948333.33333333337</v>
      </c>
      <c r="W16" s="1059">
        <f>U16-10000</f>
        <v>9767.9287750583535</v>
      </c>
      <c r="X16" s="94">
        <f>R16-V16</f>
        <v>926325.24550136749</v>
      </c>
      <c r="Y16" s="94">
        <f>V16+X16</f>
        <v>1874658.5788347009</v>
      </c>
      <c r="Z16" s="1513">
        <f>R16-Y16</f>
        <v>0</v>
      </c>
      <c r="AB16" s="869"/>
      <c r="AC16" s="869"/>
      <c r="AD16" s="869"/>
      <c r="AE16" s="873"/>
    </row>
    <row r="17" spans="1:32" ht="13" x14ac:dyDescent="0.3">
      <c r="A17" s="185">
        <v>9257030</v>
      </c>
      <c r="B17" s="918" t="s">
        <v>771</v>
      </c>
      <c r="C17" s="861" t="str">
        <f>IF(I17+H17-'Pay &amp; Pension Workings'!H125-'TA Workings'!J125&lt;'Group Sizes'!$B$46,'Group Sizes'!$C$46,IF('2122 Funding Detail'!I17+H17-'Pay &amp; Pension Workings'!H125-'TA Workings'!J125&lt;'Group Sizes'!$B$47,'Group Sizes'!$C$47,IF('2122 Funding Detail'!I17+H17-'Pay &amp; Pension Workings'!H125-'TA Workings'!J125&lt;'Group Sizes'!$B$48,'Group Sizes'!$C$48,IF(I17+H17-'Pay &amp; Pension Workings'!H125-'TA Workings'!J125&lt;'Group Sizes'!$B$49,'Group Sizes'!$C$49,IF(I17+H17-'Pay &amp; Pension Workings'!H125-'TA Workings'!J125&lt;'Group Sizes'!$B$50,'Group Sizes'!$C$50,IF(I17+H17-'Pay &amp; Pension Workings'!H125-'TA Workings'!J125&lt;'Group Sizes'!$B$51,'Group Sizes'!$C$51,IF(I17+H17-'Pay &amp; Pension Workings'!H125-'TA Workings'!J125&lt;'Group Sizes'!$B$52,'Group Sizes'!$C$52,IF(I17+H17-'Pay &amp; Pension Workings'!H125-'TA Workings'!J125&lt;'Group Sizes'!$B$53,'Group Sizes'!$C$53,IF(I17+H17-'Pay &amp; Pension Workings'!H125-'TA Workings'!J125&lt;'Group Sizes'!$B$54,'Group Sizes'!$C$54,IF(I17+H17-'Pay &amp; Pension Workings'!H125-'TA Workings'!J125&lt;'Group Sizes'!$B$55,'Group Sizes'!$C$55,IF(I17+H17-'Pay &amp; Pension Workings'!H125-'TA Workings'!J125&lt;'Group Sizes'!$B$56,'Group Sizes'!$C$56)))))))))))</f>
        <v>School Size 4 Transition Point</v>
      </c>
      <c r="D17" s="94">
        <f>IF(H17+I17-'Pay &amp; Pension Workings'!H125-'TA Workings'!J125&lt;'Group Sizes'!$B$61,'Group Sizes'!$D$61,IF('2122 Funding Detail'!H17+I17-'Pay &amp; Pension Workings'!H125-'TA Workings'!J125&lt;'Group Sizes'!$B$62,'Group Sizes'!$D$62,IF('2122 Funding Detail'!H17+I17-'Pay &amp; Pension Workings'!H125-'TA Workings'!J125&lt;'Group Sizes'!$B$63,'Group Sizes'!$D$63,IF(H17+I17-'Pay &amp; Pension Workings'!H125-'TA Workings'!J125&lt;'Group Sizes'!$B$64,'Group Sizes'!$D$64,IF(H17+I17-'Pay &amp; Pension Workings'!H125-'TA Workings'!J125&lt;'Group Sizes'!$B$65,'Group Sizes'!$D$65)))))</f>
        <v>350000</v>
      </c>
      <c r="E17" s="94">
        <f>IF(H17+I17-'Pay &amp; Pension Workings'!H125-'TA Workings'!J125&lt;'Group Sizes'!$B$61,'Group Sizes'!$E$61,IF('2122 Funding Detail'!H17+I17-'Pay &amp; Pension Workings'!H125-'TA Workings'!J125&lt;'Group Sizes'!$B$62,'Group Sizes'!$E$62,IF('2122 Funding Detail'!H17+I17-'Pay &amp; Pension Workings'!H125-'TA Workings'!J125&lt;'Group Sizes'!$B$63,'Group Sizes'!$E$63,IF(H17+I17-'Pay &amp; Pension Workings'!H125-'TA Workings'!J125&lt;'Group Sizes'!$B$64,'Group Sizes'!$E$64,IF(H17+I17-'Pay &amp; Pension Workings'!H125-'TA Workings'!J125&lt;'Group Sizes'!$B$65,'Group Sizes'!$E$65)))))</f>
        <v>85000</v>
      </c>
      <c r="F17" s="94">
        <v>289365</v>
      </c>
      <c r="G17" s="1061"/>
      <c r="H17" s="333">
        <f>VLOOKUP(A17,'2122 Band Calculations'!$A$112:$T$129,10,FALSE)</f>
        <v>883333.58356205188</v>
      </c>
      <c r="I17" s="333">
        <f>VLOOKUP(A17,'2122 Band Calculations'!$A$112:$T$129,17,FALSE)</f>
        <v>193013.75</v>
      </c>
      <c r="J17" s="94">
        <f>VLOOKUP(A17,'2122 FSM Calculation'!$A$4:$D$21,4,FALSE)</f>
        <v>8977</v>
      </c>
      <c r="K17" s="1061">
        <f>SUM(D17:J17)</f>
        <v>1809689.3335620519</v>
      </c>
      <c r="L17" s="333">
        <f>K17-F17-G17</f>
        <v>1520324.3335620519</v>
      </c>
      <c r="M17" s="751">
        <f>VLOOKUP(A17,'2122 Band Calculations'!$A$112:$T$129,19,FALSE)</f>
        <v>73.25</v>
      </c>
      <c r="N17" s="42">
        <f>VLOOKUP(A17,'2122 Band Calculations'!$A$110:$AL$129,38,(FALSE))</f>
        <v>0</v>
      </c>
      <c r="O17" s="165">
        <f>M17-(M17*(VLOOKUP(A17,'2122 Band Calculations'!$A$6:$J$23,10,(FALSE))))</f>
        <v>73.25</v>
      </c>
      <c r="P17" s="42">
        <f>(H17+I17-N17)/O17</f>
        <v>14694.161550335179</v>
      </c>
      <c r="Q17" s="813">
        <f>'2122 MFG Protection'!L113</f>
        <v>33252.755302644044</v>
      </c>
      <c r="R17" s="813">
        <f>L17+Q17</f>
        <v>1553577.088864696</v>
      </c>
      <c r="S17" s="42">
        <f>M17*10000</f>
        <v>732500</v>
      </c>
      <c r="T17" s="42">
        <f>IF(S17&gt;R17,(S17-R17),(0))</f>
        <v>0</v>
      </c>
      <c r="U17" s="1512">
        <f>R17/M17</f>
        <v>21209.243533989025</v>
      </c>
      <c r="V17" s="1059">
        <f>M17*10000</f>
        <v>732500</v>
      </c>
      <c r="W17" s="1059">
        <f>U17-10000</f>
        <v>11209.243533989025</v>
      </c>
      <c r="X17" s="94">
        <f>R17-V17</f>
        <v>821077.08886469598</v>
      </c>
      <c r="Y17" s="94">
        <f>V17+X17</f>
        <v>1553577.088864696</v>
      </c>
      <c r="Z17" s="1513">
        <f>R17-Y17</f>
        <v>0</v>
      </c>
      <c r="AB17" s="869"/>
      <c r="AC17" s="869"/>
      <c r="AD17" s="869"/>
      <c r="AE17" s="873"/>
    </row>
    <row r="18" spans="1:32" x14ac:dyDescent="0.25">
      <c r="A18" s="185">
        <v>9257028</v>
      </c>
      <c r="B18" s="915" t="s">
        <v>77</v>
      </c>
      <c r="C18" s="861" t="str">
        <f>IF(I18+H18-'Pay &amp; Pension Workings'!H126-'TA Workings'!J126&lt;'Group Sizes'!$B$46,'Group Sizes'!$C$46,IF('2122 Funding Detail'!I18+H18-'Pay &amp; Pension Workings'!H126-'TA Workings'!J126&lt;'Group Sizes'!$B$47,'Group Sizes'!$C$47,IF('2122 Funding Detail'!I18+H18-'Pay &amp; Pension Workings'!H126-'TA Workings'!J126&lt;'Group Sizes'!$B$48,'Group Sizes'!$C$48,IF(I18+H18-'Pay &amp; Pension Workings'!H126-'TA Workings'!J126&lt;'Group Sizes'!$B$49,'Group Sizes'!$C$49,IF(I18+H18-'Pay &amp; Pension Workings'!H126-'TA Workings'!J126&lt;'Group Sizes'!$B$50,'Group Sizes'!$C$50,IF(I18+H18-'Pay &amp; Pension Workings'!H126-'TA Workings'!J126&lt;'Group Sizes'!$B$51,'Group Sizes'!$C$51,IF(I18+H18-'Pay &amp; Pension Workings'!H126-'TA Workings'!J126&lt;'Group Sizes'!$B$52,'Group Sizes'!$C$52,IF(I18+H18-'Pay &amp; Pension Workings'!H126-'TA Workings'!J126&lt;'Group Sizes'!$B$53,'Group Sizes'!$C$53,IF(I18+H18-'Pay &amp; Pension Workings'!H126-'TA Workings'!J126&lt;'Group Sizes'!$B$54,'Group Sizes'!$C$54,IF(I18+H18-'Pay &amp; Pension Workings'!H126-'TA Workings'!J126&lt;'Group Sizes'!$B$55,'Group Sizes'!$C$55,IF(I18+H18-'Pay &amp; Pension Workings'!H126-'TA Workings'!J126&lt;'Group Sizes'!$B$56,'Group Sizes'!$C$56)))))))))))</f>
        <v>School Size 5</v>
      </c>
      <c r="D18" s="94">
        <f>IF(H18+I18-'Pay &amp; Pension Workings'!H126-'TA Workings'!J126&lt;'Group Sizes'!$B$46,'Group Sizes'!$D$46,IF('2122 Funding Detail'!H18+I18-'Pay &amp; Pension Workings'!H126-'TA Workings'!J126&lt;'Group Sizes'!$B$47,'Group Sizes'!$D$47,IF('2122 Funding Detail'!H18+I18-'Pay &amp; Pension Workings'!H126-'TA Workings'!J126&lt;'Group Sizes'!$B$48,'Group Sizes'!$D$48,IF(H18+I18-'Pay &amp; Pension Workings'!H126-'TA Workings'!J126&lt;'Group Sizes'!$B$49,'Group Sizes'!$D$49,IF(H18+I18-'Pay &amp; Pension Workings'!H126-'TA Workings'!J126&lt;'Group Sizes'!$B$50,'Group Sizes'!$D$50,IF(H18+I18-'Pay &amp; Pension Workings'!H126-'TA Workings'!J126&lt;'Group Sizes'!$B$51,'Group Sizes'!$D$51,IF(H18+I18-'Pay &amp; Pension Workings'!H126-'TA Workings'!J126&lt;'Group Sizes'!$B$52,'Group Sizes'!$D$52,IF(H18+I18-'Pay &amp; Pension Workings'!H126-'TA Workings'!J126&lt;'Group Sizes'!$B$53,'Group Sizes'!$D$53,IF(H18+I18-'Pay &amp; Pension Workings'!H126-'TA Workings'!J126&lt;'Group Sizes'!$B$54,'Group Sizes'!$D$54,IF(H18+I18-'Pay &amp; Pension Workings'!H126-'TA Workings'!J126&lt;'Group Sizes'!$B$55,'Group Sizes'!$D$55,IF(H18+I18-'Pay &amp; Pension Workings'!H126-'TA Workings'!J126&lt;'Group Sizes'!$B$56,'Group Sizes'!$D$56)))))))))))</f>
        <v>420000</v>
      </c>
      <c r="E18" s="94">
        <f>IF(I18+H18-'Pay &amp; Pension Workings'!H126-'TA Workings'!J126&lt;'Group Sizes'!$B$46,'Group Sizes'!$E$46,IF('2122 Funding Detail'!I18+H18-'Pay &amp; Pension Workings'!H126-'TA Workings'!J126&lt;'Group Sizes'!$B$47,'Group Sizes'!$E$47,IF('2122 Funding Detail'!I18+H18-'Pay &amp; Pension Workings'!H126-'TA Workings'!J126&lt;'Group Sizes'!$B$48,'Group Sizes'!$E$48,IF(I18+H18-'Pay &amp; Pension Workings'!H126-'TA Workings'!J126&lt;'Group Sizes'!$B$49,'Group Sizes'!$E$49,IF(I18+H18-'Pay &amp; Pension Workings'!H126-'TA Workings'!J126&lt;'Group Sizes'!$B$50,'Group Sizes'!$E$50,IF(I18+H18-'Pay &amp; Pension Workings'!H126-'TA Workings'!J126&lt;'Group Sizes'!$B$51,'Group Sizes'!$E$51,IF(I18+H18-'Pay &amp; Pension Workings'!H126-'TA Workings'!J126&lt;'Group Sizes'!$B$52,'Group Sizes'!$E$52,IF(I18+H18-'Pay &amp; Pension Workings'!H126-'TA Workings'!J126&lt;'Group Sizes'!$B$53,'Group Sizes'!$E$53,IF(I18+H18-'Pay &amp; Pension Workings'!H126-'TA Workings'!J126&lt;'Group Sizes'!$B$54,'Group Sizes'!$E$54,IF(I18+H18-'Pay &amp; Pension Workings'!H126-'TA Workings'!J126&lt;'Group Sizes'!$B$55,'Group Sizes'!$E$55,IF(I18+H18-'Pay &amp; Pension Workings'!H126-'TA Workings'!J126&lt;'Group Sizes'!$B$56,'Group Sizes'!$E$56)))))))))))</f>
        <v>120000</v>
      </c>
      <c r="F18" s="1061"/>
      <c r="G18" s="1061"/>
      <c r="H18" s="333">
        <f>VLOOKUP(A18,'2122 Band Calculations'!$A$112:$T$129,10,FALSE)</f>
        <v>1335301.3034477031</v>
      </c>
      <c r="I18" s="333">
        <f>VLOOKUP(A18,'2122 Band Calculations'!$A$112:$T$129,17,FALSE)</f>
        <v>23410.627062706269</v>
      </c>
      <c r="J18" s="94">
        <f>VLOOKUP(A18,'2122 FSM Calculation'!$A$4:$D$21,4,FALSE)</f>
        <v>14363.2</v>
      </c>
      <c r="K18" s="1061">
        <f t="shared" si="0"/>
        <v>1913075.1305104094</v>
      </c>
      <c r="L18" s="333">
        <f t="shared" si="2"/>
        <v>1913075.1305104094</v>
      </c>
      <c r="M18" s="751">
        <f>VLOOKUP(A18,'2122 Band Calculations'!$A$112:$T$129,19,FALSE)</f>
        <v>112.16666666666667</v>
      </c>
      <c r="N18" s="42">
        <f>VLOOKUP(A18,'2122 Band Calculations'!$A$110:$AL$129,38,(FALSE))</f>
        <v>279459.44511597994</v>
      </c>
      <c r="O18" s="165">
        <f>M18-(M18*(VLOOKUP(A18,'2122 Band Calculations'!$A$6:$J$23,10,(FALSE))))</f>
        <v>99.950495049504951</v>
      </c>
      <c r="P18" s="42">
        <f t="shared" si="3"/>
        <v>10797.870334307812</v>
      </c>
      <c r="Q18" s="813">
        <f>'2122 MFG Protection'!L121</f>
        <v>0</v>
      </c>
      <c r="R18" s="813">
        <f t="shared" si="4"/>
        <v>1913075.1305104094</v>
      </c>
      <c r="S18" s="42">
        <f t="shared" si="5"/>
        <v>1121666.6666666667</v>
      </c>
      <c r="T18" s="42">
        <f t="shared" si="6"/>
        <v>0</v>
      </c>
      <c r="U18" s="1512">
        <f t="shared" si="7"/>
        <v>17055.647523124004</v>
      </c>
      <c r="V18" s="1059">
        <f t="shared" si="1"/>
        <v>1121666.6666666667</v>
      </c>
      <c r="W18" s="1059">
        <f t="shared" si="8"/>
        <v>7055.6475231240038</v>
      </c>
      <c r="X18" s="94">
        <f t="shared" si="9"/>
        <v>791408.46384374262</v>
      </c>
      <c r="Y18" s="94">
        <f t="shared" si="10"/>
        <v>1913075.1305104094</v>
      </c>
      <c r="Z18" s="1513">
        <f t="shared" si="11"/>
        <v>0</v>
      </c>
      <c r="AB18" s="869"/>
      <c r="AC18" s="869"/>
      <c r="AD18" s="869"/>
      <c r="AE18" s="873"/>
    </row>
    <row r="19" spans="1:32" x14ac:dyDescent="0.25">
      <c r="A19" s="185">
        <v>9257021</v>
      </c>
      <c r="B19" s="915" t="s">
        <v>778</v>
      </c>
      <c r="C19" s="861" t="str">
        <f>IF(I19+H19-'Pay &amp; Pension Workings'!H127-'TA Workings'!J127&lt;'Group Sizes'!$B$46,'Group Sizes'!$C$46,IF('2122 Funding Detail'!I19+H19-'Pay &amp; Pension Workings'!H127-'TA Workings'!J127&lt;'Group Sizes'!$B$47,'Group Sizes'!$C$47,IF('2122 Funding Detail'!I19+H19-'Pay &amp; Pension Workings'!H127-'TA Workings'!J127&lt;'Group Sizes'!$B$48,'Group Sizes'!$C$48,IF(I19+H19-'Pay &amp; Pension Workings'!H127-'TA Workings'!J127&lt;'Group Sizes'!$B$49,'Group Sizes'!$C$49,IF(I19+H19-'Pay &amp; Pension Workings'!H127-'TA Workings'!J127&lt;'Group Sizes'!$B$50,'Group Sizes'!$C$50,IF(I19+H19-'Pay &amp; Pension Workings'!H127-'TA Workings'!J127&lt;'Group Sizes'!$B$51,'Group Sizes'!$C$51,IF(I19+H19-'Pay &amp; Pension Workings'!H127-'TA Workings'!J127&lt;'Group Sizes'!$B$52,'Group Sizes'!$C$52,IF(I19+H19-'Pay &amp; Pension Workings'!H127-'TA Workings'!J127&lt;'Group Sizes'!$B$53,'Group Sizes'!$C$53,IF(I19+H19-'Pay &amp; Pension Workings'!H127-'TA Workings'!J127&lt;'Group Sizes'!$B$54,'Group Sizes'!$C$54,IF(I19+H19-'Pay &amp; Pension Workings'!H127-'TA Workings'!J127&lt;'Group Sizes'!$B$55,'Group Sizes'!$C$55,IF(I19+H19-'Pay &amp; Pension Workings'!H127-'TA Workings'!J127&lt;'Group Sizes'!$B$56,'Group Sizes'!$C$56)))))))))))</f>
        <v>School Size 5 Transition Point</v>
      </c>
      <c r="D19" s="94">
        <f>IF(H19+I19-'Pay &amp; Pension Workings'!H127-'TA Workings'!J127&lt;'Group Sizes'!$B$46,'Group Sizes'!$D$46,IF('2122 Funding Detail'!H19+I19-'Pay &amp; Pension Workings'!H127-'TA Workings'!J127&lt;'Group Sizes'!$B$47,'Group Sizes'!$D$47,IF('2122 Funding Detail'!H19+I19-'Pay &amp; Pension Workings'!H127-'TA Workings'!J127&lt;'Group Sizes'!$B$48,'Group Sizes'!$D$48,IF(H19+I19-'Pay &amp; Pension Workings'!H127-'TA Workings'!J127&lt;'Group Sizes'!$B$49,'Group Sizes'!$D$49,IF(H19+I19-'Pay &amp; Pension Workings'!H127-'TA Workings'!J127&lt;'Group Sizes'!$B$50,'Group Sizes'!$D$50,IF(H19+I19-'Pay &amp; Pension Workings'!H127-'TA Workings'!J127&lt;'Group Sizes'!$B$51,'Group Sizes'!$D$51,IF(H19+I19-'Pay &amp; Pension Workings'!H127-'TA Workings'!J127&lt;'Group Sizes'!$B$52,'Group Sizes'!$D$52,IF(H19+I19-'Pay &amp; Pension Workings'!H127-'TA Workings'!J127&lt;'Group Sizes'!$B$53,'Group Sizes'!$D$53,IF(H19+I19-'Pay &amp; Pension Workings'!H127-'TA Workings'!J127&lt;'Group Sizes'!$B$54,'Group Sizes'!$D$54,IF(H19+I19-'Pay &amp; Pension Workings'!H127-'TA Workings'!J127&lt;'Group Sizes'!$B$55,'Group Sizes'!$D$55,IF(H19+I19-'Pay &amp; Pension Workings'!H127-'TA Workings'!J127&lt;'Group Sizes'!$B$56,'Group Sizes'!$D$56)))))))))))</f>
        <v>455000</v>
      </c>
      <c r="E19" s="94">
        <f>IF(I19+H19-'Pay &amp; Pension Workings'!H127-'TA Workings'!J127&lt;'Group Sizes'!$B$46,'Group Sizes'!$E$46,IF('2122 Funding Detail'!I19+H19-'Pay &amp; Pension Workings'!H127-'TA Workings'!J127&lt;'Group Sizes'!$B$47,'Group Sizes'!$E$47,IF('2122 Funding Detail'!I19+H19-'Pay &amp; Pension Workings'!H127-'TA Workings'!J127&lt;'Group Sizes'!$B$48,'Group Sizes'!$E$48,IF(I19+H19-'Pay &amp; Pension Workings'!H127-'TA Workings'!J127&lt;'Group Sizes'!$B$49,'Group Sizes'!$E$49,IF(I19+H19-'Pay &amp; Pension Workings'!H127-'TA Workings'!J127&lt;'Group Sizes'!$B$50,'Group Sizes'!$E$50,IF(I19+H19-'Pay &amp; Pension Workings'!H127-'TA Workings'!J127&lt;'Group Sizes'!$B$51,'Group Sizes'!$E$51,IF(I19+H19-'Pay &amp; Pension Workings'!H127-'TA Workings'!J127&lt;'Group Sizes'!$B$52,'Group Sizes'!$E$52,IF(I19+H19-'Pay &amp; Pension Workings'!H127-'TA Workings'!J127&lt;'Group Sizes'!$B$53,'Group Sizes'!$E$53,IF(I19+H19-'Pay &amp; Pension Workings'!H127-'TA Workings'!J127&lt;'Group Sizes'!$B$54,'Group Sizes'!$E$54,IF(I19+H19-'Pay &amp; Pension Workings'!H127-'TA Workings'!J127&lt;'Group Sizes'!$B$55,'Group Sizes'!$E$55,IF(I19+H19-'Pay &amp; Pension Workings'!H127-'TA Workings'!J127&lt;'Group Sizes'!$B$56,'Group Sizes'!$E$56)))))))))))</f>
        <v>130000</v>
      </c>
      <c r="F19" s="1061"/>
      <c r="G19" s="1061"/>
      <c r="H19" s="333">
        <f>VLOOKUP(A19,'2122 Band Calculations'!$A$112:$T$129,10,FALSE)</f>
        <v>1579584.5197189793</v>
      </c>
      <c r="I19" s="333">
        <f>VLOOKUP(A19,'2122 Band Calculations'!$A$112:$T$129,17,FALSE)</f>
        <v>35038.269817073175</v>
      </c>
      <c r="J19" s="94">
        <f>VLOOKUP(A19,'2122 FSM Calculation'!$A$4:$D$21,4,FALSE)</f>
        <v>25584.45</v>
      </c>
      <c r="K19" s="1061">
        <f t="shared" si="0"/>
        <v>2225207.239536053</v>
      </c>
      <c r="L19" s="333">
        <f t="shared" si="2"/>
        <v>2225207.239536053</v>
      </c>
      <c r="M19" s="751">
        <f>VLOOKUP(A19,'2122 Band Calculations'!$A$112:$T$129,19,FALSE)</f>
        <v>167.75</v>
      </c>
      <c r="N19" s="42">
        <f>VLOOKUP(A19,'2122 Band Calculations'!$A$110:$AL$129,38,(FALSE))</f>
        <v>46798.544232945467</v>
      </c>
      <c r="O19" s="165">
        <f>M19-(M19*(VLOOKUP(A19,'2122 Band Calculations'!$A$6:$J$23,10,(FALSE))))</f>
        <v>165.70426829268294</v>
      </c>
      <c r="P19" s="42">
        <f t="shared" si="3"/>
        <v>9461.5803289620999</v>
      </c>
      <c r="Q19" s="813">
        <f>'2122 MFG Protection'!L129</f>
        <v>12937.523007891316</v>
      </c>
      <c r="R19" s="813">
        <f t="shared" si="4"/>
        <v>2238144.7625439442</v>
      </c>
      <c r="S19" s="42">
        <f t="shared" si="5"/>
        <v>1677500</v>
      </c>
      <c r="T19" s="42">
        <f t="shared" si="6"/>
        <v>0</v>
      </c>
      <c r="U19" s="1512">
        <f t="shared" si="7"/>
        <v>13342.144635135286</v>
      </c>
      <c r="V19" s="1059">
        <f t="shared" si="1"/>
        <v>1677500</v>
      </c>
      <c r="W19" s="1059">
        <f t="shared" si="8"/>
        <v>3342.1446351352861</v>
      </c>
      <c r="X19" s="94">
        <f t="shared" si="9"/>
        <v>560644.76254394418</v>
      </c>
      <c r="Y19" s="94">
        <f t="shared" si="10"/>
        <v>2238144.7625439442</v>
      </c>
      <c r="Z19" s="1513">
        <f t="shared" si="11"/>
        <v>0</v>
      </c>
      <c r="AB19" s="869"/>
      <c r="AC19" s="869"/>
      <c r="AD19" s="869"/>
      <c r="AE19" s="873"/>
    </row>
    <row r="20" spans="1:32" s="40" customFormat="1" ht="12.75" customHeight="1" x14ac:dyDescent="0.25">
      <c r="A20" s="131">
        <v>9257015</v>
      </c>
      <c r="B20" s="38" t="s">
        <v>55</v>
      </c>
      <c r="C20" s="861" t="str">
        <f>IF(I20+H20-'Pay &amp; Pension Workings'!H128-'TA Workings'!J128&lt;'Group Sizes'!$B$46,'Group Sizes'!$C$46,IF('2122 Funding Detail'!I20+H20-'Pay &amp; Pension Workings'!H128-'TA Workings'!J128&lt;'Group Sizes'!$B$47,'Group Sizes'!$C$47,IF('2122 Funding Detail'!I20+H20-'Pay &amp; Pension Workings'!H128-'TA Workings'!J128&lt;'Group Sizes'!$B$48,'Group Sizes'!$C$48,IF(I20+H20-'Pay &amp; Pension Workings'!H128-'TA Workings'!J128&lt;'Group Sizes'!$B$49,'Group Sizes'!$C$49,IF(I20+H20-'Pay &amp; Pension Workings'!H128-'TA Workings'!J128&lt;'Group Sizes'!$B$50,'Group Sizes'!$C$50,IF(I20+H20-'Pay &amp; Pension Workings'!H128-'TA Workings'!J128&lt;'Group Sizes'!$B$51,'Group Sizes'!$C$51,IF(I20+H20-'Pay &amp; Pension Workings'!H128-'TA Workings'!J128&lt;'Group Sizes'!$B$52,'Group Sizes'!$C$52,IF(I20+H20-'Pay &amp; Pension Workings'!H128-'TA Workings'!J128&lt;'Group Sizes'!$B$53,'Group Sizes'!$C$53,IF(I20+H20-'Pay &amp; Pension Workings'!H128-'TA Workings'!J128&lt;'Group Sizes'!$B$54,'Group Sizes'!$C$54,IF(I20+H20-'Pay &amp; Pension Workings'!H128-'TA Workings'!J128&lt;'Group Sizes'!$B$55,'Group Sizes'!$C$55,IF(I20+H20-'Pay &amp; Pension Workings'!H128-'TA Workings'!J128&lt;'Group Sizes'!$B$56,'Group Sizes'!$C$56)))))))))))</f>
        <v>School Size 6 Transition Point</v>
      </c>
      <c r="D20" s="94">
        <f>IF(H20+I20-'Pay &amp; Pension Workings'!H128-'TA Workings'!J128&lt;'Group Sizes'!$B$46,'Group Sizes'!$D$46,IF('2122 Funding Detail'!H20+I20-'Pay &amp; Pension Workings'!H128-'TA Workings'!J128&lt;'Group Sizes'!$B$47,'Group Sizes'!$D$47,IF('2122 Funding Detail'!H20+I20-'Pay &amp; Pension Workings'!H128-'TA Workings'!J128&lt;'Group Sizes'!$B$48,'Group Sizes'!$D$48,IF(H20+I20-'Pay &amp; Pension Workings'!H128-'TA Workings'!J128&lt;'Group Sizes'!$B$49,'Group Sizes'!$D$49,IF(H20+I20-'Pay &amp; Pension Workings'!H128-'TA Workings'!J128&lt;'Group Sizes'!$B$50,'Group Sizes'!$D$50,IF(H20+I20-'Pay &amp; Pension Workings'!H128-'TA Workings'!J128&lt;'Group Sizes'!$B$51,'Group Sizes'!$D$51,IF(H20+I20-'Pay &amp; Pension Workings'!H128-'TA Workings'!J128&lt;'Group Sizes'!$B$52,'Group Sizes'!$D$52,IF(H20+I20-'Pay &amp; Pension Workings'!H128-'TA Workings'!J128&lt;'Group Sizes'!$B$53,'Group Sizes'!$D$53,IF(H20+I20-'Pay &amp; Pension Workings'!H128-'TA Workings'!J128&lt;'Group Sizes'!$B$54,'Group Sizes'!$D$54,IF(H20+I20-'Pay &amp; Pension Workings'!H128-'TA Workings'!J128&lt;'Group Sizes'!$B$55,'Group Sizes'!$D$55,IF(H20+I20-'Pay &amp; Pension Workings'!H128-'TA Workings'!J128&lt;'Group Sizes'!$B$56,'Group Sizes'!$D$56)))))))))))</f>
        <v>525000</v>
      </c>
      <c r="E20" s="94">
        <f>IF(I20+H20-'Pay &amp; Pension Workings'!H128-'TA Workings'!J128&lt;'Group Sizes'!$B$46,'Group Sizes'!$E$46,IF('2122 Funding Detail'!I20+H20-'Pay &amp; Pension Workings'!H128-'TA Workings'!J128&lt;'Group Sizes'!$B$47,'Group Sizes'!$E$47,IF('2122 Funding Detail'!I20+H20-'Pay &amp; Pension Workings'!H128-'TA Workings'!J128&lt;'Group Sizes'!$B$48,'Group Sizes'!$E$48,IF(I20+H20-'Pay &amp; Pension Workings'!H128-'TA Workings'!J128&lt;'Group Sizes'!$B$49,'Group Sizes'!$E$49,IF(I20+H20-'Pay &amp; Pension Workings'!H128-'TA Workings'!J128&lt;'Group Sizes'!$B$50,'Group Sizes'!$E$50,IF(I20+H20-'Pay &amp; Pension Workings'!H128-'TA Workings'!J128&lt;'Group Sizes'!$B$51,'Group Sizes'!$E$51,IF(I20+H20-'Pay &amp; Pension Workings'!H128-'TA Workings'!J128&lt;'Group Sizes'!$B$52,'Group Sizes'!$E$52,IF(I20+H20-'Pay &amp; Pension Workings'!H128-'TA Workings'!J128&lt;'Group Sizes'!$B$53,'Group Sizes'!$E$53,IF(I20+H20-'Pay &amp; Pension Workings'!H128-'TA Workings'!J128&lt;'Group Sizes'!$B$54,'Group Sizes'!$E$54,IF(I20+H20-'Pay &amp; Pension Workings'!H128-'TA Workings'!J128&lt;'Group Sizes'!$B$55,'Group Sizes'!$E$55,IF(I20+H20-'Pay &amp; Pension Workings'!H128-'TA Workings'!J128&lt;'Group Sizes'!$B$56,'Group Sizes'!$E$56)))))))))))</f>
        <v>145000</v>
      </c>
      <c r="F20" s="94"/>
      <c r="G20" s="925"/>
      <c r="H20" s="333">
        <f>VLOOKUP(A20,'2122 Band Calculations'!$A$112:$T$129,10,FALSE)</f>
        <v>2148810.2146396968</v>
      </c>
      <c r="I20" s="333">
        <f>VLOOKUP(A20,'2122 Band Calculations'!$A$112:$T$129,17,FALSE)</f>
        <v>10637.160766961651</v>
      </c>
      <c r="J20" s="94">
        <f>VLOOKUP(A20,'2122 FSM Calculation'!$A$4:$D$21,4,FALSE)</f>
        <v>21544.800000000003</v>
      </c>
      <c r="K20" s="94">
        <f t="shared" si="0"/>
        <v>2850992.1754066581</v>
      </c>
      <c r="L20" s="333">
        <f t="shared" si="2"/>
        <v>2850992.1754066581</v>
      </c>
      <c r="M20" s="751">
        <f>VLOOKUP(A20,'2122 Band Calculations'!$A$112:$T$129,19,FALSE)</f>
        <v>228.08333333333334</v>
      </c>
      <c r="N20" s="42">
        <f>VLOOKUP(A20,'2122 Band Calculations'!$A$110:$AL$129,38,(FALSE))</f>
        <v>69261.203568685509</v>
      </c>
      <c r="O20" s="165">
        <f>M20-(M20*(VLOOKUP(A20,'2122 Band Calculations'!$A$6:$J$23,10,(FALSE))))</f>
        <v>225.0556784660767</v>
      </c>
      <c r="P20" s="42">
        <f t="shared" si="3"/>
        <v>9287.4180562079564</v>
      </c>
      <c r="Q20" s="813">
        <f>'2122 MFG Protection'!L137</f>
        <v>0</v>
      </c>
      <c r="R20" s="813">
        <f t="shared" si="4"/>
        <v>2850992.1754066581</v>
      </c>
      <c r="S20" s="80">
        <f t="shared" si="5"/>
        <v>2280833.3333333335</v>
      </c>
      <c r="T20" s="80">
        <f t="shared" si="6"/>
        <v>0</v>
      </c>
      <c r="U20" s="1512">
        <f t="shared" si="7"/>
        <v>12499.783012378479</v>
      </c>
      <c r="V20" s="247">
        <f t="shared" si="1"/>
        <v>2280833.3333333335</v>
      </c>
      <c r="W20" s="247">
        <f t="shared" si="8"/>
        <v>2499.7830123784788</v>
      </c>
      <c r="X20" s="94">
        <f t="shared" si="9"/>
        <v>570158.8420733246</v>
      </c>
      <c r="Y20" s="94">
        <f t="shared" si="10"/>
        <v>2850992.1754066581</v>
      </c>
      <c r="Z20" s="1513">
        <f t="shared" si="11"/>
        <v>0</v>
      </c>
      <c r="AB20" s="869"/>
      <c r="AC20" s="869"/>
      <c r="AD20" s="869"/>
      <c r="AE20" s="874"/>
    </row>
    <row r="21" spans="1:32" x14ac:dyDescent="0.25">
      <c r="A21" s="185">
        <v>9257016</v>
      </c>
      <c r="B21" s="915" t="s">
        <v>80</v>
      </c>
      <c r="C21" s="861" t="str">
        <f>IF(I21+H21-'Pay &amp; Pension Workings'!H129-'TA Workings'!J129&lt;'Group Sizes'!$B$46,'Group Sizes'!$C$46,IF('2122 Funding Detail'!I21+H21-'Pay &amp; Pension Workings'!H129-'TA Workings'!J129&lt;'Group Sizes'!$B$47,'Group Sizes'!$C$47,IF('2122 Funding Detail'!I21+H21-'Pay &amp; Pension Workings'!H129-'TA Workings'!J129&lt;'Group Sizes'!$B$48,'Group Sizes'!$C$48,IF(I21+H21-'Pay &amp; Pension Workings'!H129-'TA Workings'!J129&lt;'Group Sizes'!$B$49,'Group Sizes'!$C$49,IF(I21+H21-'Pay &amp; Pension Workings'!H129-'TA Workings'!J129&lt;'Group Sizes'!$B$50,'Group Sizes'!$C$50,IF(I21+H21-'Pay &amp; Pension Workings'!H129-'TA Workings'!J129&lt;'Group Sizes'!$B$51,'Group Sizes'!$C$51,IF(I21+H21-'Pay &amp; Pension Workings'!H129-'TA Workings'!J129&lt;'Group Sizes'!$B$52,'Group Sizes'!$C$52,IF(I21+H21-'Pay &amp; Pension Workings'!H129-'TA Workings'!J129&lt;'Group Sizes'!$B$53,'Group Sizes'!$C$53,IF(I21+H21-'Pay &amp; Pension Workings'!H129-'TA Workings'!J129&lt;'Group Sizes'!$B$54,'Group Sizes'!$C$54,IF(I21+H21-'Pay &amp; Pension Workings'!H129-'TA Workings'!J129&lt;'Group Sizes'!$B$55,'Group Sizes'!$C$55,IF(I21+H21-'Pay &amp; Pension Workings'!H129-'TA Workings'!J129&lt;'Group Sizes'!$B$56,'Group Sizes'!$C$56)))))))))))</f>
        <v>School Size 6 Transition Point</v>
      </c>
      <c r="D21" s="94">
        <f>IF(H21+I21-'Pay &amp; Pension Workings'!H129-'TA Workings'!J129&lt;'Group Sizes'!$B$46,'Group Sizes'!$D$46,IF('2122 Funding Detail'!H21+I21-'Pay &amp; Pension Workings'!H129-'TA Workings'!J129&lt;'Group Sizes'!$B$47,'Group Sizes'!$D$47,IF('2122 Funding Detail'!H21+I21-'Pay &amp; Pension Workings'!H129-'TA Workings'!J129&lt;'Group Sizes'!$B$48,'Group Sizes'!$D$48,IF(H21+I21-'Pay &amp; Pension Workings'!H129-'TA Workings'!J129&lt;'Group Sizes'!$B$49,'Group Sizes'!$D$49,IF(H21+I21-'Pay &amp; Pension Workings'!H129-'TA Workings'!J129&lt;'Group Sizes'!$B$50,'Group Sizes'!$D$50,IF(H21+I21-'Pay &amp; Pension Workings'!H129-'TA Workings'!J129&lt;'Group Sizes'!$B$51,'Group Sizes'!$D$51,IF(H21+I21-'Pay &amp; Pension Workings'!H129-'TA Workings'!J129&lt;'Group Sizes'!$B$52,'Group Sizes'!$D$52,IF(H21+I21-'Pay &amp; Pension Workings'!H129-'TA Workings'!J129&lt;'Group Sizes'!$B$53,'Group Sizes'!$D$53,IF(H21+I21-'Pay &amp; Pension Workings'!H129-'TA Workings'!J129&lt;'Group Sizes'!$B$54,'Group Sizes'!$D$54,IF(H21+I21-'Pay &amp; Pension Workings'!H129-'TA Workings'!J129&lt;'Group Sizes'!$B$55,'Group Sizes'!$D$55,IF(H21+I21-'Pay &amp; Pension Workings'!H129-'TA Workings'!J129&lt;'Group Sizes'!$B$56,'Group Sizes'!$D$56)))))))))))</f>
        <v>525000</v>
      </c>
      <c r="E21" s="94">
        <f>IF(I21+H21-'Pay &amp; Pension Workings'!H129-'TA Workings'!J129&lt;'Group Sizes'!$B$46,'Group Sizes'!$E$46,IF('2122 Funding Detail'!I21+H21-'Pay &amp; Pension Workings'!H129-'TA Workings'!J129&lt;'Group Sizes'!$B$47,'Group Sizes'!$E$47,IF('2122 Funding Detail'!I21+H21-'Pay &amp; Pension Workings'!H129-'TA Workings'!J129&lt;'Group Sizes'!$B$48,'Group Sizes'!$E$48,IF(I21+H21-'Pay &amp; Pension Workings'!H129-'TA Workings'!J129&lt;'Group Sizes'!$B$49,'Group Sizes'!$E$49,IF(I21+H21-'Pay &amp; Pension Workings'!H129-'TA Workings'!J129&lt;'Group Sizes'!$B$50,'Group Sizes'!$E$50,IF(I21+H21-'Pay &amp; Pension Workings'!H129-'TA Workings'!J129&lt;'Group Sizes'!$B$51,'Group Sizes'!$E$51,IF(I21+H21-'Pay &amp; Pension Workings'!H129-'TA Workings'!J129&lt;'Group Sizes'!$B$52,'Group Sizes'!$E$52,IF(I21+H21-'Pay &amp; Pension Workings'!H129-'TA Workings'!J129&lt;'Group Sizes'!$B$53,'Group Sizes'!$E$53,IF(I21+H21-'Pay &amp; Pension Workings'!H129-'TA Workings'!J129&lt;'Group Sizes'!$B$54,'Group Sizes'!$E$54,IF(I21+H21-'Pay &amp; Pension Workings'!H129-'TA Workings'!J129&lt;'Group Sizes'!$B$55,'Group Sizes'!$E$55,IF(I21+H21-'Pay &amp; Pension Workings'!H129-'TA Workings'!J129&lt;'Group Sizes'!$B$56,'Group Sizes'!$E$56)))))))))))</f>
        <v>145000</v>
      </c>
      <c r="F21" s="1061"/>
      <c r="G21" s="1061"/>
      <c r="H21" s="333">
        <f>VLOOKUP(A21,'2122 Band Calculations'!$A$112:$T$129,10,FALSE)</f>
        <v>2256437.5442380505</v>
      </c>
      <c r="I21" s="333">
        <f>VLOOKUP(A21,'2122 Band Calculations'!$A$112:$T$129,17,FALSE)</f>
        <v>2652.7303312629401</v>
      </c>
      <c r="J21" s="94">
        <f>VLOOKUP(A21,'2122 FSM Calculation'!$A$4:$D$21,4,FALSE)</f>
        <v>21544.800000000003</v>
      </c>
      <c r="K21" s="1061">
        <f t="shared" si="0"/>
        <v>2950635.0745693133</v>
      </c>
      <c r="L21" s="333">
        <f t="shared" si="2"/>
        <v>2950635.0745693133</v>
      </c>
      <c r="M21" s="751">
        <f>VLOOKUP(A21,'2122 Band Calculations'!$A$112:$T$129,19,FALSE)</f>
        <v>162.08333333333334</v>
      </c>
      <c r="N21" s="42">
        <f>VLOOKUP(A21,'2122 Band Calculations'!$A$110:$AL$129,38,(FALSE))</f>
        <v>783023.98962712591</v>
      </c>
      <c r="O21" s="165">
        <f>M21-(M21*(VLOOKUP(A21,'2122 Band Calculations'!$A$6:$J$23,10,(FALSE))))</f>
        <v>127.85455486542443</v>
      </c>
      <c r="P21" s="42">
        <f t="shared" si="3"/>
        <v>11544.886191155623</v>
      </c>
      <c r="Q21" s="813">
        <f>'2122 MFG Protection'!L145</f>
        <v>0</v>
      </c>
      <c r="R21" s="813">
        <f t="shared" si="4"/>
        <v>2950635.0745693133</v>
      </c>
      <c r="S21" s="42">
        <f t="shared" si="5"/>
        <v>1620833.3333333335</v>
      </c>
      <c r="T21" s="42">
        <f t="shared" si="6"/>
        <v>0</v>
      </c>
      <c r="U21" s="1512">
        <f t="shared" si="7"/>
        <v>18204.432336674425</v>
      </c>
      <c r="V21" s="1059">
        <f t="shared" si="1"/>
        <v>1620833.3333333335</v>
      </c>
      <c r="W21" s="1059">
        <f t="shared" si="8"/>
        <v>8204.4323366744247</v>
      </c>
      <c r="X21" s="94">
        <f t="shared" si="9"/>
        <v>1329801.7412359798</v>
      </c>
      <c r="Y21" s="94">
        <f t="shared" si="10"/>
        <v>2950635.0745693133</v>
      </c>
      <c r="Z21" s="1513">
        <f t="shared" si="11"/>
        <v>0</v>
      </c>
      <c r="AB21" s="869"/>
      <c r="AC21" s="869"/>
      <c r="AD21" s="869"/>
      <c r="AE21" s="873"/>
    </row>
    <row r="22" spans="1:32" x14ac:dyDescent="0.25">
      <c r="A22" s="69"/>
      <c r="B22" s="921"/>
      <c r="C22" s="61"/>
      <c r="D22" s="42"/>
      <c r="E22" s="42"/>
      <c r="F22" s="42"/>
      <c r="G22" s="42"/>
      <c r="H22" s="42"/>
      <c r="I22" s="42"/>
      <c r="J22" s="80"/>
    </row>
    <row r="23" spans="1:32" ht="13.5" customHeight="1" thickBot="1" x14ac:dyDescent="0.3">
      <c r="A23" s="69"/>
      <c r="C23" s="40"/>
      <c r="D23" s="136">
        <f t="shared" ref="D23:O23" si="12">SUM(D4:D21)</f>
        <v>7087500</v>
      </c>
      <c r="E23" s="136">
        <f>SUM(E4:E21)</f>
        <v>2005000</v>
      </c>
      <c r="F23" s="136">
        <f t="shared" si="12"/>
        <v>978190</v>
      </c>
      <c r="G23" s="136">
        <f t="shared" si="12"/>
        <v>168000</v>
      </c>
      <c r="H23" s="136">
        <f t="shared" si="12"/>
        <v>21393947.785238918</v>
      </c>
      <c r="I23" s="136">
        <f t="shared" si="12"/>
        <v>1132155.2367520435</v>
      </c>
      <c r="J23" s="136">
        <f t="shared" si="12"/>
        <v>280531.25</v>
      </c>
      <c r="K23" s="136">
        <f t="shared" si="12"/>
        <v>33045324.271990959</v>
      </c>
      <c r="L23" s="136">
        <f t="shared" si="12"/>
        <v>31899134.271990959</v>
      </c>
      <c r="M23" s="166">
        <f t="shared" si="12"/>
        <v>1988.5</v>
      </c>
      <c r="N23" s="136">
        <f t="shared" si="12"/>
        <v>2103667.5817540754</v>
      </c>
      <c r="O23" s="166">
        <f t="shared" si="12"/>
        <v>1896.5411678571038</v>
      </c>
      <c r="P23" s="166"/>
      <c r="Q23" s="70">
        <f>SUM(Q4:Q21)</f>
        <v>266886.23647491651</v>
      </c>
      <c r="R23" s="70">
        <f>SUM(R4:R21)</f>
        <v>32166020.508465875</v>
      </c>
      <c r="S23" s="70">
        <f>SUM(S4:S21)</f>
        <v>19885000</v>
      </c>
      <c r="T23" s="52"/>
      <c r="U23" s="73"/>
      <c r="V23" s="70">
        <f>SUM(V4:V21)</f>
        <v>19885000</v>
      </c>
      <c r="W23" s="73"/>
      <c r="X23" s="70">
        <f>SUM(X4:X21)</f>
        <v>12281020.508465879</v>
      </c>
      <c r="Y23" s="70">
        <f>SUM(Y4:Y21)</f>
        <v>32166020.508465875</v>
      </c>
      <c r="Z23" s="1051"/>
    </row>
    <row r="24" spans="1:32" ht="13" x14ac:dyDescent="0.3">
      <c r="A24" s="69"/>
      <c r="B24" s="40"/>
      <c r="C24" s="1571"/>
      <c r="D24" s="1570"/>
      <c r="E24" s="1570"/>
      <c r="F24" s="1570"/>
      <c r="G24" s="1570"/>
      <c r="H24" s="1570"/>
      <c r="I24" s="1570"/>
      <c r="J24" s="1570"/>
      <c r="K24" s="1570"/>
      <c r="L24" s="1600"/>
      <c r="M24" s="1601"/>
      <c r="N24" s="1602"/>
      <c r="O24" s="1603"/>
      <c r="P24" s="1602"/>
      <c r="Q24" s="1602"/>
      <c r="R24" s="1602"/>
      <c r="S24" s="133"/>
      <c r="T24" s="52"/>
      <c r="V24" s="73"/>
      <c r="W24" s="75"/>
      <c r="X24" s="52"/>
      <c r="Y24" s="52"/>
      <c r="Z24" s="1051"/>
      <c r="AF24" s="923"/>
    </row>
    <row r="25" spans="1:32" ht="13" x14ac:dyDescent="0.3">
      <c r="B25" s="1479" t="s">
        <v>1213</v>
      </c>
      <c r="C25" s="1052"/>
      <c r="D25" s="42"/>
      <c r="E25" s="1529"/>
      <c r="G25" s="42"/>
      <c r="H25" s="42"/>
      <c r="I25" s="42"/>
      <c r="J25" s="42"/>
      <c r="K25" s="42"/>
      <c r="L25" s="42"/>
      <c r="M25" s="165">
        <f>'2021 Funding Detail'!M25</f>
        <v>1896.0833333333337</v>
      </c>
      <c r="N25" s="1505">
        <f>M23-M25</f>
        <v>92.416666666666288</v>
      </c>
      <c r="O25" s="1505"/>
      <c r="P25" s="1505"/>
      <c r="Q25" s="526" t="s">
        <v>937</v>
      </c>
      <c r="R25" s="42">
        <f>'2021 Funding Detail'!X25</f>
        <v>29334218.614862774</v>
      </c>
      <c r="X25" s="1052"/>
      <c r="Y25" s="1511" t="s">
        <v>1263</v>
      </c>
    </row>
    <row r="26" spans="1:32" ht="13" x14ac:dyDescent="0.3">
      <c r="B26" s="1052"/>
      <c r="D26" s="42"/>
      <c r="E26" s="1530"/>
      <c r="I26" s="125"/>
      <c r="M26" s="165"/>
      <c r="R26" s="1409"/>
      <c r="S26" s="1572"/>
      <c r="W26" s="79"/>
      <c r="X26" s="79"/>
      <c r="Y26" s="40"/>
    </row>
    <row r="27" spans="1:32" x14ac:dyDescent="0.25">
      <c r="A27" s="185">
        <v>9257010</v>
      </c>
      <c r="B27" s="915" t="s">
        <v>773</v>
      </c>
      <c r="C27" s="861" t="s">
        <v>750</v>
      </c>
      <c r="D27" s="94">
        <v>340000</v>
      </c>
      <c r="E27" s="94">
        <v>105000</v>
      </c>
      <c r="F27" s="1415">
        <f>D4+E4-D27-E27</f>
        <v>95000</v>
      </c>
      <c r="G27" s="1415"/>
      <c r="H27" s="333">
        <v>766348.93047857203</v>
      </c>
      <c r="I27" s="333">
        <v>10347.864583333334</v>
      </c>
      <c r="J27" s="94"/>
      <c r="K27" s="1415"/>
      <c r="L27" s="333"/>
      <c r="M27" s="751">
        <v>62.833333333333329</v>
      </c>
      <c r="P27" s="125"/>
      <c r="Q27" s="526" t="s">
        <v>524</v>
      </c>
      <c r="R27" s="42">
        <f>R23-R25</f>
        <v>2831801.8936031014</v>
      </c>
      <c r="W27" s="79"/>
      <c r="X27" s="79"/>
      <c r="Y27" s="40"/>
    </row>
    <row r="28" spans="1:32" x14ac:dyDescent="0.25">
      <c r="A28" s="185">
        <v>9257005</v>
      </c>
      <c r="B28" s="915" t="s">
        <v>774</v>
      </c>
      <c r="C28" s="1014" t="s">
        <v>750</v>
      </c>
      <c r="D28" s="94">
        <v>340000</v>
      </c>
      <c r="E28" s="94">
        <v>105000</v>
      </c>
      <c r="F28" s="1487">
        <f>D5+E5-D28-E28</f>
        <v>25000</v>
      </c>
      <c r="G28" s="1415"/>
      <c r="H28" s="333">
        <v>869562.19164385577</v>
      </c>
      <c r="I28" s="333">
        <v>13449.479166666666</v>
      </c>
      <c r="J28" s="94"/>
      <c r="K28" s="1415"/>
      <c r="L28" s="333"/>
      <c r="M28" s="751">
        <v>77.583333333333329</v>
      </c>
      <c r="N28" s="52"/>
      <c r="O28" s="52"/>
      <c r="P28" s="52"/>
      <c r="R28" s="1409"/>
    </row>
    <row r="29" spans="1:32" x14ac:dyDescent="0.25">
      <c r="A29" s="185">
        <v>9257025</v>
      </c>
      <c r="B29" s="915" t="s">
        <v>776</v>
      </c>
      <c r="C29" s="861" t="s">
        <v>750</v>
      </c>
      <c r="D29" s="94">
        <v>340000</v>
      </c>
      <c r="E29" s="94">
        <v>105000</v>
      </c>
      <c r="F29" s="1487">
        <f>D6+E6-D29-E29</f>
        <v>25000</v>
      </c>
      <c r="G29" s="1415"/>
      <c r="H29" s="333">
        <v>793705.17090371286</v>
      </c>
      <c r="I29" s="333">
        <v>13412.387387387389</v>
      </c>
      <c r="J29" s="94"/>
      <c r="K29" s="1415"/>
      <c r="L29" s="333"/>
      <c r="M29" s="751">
        <v>75.333333333333343</v>
      </c>
      <c r="N29" s="52"/>
      <c r="O29" s="52"/>
      <c r="P29" s="52"/>
      <c r="Q29" s="526" t="s">
        <v>1190</v>
      </c>
      <c r="R29" s="1456">
        <f>'2122 Pay &amp; Pension Allocations'!A95</f>
        <v>1400520</v>
      </c>
    </row>
    <row r="30" spans="1:32" x14ac:dyDescent="0.25">
      <c r="A30" s="185">
        <v>9257011</v>
      </c>
      <c r="B30" s="38" t="s">
        <v>70</v>
      </c>
      <c r="C30" s="861" t="s">
        <v>750</v>
      </c>
      <c r="D30" s="94">
        <v>340000</v>
      </c>
      <c r="E30" s="94">
        <v>105000</v>
      </c>
      <c r="F30" s="1487">
        <f>D7+E7-D30-E30</f>
        <v>-7500</v>
      </c>
      <c r="G30" s="1415"/>
      <c r="H30" s="333">
        <v>697819.18281502777</v>
      </c>
      <c r="I30" s="333">
        <v>5750.59748427673</v>
      </c>
      <c r="J30" s="94"/>
      <c r="K30" s="1415"/>
      <c r="L30" s="333"/>
      <c r="M30" s="751">
        <v>57.833333333333336</v>
      </c>
      <c r="N30" s="802"/>
      <c r="O30" s="802"/>
      <c r="P30" s="802"/>
      <c r="Q30" s="627"/>
      <c r="R30" s="627"/>
      <c r="S30" s="627"/>
      <c r="T30" s="627"/>
      <c r="U30" s="627"/>
      <c r="V30" s="627"/>
      <c r="W30" s="627"/>
      <c r="X30" s="627"/>
      <c r="Y30" s="627"/>
      <c r="Z30" s="627"/>
    </row>
    <row r="31" spans="1:32" x14ac:dyDescent="0.25">
      <c r="A31" s="185">
        <v>9257024</v>
      </c>
      <c r="B31" s="915" t="s">
        <v>777</v>
      </c>
      <c r="C31" s="861" t="s">
        <v>750</v>
      </c>
      <c r="D31" s="94">
        <v>340000</v>
      </c>
      <c r="E31" s="94">
        <v>105000</v>
      </c>
      <c r="F31" s="1487">
        <f>D8+E8-D31-E31</f>
        <v>25000</v>
      </c>
      <c r="G31" s="1415"/>
      <c r="H31" s="333">
        <v>898400.3997032356</v>
      </c>
      <c r="I31" s="333">
        <v>5275.2911646586344</v>
      </c>
      <c r="J31" s="94"/>
      <c r="K31" s="1415"/>
      <c r="L31" s="333"/>
      <c r="M31" s="751">
        <v>83.083333333333329</v>
      </c>
      <c r="N31" s="52"/>
      <c r="O31" s="52"/>
      <c r="P31" s="52"/>
      <c r="Q31" s="526" t="s">
        <v>953</v>
      </c>
      <c r="R31" s="42">
        <f>R27-R29</f>
        <v>1431281.8936031014</v>
      </c>
    </row>
    <row r="32" spans="1:32" x14ac:dyDescent="0.25">
      <c r="A32" s="185">
        <v>9257008</v>
      </c>
      <c r="B32" s="915" t="s">
        <v>87</v>
      </c>
      <c r="C32" s="861" t="s">
        <v>750</v>
      </c>
      <c r="D32" s="94">
        <v>340000</v>
      </c>
      <c r="E32" s="94">
        <v>105000</v>
      </c>
      <c r="F32" s="1487">
        <f>D11+E11-D32-E32</f>
        <v>25000</v>
      </c>
      <c r="G32" s="1415"/>
      <c r="H32" s="333">
        <v>901299.16236721608</v>
      </c>
      <c r="I32" s="333">
        <v>21025.670103092787</v>
      </c>
      <c r="J32" s="94"/>
      <c r="K32" s="1415"/>
      <c r="L32" s="333"/>
      <c r="M32" s="751">
        <v>96.75</v>
      </c>
      <c r="N32" s="52"/>
      <c r="O32" s="52"/>
      <c r="P32" s="52"/>
    </row>
    <row r="33" spans="1:26" x14ac:dyDescent="0.25">
      <c r="A33" s="185">
        <v>9257002</v>
      </c>
      <c r="B33" s="915" t="s">
        <v>775</v>
      </c>
      <c r="C33" s="861" t="s">
        <v>751</v>
      </c>
      <c r="D33" s="94">
        <v>385000</v>
      </c>
      <c r="E33" s="94">
        <v>115000</v>
      </c>
      <c r="F33" s="1487">
        <f>D13+E13-D33-E33</f>
        <v>40000</v>
      </c>
      <c r="G33" s="1415"/>
      <c r="H33" s="333">
        <v>1243151.9879120709</v>
      </c>
      <c r="I33" s="333">
        <v>60385.416666666672</v>
      </c>
      <c r="J33" s="94"/>
      <c r="K33" s="1415"/>
      <c r="L33" s="333"/>
      <c r="M33" s="751">
        <v>147.91666666666669</v>
      </c>
      <c r="N33" s="52"/>
      <c r="O33" s="52"/>
      <c r="P33" s="52"/>
      <c r="R33" s="348"/>
    </row>
    <row r="34" spans="1:26" x14ac:dyDescent="0.25">
      <c r="A34" s="185">
        <v>9257009</v>
      </c>
      <c r="B34" s="915" t="s">
        <v>411</v>
      </c>
      <c r="C34" s="861" t="s">
        <v>751</v>
      </c>
      <c r="D34" s="94">
        <v>385000</v>
      </c>
      <c r="E34" s="94">
        <v>115000</v>
      </c>
      <c r="F34" s="1487">
        <f>D14+E14-D34-E34</f>
        <v>5000</v>
      </c>
      <c r="G34" s="1415"/>
      <c r="H34" s="333">
        <v>1124142.8964747144</v>
      </c>
      <c r="I34" s="333">
        <v>30464.208656330753</v>
      </c>
      <c r="J34" s="94"/>
      <c r="K34" s="1415"/>
      <c r="L34" s="333"/>
      <c r="M34" s="751">
        <v>135.58333333333334</v>
      </c>
      <c r="N34" s="52"/>
      <c r="O34" s="52"/>
      <c r="P34" s="52"/>
      <c r="Q34" s="625"/>
    </row>
    <row r="35" spans="1:26" x14ac:dyDescent="0.25">
      <c r="A35" s="185">
        <v>9257028</v>
      </c>
      <c r="B35" s="915" t="s">
        <v>77</v>
      </c>
      <c r="C35" s="1014" t="s">
        <v>751</v>
      </c>
      <c r="D35" s="94">
        <v>385000</v>
      </c>
      <c r="E35" s="94">
        <v>115000</v>
      </c>
      <c r="F35" s="1487">
        <f>D18+E18-D35-E35</f>
        <v>40000</v>
      </c>
      <c r="G35" s="1415"/>
      <c r="H35" s="333">
        <v>1094030.7896330541</v>
      </c>
      <c r="I35" s="333">
        <v>10345.842105263158</v>
      </c>
      <c r="J35" s="94"/>
      <c r="K35" s="1415"/>
      <c r="L35" s="333"/>
      <c r="M35" s="751">
        <v>93.25</v>
      </c>
      <c r="N35" s="52"/>
      <c r="O35" s="52"/>
      <c r="P35" s="52"/>
    </row>
    <row r="36" spans="1:26" x14ac:dyDescent="0.25">
      <c r="A36" s="185">
        <v>9257021</v>
      </c>
      <c r="B36" s="915" t="s">
        <v>778</v>
      </c>
      <c r="C36" s="861" t="s">
        <v>758</v>
      </c>
      <c r="D36" s="94">
        <v>407500</v>
      </c>
      <c r="E36" s="94">
        <v>120000</v>
      </c>
      <c r="F36" s="1487">
        <f>D19+E19-D36-E36</f>
        <v>57500</v>
      </c>
      <c r="G36" s="1415"/>
      <c r="H36" s="333">
        <v>1480789.4660544591</v>
      </c>
      <c r="I36" s="333">
        <v>42504.867075664632</v>
      </c>
      <c r="J36" s="94"/>
      <c r="K36" s="1415"/>
      <c r="L36" s="333"/>
      <c r="M36" s="751">
        <v>164.33333333333334</v>
      </c>
      <c r="N36" s="52"/>
      <c r="O36" s="52"/>
      <c r="P36" s="52"/>
    </row>
    <row r="37" spans="1:26" x14ac:dyDescent="0.25">
      <c r="A37" s="131">
        <v>9257015</v>
      </c>
      <c r="B37" s="38" t="s">
        <v>55</v>
      </c>
      <c r="C37" s="861" t="s">
        <v>759</v>
      </c>
      <c r="D37" s="94">
        <v>452500</v>
      </c>
      <c r="E37" s="94">
        <v>130000</v>
      </c>
      <c r="F37" s="1487">
        <f>D20+E20-D37-E37</f>
        <v>87500</v>
      </c>
      <c r="G37" s="925"/>
      <c r="H37" s="333">
        <v>2020340.8670849968</v>
      </c>
      <c r="I37" s="333">
        <v>15906.540948275862</v>
      </c>
      <c r="J37" s="94"/>
      <c r="K37" s="94"/>
      <c r="L37" s="333"/>
      <c r="M37" s="751">
        <v>233.41666666666671</v>
      </c>
      <c r="N37" s="52"/>
      <c r="O37" s="52"/>
      <c r="P37" s="52"/>
      <c r="U37" s="34"/>
      <c r="V37" s="34"/>
      <c r="W37" s="34"/>
      <c r="Z37" s="34"/>
    </row>
    <row r="38" spans="1:26" x14ac:dyDescent="0.25">
      <c r="A38" s="185">
        <v>9257016</v>
      </c>
      <c r="B38" s="915" t="s">
        <v>80</v>
      </c>
      <c r="C38" s="1014" t="s">
        <v>759</v>
      </c>
      <c r="D38" s="94">
        <v>452500</v>
      </c>
      <c r="E38" s="94">
        <v>130000</v>
      </c>
      <c r="F38" s="1487">
        <f>D21+E21-D38-E38</f>
        <v>87500</v>
      </c>
      <c r="G38" s="1415"/>
      <c r="H38" s="333">
        <v>1961468.3847430935</v>
      </c>
      <c r="I38" s="333">
        <v>2582.9934210526317</v>
      </c>
      <c r="J38" s="94"/>
      <c r="K38" s="1415"/>
      <c r="L38" s="333"/>
      <c r="M38" s="751">
        <v>149</v>
      </c>
      <c r="N38" s="52"/>
      <c r="O38" s="52"/>
      <c r="P38" s="52"/>
      <c r="U38" s="34"/>
      <c r="V38" s="34"/>
      <c r="W38" s="34"/>
      <c r="Z38" s="34"/>
    </row>
    <row r="39" spans="1:26" x14ac:dyDescent="0.25">
      <c r="A39" s="185"/>
      <c r="B39" s="38"/>
      <c r="C39" s="131"/>
      <c r="D39" s="94"/>
      <c r="E39" s="94"/>
      <c r="F39" s="1487"/>
      <c r="G39" s="1415"/>
      <c r="H39" s="333"/>
      <c r="I39" s="333"/>
      <c r="J39" s="94"/>
      <c r="K39" s="1415"/>
      <c r="L39" s="333"/>
      <c r="M39" s="751"/>
      <c r="N39" s="52"/>
      <c r="O39" s="52"/>
      <c r="P39" s="52"/>
      <c r="U39" s="34"/>
      <c r="V39" s="34"/>
      <c r="W39" s="34"/>
      <c r="Z39" s="34"/>
    </row>
    <row r="40" spans="1:26" ht="13" x14ac:dyDescent="0.3">
      <c r="A40" s="185">
        <v>9257031</v>
      </c>
      <c r="B40" s="918" t="s">
        <v>422</v>
      </c>
      <c r="C40" s="861" t="s">
        <v>764</v>
      </c>
      <c r="D40" s="94">
        <v>332500</v>
      </c>
      <c r="E40" s="94">
        <v>80000</v>
      </c>
      <c r="F40" s="1487">
        <f>D9+E9-D40-E40</f>
        <v>32500</v>
      </c>
      <c r="G40" s="1415"/>
      <c r="H40" s="333">
        <v>877607.54304729425</v>
      </c>
      <c r="I40" s="333">
        <v>205310.41666666669</v>
      </c>
      <c r="J40" s="94"/>
      <c r="K40" s="1415"/>
      <c r="L40" s="333"/>
      <c r="M40" s="751">
        <v>77.916666666666671</v>
      </c>
      <c r="N40" s="52"/>
      <c r="O40" s="52"/>
      <c r="P40" s="52"/>
      <c r="U40" s="34"/>
      <c r="V40" s="34"/>
      <c r="W40" s="34"/>
      <c r="Z40" s="34"/>
    </row>
    <row r="41" spans="1:26" ht="13" x14ac:dyDescent="0.3">
      <c r="A41" s="185">
        <v>9257029</v>
      </c>
      <c r="B41" s="918" t="s">
        <v>848</v>
      </c>
      <c r="C41" s="1014" t="s">
        <v>764</v>
      </c>
      <c r="D41" s="94">
        <v>332500</v>
      </c>
      <c r="E41" s="94">
        <v>80000</v>
      </c>
      <c r="F41" s="1487">
        <f>D15+E15-D41-E41</f>
        <v>22500</v>
      </c>
      <c r="G41" s="1415"/>
      <c r="H41" s="333">
        <v>779052.6852719296</v>
      </c>
      <c r="I41" s="333">
        <v>182254.16666666669</v>
      </c>
      <c r="J41" s="94"/>
      <c r="K41" s="1415"/>
      <c r="L41" s="333"/>
      <c r="M41" s="751">
        <v>69.166666666666671</v>
      </c>
    </row>
    <row r="42" spans="1:26" ht="13" x14ac:dyDescent="0.3">
      <c r="A42" s="185">
        <v>9257032</v>
      </c>
      <c r="B42" s="918" t="s">
        <v>770</v>
      </c>
      <c r="C42" s="861" t="s">
        <v>764</v>
      </c>
      <c r="D42" s="94">
        <v>332500</v>
      </c>
      <c r="E42" s="94">
        <v>80000</v>
      </c>
      <c r="F42" s="1487">
        <f>D16+E16-D42-E42</f>
        <v>22500</v>
      </c>
      <c r="G42" s="1415"/>
      <c r="H42" s="333">
        <v>871975.83688870189</v>
      </c>
      <c r="I42" s="333">
        <v>203992.91666666669</v>
      </c>
      <c r="J42" s="94"/>
      <c r="K42" s="1415"/>
      <c r="L42" s="333"/>
      <c r="M42" s="751">
        <v>77.416666666666671</v>
      </c>
    </row>
    <row r="43" spans="1:26" ht="13" x14ac:dyDescent="0.3">
      <c r="A43" s="185">
        <v>9257030</v>
      </c>
      <c r="B43" s="918" t="s">
        <v>771</v>
      </c>
      <c r="C43" s="861" t="s">
        <v>764</v>
      </c>
      <c r="D43" s="94">
        <v>332500</v>
      </c>
      <c r="E43" s="94">
        <v>80000</v>
      </c>
      <c r="F43" s="1487">
        <f>D17+E17-D43-E43</f>
        <v>22500</v>
      </c>
      <c r="G43" s="1415"/>
      <c r="H43" s="333">
        <v>840062.83532334573</v>
      </c>
      <c r="I43" s="333">
        <v>196527.08333333337</v>
      </c>
      <c r="J43" s="94"/>
      <c r="K43" s="1415"/>
      <c r="L43" s="333"/>
      <c r="M43" s="751">
        <v>74.583333333333343</v>
      </c>
    </row>
    <row r="44" spans="1:26" ht="13" x14ac:dyDescent="0.3">
      <c r="A44" s="185"/>
      <c r="B44" s="918"/>
      <c r="C44" s="131"/>
      <c r="D44" s="94"/>
      <c r="E44" s="94"/>
      <c r="F44" s="1487"/>
      <c r="G44" s="1415"/>
      <c r="H44" s="333"/>
      <c r="I44" s="333"/>
      <c r="J44" s="94"/>
      <c r="K44" s="1415"/>
      <c r="L44" s="333"/>
      <c r="M44" s="751"/>
    </row>
    <row r="45" spans="1:26" x14ac:dyDescent="0.25">
      <c r="A45" s="185">
        <v>9257033</v>
      </c>
      <c r="B45" s="915" t="s">
        <v>768</v>
      </c>
      <c r="C45" s="1014" t="s">
        <v>750</v>
      </c>
      <c r="D45" s="94">
        <v>340000</v>
      </c>
      <c r="E45" s="94">
        <v>105000</v>
      </c>
      <c r="F45" s="1487">
        <f>D10+E10-D45-E45</f>
        <v>25000</v>
      </c>
      <c r="G45" s="1415"/>
      <c r="H45" s="333">
        <v>866078.96842602338</v>
      </c>
      <c r="I45" s="333">
        <v>31841.894736842107</v>
      </c>
      <c r="J45" s="94"/>
      <c r="K45" s="1415"/>
      <c r="L45" s="333"/>
      <c r="M45" s="751">
        <v>95.666666666666686</v>
      </c>
    </row>
    <row r="46" spans="1:26" x14ac:dyDescent="0.25">
      <c r="A46" s="185">
        <v>9257034</v>
      </c>
      <c r="B46" s="915" t="s">
        <v>769</v>
      </c>
      <c r="C46" s="861" t="s">
        <v>756</v>
      </c>
      <c r="D46" s="94">
        <v>362500</v>
      </c>
      <c r="E46" s="94">
        <v>110000</v>
      </c>
      <c r="F46" s="1487">
        <f>D12+E12-D46-E46</f>
        <v>32500</v>
      </c>
      <c r="G46" s="1415"/>
      <c r="H46" s="333">
        <v>1033481.2215414048</v>
      </c>
      <c r="I46" s="333">
        <v>51130.684250764534</v>
      </c>
      <c r="J46" s="94"/>
      <c r="K46" s="1415"/>
      <c r="L46" s="333"/>
      <c r="M46" s="751">
        <v>124.41666666666666</v>
      </c>
    </row>
    <row r="48" spans="1:26" x14ac:dyDescent="0.25">
      <c r="D48" s="42">
        <f>SUM(D27:D46)</f>
        <v>6540000</v>
      </c>
      <c r="E48" s="42">
        <f>SUM(E27:E46)</f>
        <v>1890000</v>
      </c>
    </row>
    <row r="50" spans="2:8" x14ac:dyDescent="0.25">
      <c r="C50" s="1502" t="s">
        <v>953</v>
      </c>
      <c r="D50" s="42">
        <f>D23-D48</f>
        <v>547500</v>
      </c>
      <c r="E50" s="42">
        <f>E23-E48</f>
        <v>115000</v>
      </c>
    </row>
    <row r="51" spans="2:8" x14ac:dyDescent="0.25">
      <c r="H51" s="625" t="s">
        <v>1214</v>
      </c>
    </row>
    <row r="53" spans="2:8" x14ac:dyDescent="0.25">
      <c r="B53" s="34">
        <v>600000</v>
      </c>
      <c r="C53" s="34" t="s">
        <v>749</v>
      </c>
    </row>
    <row r="54" spans="2:8" x14ac:dyDescent="0.25">
      <c r="B54" s="34">
        <v>700000</v>
      </c>
      <c r="C54" s="34" t="s">
        <v>755</v>
      </c>
      <c r="E54" s="1052" t="s">
        <v>67</v>
      </c>
    </row>
    <row r="55" spans="2:8" x14ac:dyDescent="0.25">
      <c r="B55" s="34">
        <v>950000</v>
      </c>
      <c r="C55" s="34" t="s">
        <v>750</v>
      </c>
      <c r="E55" s="1052" t="s">
        <v>68</v>
      </c>
    </row>
    <row r="56" spans="2:8" x14ac:dyDescent="0.25">
      <c r="B56" s="34">
        <v>1100000</v>
      </c>
      <c r="C56" s="34" t="s">
        <v>756</v>
      </c>
      <c r="E56" s="1052" t="s">
        <v>69</v>
      </c>
    </row>
    <row r="57" spans="2:8" x14ac:dyDescent="0.25">
      <c r="B57" s="34">
        <v>1400000</v>
      </c>
      <c r="C57" s="34" t="s">
        <v>751</v>
      </c>
      <c r="E57" s="1052" t="s">
        <v>70</v>
      </c>
    </row>
    <row r="58" spans="2:8" x14ac:dyDescent="0.25">
      <c r="B58" s="34">
        <v>1600000</v>
      </c>
      <c r="C58" s="34" t="s">
        <v>758</v>
      </c>
      <c r="E58" s="1052" t="s">
        <v>71</v>
      </c>
    </row>
    <row r="59" spans="2:8" x14ac:dyDescent="0.25">
      <c r="B59" s="34">
        <v>1950000</v>
      </c>
      <c r="C59" s="34" t="s">
        <v>752</v>
      </c>
      <c r="E59" s="1052" t="s">
        <v>98</v>
      </c>
    </row>
    <row r="60" spans="2:8" x14ac:dyDescent="0.25">
      <c r="B60" s="34">
        <v>2200000</v>
      </c>
      <c r="C60" s="34" t="s">
        <v>759</v>
      </c>
      <c r="E60" s="1052" t="s">
        <v>72</v>
      </c>
    </row>
    <row r="61" spans="2:8" x14ac:dyDescent="0.25">
      <c r="B61" s="34">
        <v>2600000</v>
      </c>
      <c r="C61" s="34" t="s">
        <v>753</v>
      </c>
      <c r="E61" s="1052" t="s">
        <v>73</v>
      </c>
    </row>
    <row r="62" spans="2:8" x14ac:dyDescent="0.25">
      <c r="B62" s="34">
        <v>2900000</v>
      </c>
      <c r="C62" s="34" t="s">
        <v>757</v>
      </c>
      <c r="E62" s="1052" t="s">
        <v>74</v>
      </c>
    </row>
    <row r="63" spans="2:8" x14ac:dyDescent="0.25">
      <c r="B63" s="34">
        <v>3350000</v>
      </c>
      <c r="C63" s="34" t="s">
        <v>754</v>
      </c>
      <c r="E63" s="1052" t="s">
        <v>75</v>
      </c>
    </row>
    <row r="64" spans="2:8" x14ac:dyDescent="0.25">
      <c r="E64" s="1052" t="s">
        <v>76</v>
      </c>
    </row>
    <row r="65" spans="5:5" x14ac:dyDescent="0.25">
      <c r="E65" s="1052" t="s">
        <v>848</v>
      </c>
    </row>
    <row r="66" spans="5:5" x14ac:dyDescent="0.25">
      <c r="E66" s="1052" t="s">
        <v>934</v>
      </c>
    </row>
    <row r="67" spans="5:5" x14ac:dyDescent="0.25">
      <c r="E67" s="1052" t="s">
        <v>933</v>
      </c>
    </row>
    <row r="68" spans="5:5" x14ac:dyDescent="0.25">
      <c r="E68" s="1052" t="s">
        <v>77</v>
      </c>
    </row>
    <row r="69" spans="5:5" x14ac:dyDescent="0.25">
      <c r="E69" s="1052" t="s">
        <v>78</v>
      </c>
    </row>
    <row r="70" spans="5:5" x14ac:dyDescent="0.25">
      <c r="E70" s="1052" t="s">
        <v>55</v>
      </c>
    </row>
    <row r="71" spans="5:5" x14ac:dyDescent="0.25">
      <c r="E71" s="1052" t="s">
        <v>80</v>
      </c>
    </row>
  </sheetData>
  <pageMargins left="0.7" right="0.7" top="0.75" bottom="0.75" header="0.3" footer="0.3"/>
  <pageSetup paperSize="9" orientation="portrait" r:id="rId1"/>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B133"/>
  <sheetViews>
    <sheetView topLeftCell="A64" workbookViewId="0">
      <selection activeCell="G100" sqref="G100"/>
    </sheetView>
  </sheetViews>
  <sheetFormatPr defaultColWidth="10.26953125" defaultRowHeight="12.5" x14ac:dyDescent="0.25"/>
  <cols>
    <col min="1" max="1" width="9.1796875" style="34" customWidth="1"/>
    <col min="2" max="2" width="26.7265625" style="34" customWidth="1"/>
    <col min="3" max="3" width="7.26953125" style="34" bestFit="1" customWidth="1"/>
    <col min="4" max="4" width="12.1796875" style="34" bestFit="1" customWidth="1"/>
    <col min="5" max="5" width="16.453125" style="34" customWidth="1"/>
    <col min="6" max="6" width="12.7265625" style="34" customWidth="1"/>
    <col min="7" max="7" width="14.54296875" style="34" customWidth="1"/>
    <col min="8" max="8" width="13.26953125" style="34" customWidth="1"/>
    <col min="9" max="9" width="13" style="1052" customWidth="1"/>
    <col min="10" max="10" width="12.81640625" style="1052" customWidth="1"/>
    <col min="11" max="11" width="12.26953125" style="34" customWidth="1"/>
    <col min="12" max="12" width="11.1796875" style="34" customWidth="1"/>
    <col min="13" max="13" width="13.26953125" style="34" customWidth="1"/>
    <col min="14" max="14" width="11.453125" style="34" customWidth="1"/>
    <col min="15" max="15" width="12.81640625" style="34" customWidth="1"/>
    <col min="16" max="16" width="12.453125" style="34" customWidth="1"/>
    <col min="17" max="17" width="12.453125" style="34" bestFit="1" customWidth="1"/>
    <col min="18" max="18" width="11.54296875" style="34" customWidth="1"/>
    <col min="19" max="19" width="12.453125" style="347" customWidth="1"/>
    <col min="20" max="20" width="12.26953125" style="34" customWidth="1"/>
    <col min="21" max="22" width="11.26953125" style="34" customWidth="1"/>
    <col min="23" max="23" width="10.26953125" style="34" customWidth="1"/>
    <col min="24" max="24" width="11.1796875" style="34" bestFit="1" customWidth="1"/>
    <col min="25" max="25" width="11.1796875" style="34" customWidth="1"/>
    <col min="26" max="26" width="12.81640625" style="34" customWidth="1"/>
    <col min="27" max="27" width="11" style="34" customWidth="1"/>
    <col min="28" max="28" width="12.7265625" style="34" customWidth="1"/>
    <col min="29" max="29" width="13.1796875" style="34" customWidth="1"/>
    <col min="30" max="30" width="12.1796875" style="34" customWidth="1"/>
    <col min="31" max="31" width="11" style="34" customWidth="1"/>
    <col min="32" max="32" width="10.54296875" style="34" bestFit="1" customWidth="1"/>
    <col min="33" max="33" width="12.453125" style="34" customWidth="1"/>
    <col min="34" max="34" width="10.26953125" style="34" customWidth="1"/>
    <col min="35" max="35" width="28.54296875" style="34" bestFit="1" customWidth="1"/>
    <col min="36" max="36" width="11.1796875" style="34" customWidth="1"/>
    <col min="37" max="37" width="3.453125" style="34" customWidth="1"/>
    <col min="38" max="38" width="10" style="34" customWidth="1"/>
    <col min="39" max="39" width="9.7265625" style="34" customWidth="1"/>
    <col min="40" max="40" width="10.54296875" style="34" bestFit="1" customWidth="1"/>
    <col min="41" max="41" width="10.26953125" style="34" customWidth="1"/>
    <col min="42" max="42" width="15" style="34" customWidth="1"/>
    <col min="43" max="43" width="14.1796875" style="34" customWidth="1"/>
    <col min="44" max="47" width="10.26953125" style="34"/>
    <col min="48" max="48" width="14.7265625" style="1052" customWidth="1"/>
    <col min="49" max="49" width="13.26953125" style="1052" customWidth="1"/>
    <col min="50" max="51" width="10.26953125" style="34"/>
    <col min="52" max="52" width="19" style="1052" bestFit="1" customWidth="1"/>
    <col min="53" max="53" width="16.81640625" style="1052" customWidth="1"/>
    <col min="54" max="54" width="10.26953125" style="1052"/>
    <col min="55" max="16384" width="10.26953125" style="34"/>
  </cols>
  <sheetData>
    <row r="1" spans="1:54" x14ac:dyDescent="0.25">
      <c r="A1" s="63" t="s">
        <v>97</v>
      </c>
      <c r="C1" s="33"/>
      <c r="S1" s="976"/>
      <c r="T1" s="810"/>
      <c r="U1" s="810"/>
      <c r="V1" s="810"/>
      <c r="W1" s="810"/>
      <c r="AV1" s="34"/>
      <c r="AW1" s="34"/>
      <c r="AZ1" s="34"/>
      <c r="BA1" s="34"/>
      <c r="BB1" s="34"/>
    </row>
    <row r="2" spans="1:54" ht="13" x14ac:dyDescent="0.3">
      <c r="A2" s="63"/>
      <c r="C2" s="33"/>
      <c r="E2" s="332" t="s">
        <v>920</v>
      </c>
      <c r="S2" s="976"/>
      <c r="T2" s="810"/>
      <c r="U2" s="810"/>
      <c r="V2" s="810"/>
      <c r="W2" s="810"/>
      <c r="AV2" s="34"/>
      <c r="AW2" s="34"/>
      <c r="AZ2" s="34"/>
      <c r="BA2" s="34"/>
      <c r="BB2" s="34"/>
    </row>
    <row r="3" spans="1:54" ht="13" x14ac:dyDescent="0.3">
      <c r="A3" s="230" t="s">
        <v>929</v>
      </c>
      <c r="C3" s="47"/>
      <c r="K3" s="231" t="s">
        <v>853</v>
      </c>
      <c r="S3" s="976"/>
      <c r="T3" s="810"/>
      <c r="U3" s="810"/>
      <c r="V3" s="810"/>
      <c r="W3" s="810"/>
      <c r="AV3" s="34"/>
      <c r="AW3" s="34"/>
      <c r="AZ3" s="34"/>
      <c r="BA3" s="34"/>
      <c r="BB3" s="34"/>
    </row>
    <row r="4" spans="1:54" x14ac:dyDescent="0.25">
      <c r="B4" s="35"/>
      <c r="C4" s="35"/>
      <c r="O4" s="1893" t="s">
        <v>332</v>
      </c>
      <c r="P4" s="1894"/>
      <c r="R4" s="976"/>
      <c r="S4" s="810"/>
      <c r="T4" s="810"/>
      <c r="U4" s="810"/>
      <c r="V4" s="810"/>
      <c r="AV4" s="34"/>
      <c r="AW4" s="34"/>
      <c r="AZ4" s="34"/>
      <c r="BA4" s="34"/>
      <c r="BB4" s="34"/>
    </row>
    <row r="5" spans="1:54" ht="37.5" x14ac:dyDescent="0.25">
      <c r="A5" s="183" t="s">
        <v>201</v>
      </c>
      <c r="B5" s="36" t="s">
        <v>66</v>
      </c>
      <c r="C5" s="1054" t="s">
        <v>51</v>
      </c>
      <c r="D5" s="1056" t="s">
        <v>858</v>
      </c>
      <c r="E5" s="1056" t="s">
        <v>859</v>
      </c>
      <c r="F5" s="1056" t="s">
        <v>860</v>
      </c>
      <c r="G5" s="1056" t="s">
        <v>861</v>
      </c>
      <c r="H5" s="1056" t="s">
        <v>862</v>
      </c>
      <c r="I5" s="1056" t="s">
        <v>863</v>
      </c>
      <c r="J5" s="1056" t="s">
        <v>864</v>
      </c>
      <c r="K5" s="1058" t="s">
        <v>253</v>
      </c>
      <c r="L5" s="1058" t="s">
        <v>336</v>
      </c>
      <c r="M5" s="1058" t="s">
        <v>386</v>
      </c>
      <c r="N5" s="1058" t="s">
        <v>387</v>
      </c>
      <c r="O5" s="413" t="s">
        <v>337</v>
      </c>
      <c r="P5" s="694" t="s">
        <v>338</v>
      </c>
      <c r="R5" s="977" t="s">
        <v>900</v>
      </c>
      <c r="S5" s="34"/>
      <c r="AV5" s="34"/>
      <c r="AW5" s="34"/>
      <c r="AZ5" s="34"/>
      <c r="BA5" s="34"/>
      <c r="BB5" s="34"/>
    </row>
    <row r="6" spans="1:54" x14ac:dyDescent="0.25">
      <c r="A6" s="185">
        <v>9257010</v>
      </c>
      <c r="B6" s="38" t="s">
        <v>67</v>
      </c>
      <c r="C6" s="781">
        <v>5</v>
      </c>
      <c r="D6" s="812">
        <f>VLOOKUP(A6,'2122 Band Moderations'!$B$5:$S$22,6,(FALSE))</f>
        <v>1.5873015873015872E-2</v>
      </c>
      <c r="E6" s="812">
        <f>VLOOKUP(A6,'2122 Band Moderations'!$B$5:$S$22,8,(FALSE))</f>
        <v>0.31746031746031744</v>
      </c>
      <c r="F6" s="812">
        <f>VLOOKUP(A6,'2122 Band Moderations'!$B$5:$S$22,10,(FALSE))</f>
        <v>9.5238095238095233E-2</v>
      </c>
      <c r="G6" s="812">
        <f>VLOOKUP(A6,'2122 Band Moderations'!$B$5:$S$22,12,(FALSE))</f>
        <v>0.17460317460317459</v>
      </c>
      <c r="H6" s="812">
        <f>VLOOKUP(A6,'2122 Band Moderations'!$B$5:$S$22,14,(FALSE))</f>
        <v>6.3492063492063489E-2</v>
      </c>
      <c r="I6" s="812">
        <f>VLOOKUP(A6,'2122 Band Moderations'!$B$5:$S$22,16,(FALSE))</f>
        <v>0.19047619047619047</v>
      </c>
      <c r="J6" s="812">
        <f>VLOOKUP(A6,'2122 Band Moderations'!$B$5:$S$22,18,(FALSE))</f>
        <v>0.14285714285714285</v>
      </c>
      <c r="K6" s="1012">
        <v>58</v>
      </c>
      <c r="L6" s="813">
        <f t="shared" ref="L6:L23" si="0">((((K6*D6)*$G$92)+((K6*E6)*$G$94)+((K6*F6)*$G$96)+((K6*G6)*$G$98)+((K6*H6)*$G$100)+((K6*I6)*$G$102)+((K6*J6)*$G$104))*(5/12))</f>
        <v>326909.60230054241</v>
      </c>
      <c r="M6" s="813">
        <f>((K6*F6)*$G$106)*(5/12)</f>
        <v>6064.6825396825398</v>
      </c>
      <c r="N6" s="813">
        <f t="shared" ref="N6:N23" si="1">SUM(L6:M6)</f>
        <v>332974.28484022495</v>
      </c>
      <c r="O6" s="724">
        <f>(K6*(5/12))*10000</f>
        <v>241666.66666666669</v>
      </c>
      <c r="P6" s="724">
        <f>(VLOOKUP(A6,'2122 Funding Detail'!$A$4:$Y$21,23,FALSE)*5/12)*K6</f>
        <v>248372.98240358874</v>
      </c>
      <c r="Q6" s="42"/>
      <c r="R6" s="42">
        <f>(J6*K6*$G$104)*5/12</f>
        <v>78977.317568621322</v>
      </c>
      <c r="S6" s="168"/>
      <c r="T6" s="623"/>
      <c r="W6" s="42"/>
      <c r="AV6" s="34"/>
      <c r="AW6" s="34"/>
      <c r="AZ6" s="34"/>
      <c r="BA6" s="34"/>
      <c r="BB6" s="34"/>
    </row>
    <row r="7" spans="1:54" ht="12.75" customHeight="1" x14ac:dyDescent="0.25">
      <c r="A7" s="185">
        <v>9257005</v>
      </c>
      <c r="B7" s="38" t="s">
        <v>68</v>
      </c>
      <c r="C7" s="781">
        <v>4</v>
      </c>
      <c r="D7" s="812">
        <f>VLOOKUP(A7,'2122 Band Moderations'!$B$5:$S$22,6,(FALSE))</f>
        <v>0.05</v>
      </c>
      <c r="E7" s="812">
        <f>VLOOKUP(A7,'2122 Band Moderations'!$B$5:$S$22,8,(FALSE))</f>
        <v>0.4</v>
      </c>
      <c r="F7" s="812">
        <f>VLOOKUP(A7,'2122 Band Moderations'!$B$5:$S$22,10,(FALSE))</f>
        <v>6.25E-2</v>
      </c>
      <c r="G7" s="812">
        <f>VLOOKUP(A7,'2122 Band Moderations'!$B$5:$S$22,12,(FALSE))</f>
        <v>0.15</v>
      </c>
      <c r="H7" s="812">
        <f>VLOOKUP(A7,'2122 Band Moderations'!$B$5:$S$22,14,(FALSE))</f>
        <v>0.125</v>
      </c>
      <c r="I7" s="812">
        <f>VLOOKUP(A7,'2122 Band Moderations'!$B$5:$S$22,16,(FALSE))</f>
        <v>0.15</v>
      </c>
      <c r="J7" s="812">
        <f>VLOOKUP(A7,'2122 Band Moderations'!$B$5:$S$22,18,(FALSE))</f>
        <v>6.25E-2</v>
      </c>
      <c r="K7" s="1012">
        <v>53</v>
      </c>
      <c r="L7" s="813">
        <f t="shared" si="0"/>
        <v>265639.03958644101</v>
      </c>
      <c r="M7" s="813">
        <f t="shared" ref="M7:M23" si="2">((K7*F7)*$G$106)*(5/12)</f>
        <v>3636.8489583333335</v>
      </c>
      <c r="N7" s="813">
        <f t="shared" si="1"/>
        <v>269275.88854477432</v>
      </c>
      <c r="O7" s="724">
        <f t="shared" ref="O7:O23" si="3">(K7*(5/12))*10000</f>
        <v>220833.33333333334</v>
      </c>
      <c r="P7" s="724">
        <f>(VLOOKUP(A7,'2122 Funding Detail'!$A$4:$Y$21,23,FALSE)*5/12)*K7</f>
        <v>176149.16122349148</v>
      </c>
      <c r="Q7" s="42"/>
      <c r="R7" s="42">
        <f t="shared" ref="R7:R23" si="4">(J7*K7*$G$104)*5/12</f>
        <v>31573.906053834609</v>
      </c>
      <c r="S7" s="978"/>
      <c r="T7" s="624"/>
      <c r="U7" s="33"/>
      <c r="V7" s="33"/>
      <c r="W7" s="42"/>
      <c r="X7" s="1056"/>
      <c r="AV7" s="34"/>
      <c r="AW7" s="34"/>
      <c r="AZ7" s="34"/>
      <c r="BA7" s="34"/>
      <c r="BB7" s="34"/>
    </row>
    <row r="8" spans="1:54" ht="12.75" customHeight="1" x14ac:dyDescent="0.25">
      <c r="A8" s="185">
        <v>9257025</v>
      </c>
      <c r="B8" s="38" t="s">
        <v>69</v>
      </c>
      <c r="C8" s="781">
        <v>4</v>
      </c>
      <c r="D8" s="812">
        <f>VLOOKUP(A8,'2122 Band Moderations'!$B$5:$S$22,6,(FALSE))</f>
        <v>0.15584415584415584</v>
      </c>
      <c r="E8" s="812">
        <f>VLOOKUP(A8,'2122 Band Moderations'!$B$5:$S$22,8,(FALSE))</f>
        <v>0.40259740259740262</v>
      </c>
      <c r="F8" s="812">
        <f>VLOOKUP(A8,'2122 Band Moderations'!$B$5:$S$22,10,(FALSE))</f>
        <v>3.896103896103896E-2</v>
      </c>
      <c r="G8" s="812">
        <f>VLOOKUP(A8,'2122 Band Moderations'!$B$5:$S$22,12,(FALSE))</f>
        <v>0.15584415584415584</v>
      </c>
      <c r="H8" s="812">
        <f>VLOOKUP(A8,'2122 Band Moderations'!$B$5:$S$22,14,(FALSE))</f>
        <v>5.1948051948051951E-2</v>
      </c>
      <c r="I8" s="812">
        <f>VLOOKUP(A8,'2122 Band Moderations'!$B$5:$S$22,16,(FALSE))</f>
        <v>0.14285714285714285</v>
      </c>
      <c r="J8" s="812">
        <f>VLOOKUP(A8,'2122 Band Moderations'!$B$5:$S$22,18,(FALSE))</f>
        <v>5.1948051948051951E-2</v>
      </c>
      <c r="K8" s="1012">
        <v>56</v>
      </c>
      <c r="L8" s="813">
        <f t="shared" si="0"/>
        <v>258197.02956478385</v>
      </c>
      <c r="M8" s="813">
        <f t="shared" si="2"/>
        <v>2395.4545454545455</v>
      </c>
      <c r="N8" s="813">
        <f t="shared" si="1"/>
        <v>260592.48411023841</v>
      </c>
      <c r="O8" s="724">
        <f t="shared" si="3"/>
        <v>233333.33333333334</v>
      </c>
      <c r="P8" s="724">
        <f>(VLOOKUP(A8,'2122 Funding Detail'!$A$4:$Y$21,23,FALSE)*5/12)*K8</f>
        <v>177661.40115277734</v>
      </c>
      <c r="Q8" s="42"/>
      <c r="R8" s="42">
        <f t="shared" si="4"/>
        <v>27728.71337832473</v>
      </c>
      <c r="S8" s="978"/>
      <c r="T8" s="808"/>
      <c r="U8" s="808"/>
      <c r="V8" s="808"/>
      <c r="W8" s="808"/>
      <c r="X8" s="808"/>
      <c r="Y8" s="808"/>
      <c r="Z8" s="808"/>
      <c r="AV8" s="34"/>
      <c r="AW8" s="34"/>
      <c r="AZ8" s="34"/>
      <c r="BA8" s="34"/>
      <c r="BB8" s="34"/>
    </row>
    <row r="9" spans="1:54" x14ac:dyDescent="0.25">
      <c r="A9" s="185">
        <v>9257011</v>
      </c>
      <c r="B9" s="38" t="s">
        <v>70</v>
      </c>
      <c r="C9" s="781" t="s">
        <v>1009</v>
      </c>
      <c r="D9" s="812">
        <f>VLOOKUP(A9,'2122 Band Moderations'!$B$5:$S$22,6,(FALSE))</f>
        <v>5.6603773584905662E-2</v>
      </c>
      <c r="E9" s="812">
        <f>VLOOKUP(A9,'2122 Band Moderations'!$B$5:$S$22,8,(FALSE))</f>
        <v>0.35849056603773582</v>
      </c>
      <c r="F9" s="812">
        <f>VLOOKUP(A9,'2122 Band Moderations'!$B$5:$S$22,10,(FALSE))</f>
        <v>1.8867924528301886E-2</v>
      </c>
      <c r="G9" s="812">
        <f>VLOOKUP(A9,'2122 Band Moderations'!$B$5:$S$22,12,(FALSE))</f>
        <v>0.16981132075471697</v>
      </c>
      <c r="H9" s="812">
        <f>VLOOKUP(A9,'2122 Band Moderations'!$B$5:$S$22,14,(FALSE))</f>
        <v>0.13207547169811321</v>
      </c>
      <c r="I9" s="812">
        <f>VLOOKUP(A9,'2122 Band Moderations'!$B$5:$S$22,16,(FALSE))</f>
        <v>0.15094339622641509</v>
      </c>
      <c r="J9" s="812">
        <f>VLOOKUP(A9,'2122 Band Moderations'!$B$5:$S$22,18,(FALSE))</f>
        <v>0.11320754716981132</v>
      </c>
      <c r="K9" s="1012">
        <v>50</v>
      </c>
      <c r="L9" s="813">
        <f t="shared" si="0"/>
        <v>266918.27122850198</v>
      </c>
      <c r="M9" s="813">
        <f t="shared" si="2"/>
        <v>1035.7704402515724</v>
      </c>
      <c r="N9" s="813">
        <f t="shared" si="1"/>
        <v>267954.04166875355</v>
      </c>
      <c r="O9" s="724">
        <f t="shared" si="3"/>
        <v>208333.33333333334</v>
      </c>
      <c r="P9" s="724">
        <f>(VLOOKUP(A9,'2122 Funding Detail'!$A$4:$Y$21,23,FALSE)*5/12)*K9</f>
        <v>220638.09339289152</v>
      </c>
      <c r="Q9" s="42"/>
      <c r="R9" s="42">
        <f t="shared" si="4"/>
        <v>53953.274851693182</v>
      </c>
      <c r="S9" s="978"/>
      <c r="T9" s="808"/>
      <c r="U9" s="808"/>
      <c r="V9" s="808"/>
      <c r="W9" s="808"/>
      <c r="X9" s="808"/>
      <c r="Y9" s="808"/>
      <c r="Z9" s="808"/>
      <c r="AV9" s="34"/>
      <c r="AW9" s="34"/>
      <c r="AZ9" s="34"/>
      <c r="BA9" s="34"/>
      <c r="BB9" s="34"/>
    </row>
    <row r="10" spans="1:54" x14ac:dyDescent="0.25">
      <c r="A10" s="185">
        <v>9257024</v>
      </c>
      <c r="B10" s="38" t="s">
        <v>71</v>
      </c>
      <c r="C10" s="781">
        <v>4</v>
      </c>
      <c r="D10" s="812">
        <f>VLOOKUP(A10,'2122 Band Moderations'!$B$5:$S$22,6,(FALSE))</f>
        <v>8.4337349397590355E-2</v>
      </c>
      <c r="E10" s="812">
        <f>VLOOKUP(A10,'2122 Band Moderations'!$B$5:$S$22,8,(FALSE))</f>
        <v>0.45783132530120479</v>
      </c>
      <c r="F10" s="812">
        <f>VLOOKUP(A10,'2122 Band Moderations'!$B$5:$S$22,10,(FALSE))</f>
        <v>1.2048192771084338E-2</v>
      </c>
      <c r="G10" s="812">
        <f>VLOOKUP(A10,'2122 Band Moderations'!$B$5:$S$22,12,(FALSE))</f>
        <v>0.18072289156626506</v>
      </c>
      <c r="H10" s="812">
        <f>VLOOKUP(A10,'2122 Band Moderations'!$B$5:$S$22,14,(FALSE))</f>
        <v>8.4337349397590355E-2</v>
      </c>
      <c r="I10" s="812">
        <f>VLOOKUP(A10,'2122 Band Moderations'!$B$5:$S$22,16,(FALSE))</f>
        <v>7.2289156626506021E-2</v>
      </c>
      <c r="J10" s="812">
        <f>VLOOKUP(A10,'2122 Band Moderations'!$B$5:$S$22,18,(FALSE))</f>
        <v>0.10843373493975904</v>
      </c>
      <c r="K10" s="1012">
        <v>70</v>
      </c>
      <c r="L10" s="813">
        <f t="shared" si="0"/>
        <v>341858.48517962609</v>
      </c>
      <c r="M10" s="813">
        <f t="shared" si="2"/>
        <v>925.95381526104427</v>
      </c>
      <c r="N10" s="813">
        <f t="shared" si="1"/>
        <v>342784.43899488711</v>
      </c>
      <c r="O10" s="724">
        <f t="shared" si="3"/>
        <v>291666.66666666669</v>
      </c>
      <c r="P10" s="724">
        <f>(VLOOKUP(A10,'2122 Funding Detail'!$A$4:$Y$21,23,FALSE)*5/12)*K10</f>
        <v>225362.6824277479</v>
      </c>
      <c r="Q10" s="42"/>
      <c r="R10" s="42">
        <f t="shared" si="4"/>
        <v>72349.391457752412</v>
      </c>
      <c r="S10" s="978"/>
      <c r="T10" s="808"/>
      <c r="U10" s="808"/>
      <c r="V10" s="808"/>
      <c r="W10" s="808"/>
      <c r="X10" s="808"/>
      <c r="Y10" s="808"/>
      <c r="Z10" s="808"/>
      <c r="AV10" s="34"/>
      <c r="AW10" s="34"/>
      <c r="AZ10" s="34"/>
      <c r="BA10" s="34"/>
      <c r="BB10" s="34"/>
    </row>
    <row r="11" spans="1:54" ht="12.75" customHeight="1" x14ac:dyDescent="0.25">
      <c r="A11" s="185">
        <v>9257031</v>
      </c>
      <c r="B11" s="38" t="s">
        <v>98</v>
      </c>
      <c r="C11" s="781">
        <v>5</v>
      </c>
      <c r="D11" s="812">
        <f>VLOOKUP(A11,'2122 Band Moderations'!$B$5:$S$22,6,(FALSE))</f>
        <v>0</v>
      </c>
      <c r="E11" s="812">
        <f>VLOOKUP(A11,'2122 Band Moderations'!$B$5:$S$22,8,(FALSE))</f>
        <v>0</v>
      </c>
      <c r="F11" s="812">
        <f>VLOOKUP(A11,'2122 Band Moderations'!$B$5:$S$22,10,(FALSE))</f>
        <v>1</v>
      </c>
      <c r="G11" s="812">
        <f>VLOOKUP(A11,'2122 Band Moderations'!$B$5:$S$22,12,(FALSE))</f>
        <v>0</v>
      </c>
      <c r="H11" s="812">
        <f>VLOOKUP(A11,'2122 Band Moderations'!$B$5:$S$22,14,(FALSE))</f>
        <v>0</v>
      </c>
      <c r="I11" s="812">
        <f>VLOOKUP(A11,'2122 Band Moderations'!$B$5:$S$22,16,(FALSE))</f>
        <v>0</v>
      </c>
      <c r="J11" s="812">
        <f>VLOOKUP(A11,'2122 Band Moderations'!$B$5:$S$22,18,(FALSE))</f>
        <v>0</v>
      </c>
      <c r="K11" s="1012">
        <v>80</v>
      </c>
      <c r="L11" s="813">
        <f t="shared" si="0"/>
        <v>401972.05167783931</v>
      </c>
      <c r="M11" s="813">
        <f t="shared" si="2"/>
        <v>87833.333333333343</v>
      </c>
      <c r="N11" s="813">
        <f t="shared" si="1"/>
        <v>489805.38501117262</v>
      </c>
      <c r="O11" s="724">
        <f t="shared" si="3"/>
        <v>333333.33333333337</v>
      </c>
      <c r="P11" s="724">
        <f>(VLOOKUP(A11,'2122 Funding Detail'!$A$4:$Y$21,23,FALSE)*5/12)*K11</f>
        <v>356635.72779247916</v>
      </c>
      <c r="Q11" s="42"/>
      <c r="R11" s="42">
        <f t="shared" si="4"/>
        <v>0</v>
      </c>
      <c r="S11" s="978"/>
      <c r="T11" s="808"/>
      <c r="U11" s="808"/>
      <c r="V11" s="808"/>
      <c r="W11" s="808"/>
      <c r="X11" s="808"/>
      <c r="Y11" s="808"/>
      <c r="Z11" s="808"/>
      <c r="AV11" s="34"/>
      <c r="AW11" s="34"/>
      <c r="AZ11" s="34"/>
      <c r="BA11" s="34"/>
      <c r="BB11" s="34"/>
    </row>
    <row r="12" spans="1:54" x14ac:dyDescent="0.25">
      <c r="A12" s="185">
        <v>9257033</v>
      </c>
      <c r="B12" s="38" t="s">
        <v>72</v>
      </c>
      <c r="C12" s="781" t="s">
        <v>946</v>
      </c>
      <c r="D12" s="812">
        <f>VLOOKUP(A12,'2122 Band Moderations'!$B$5:$S$22,6,(FALSE))</f>
        <v>0.16842105263157894</v>
      </c>
      <c r="E12" s="812">
        <f>VLOOKUP(A12,'2122 Band Moderations'!$B$5:$S$22,8,(FALSE))</f>
        <v>0.5368421052631579</v>
      </c>
      <c r="F12" s="812">
        <f>VLOOKUP(A12,'2122 Band Moderations'!$B$5:$S$22,10,(FALSE))</f>
        <v>6.3157894736842107E-2</v>
      </c>
      <c r="G12" s="812">
        <f>VLOOKUP(A12,'2122 Band Moderations'!$B$5:$S$22,12,(FALSE))</f>
        <v>0.14736842105263157</v>
      </c>
      <c r="H12" s="812">
        <f>VLOOKUP(A12,'2122 Band Moderations'!$B$5:$S$22,14,(FALSE))</f>
        <v>4.2105263157894736E-2</v>
      </c>
      <c r="I12" s="812">
        <f>VLOOKUP(A12,'2122 Band Moderations'!$B$5:$S$22,16,(FALSE))</f>
        <v>4.2105263157894736E-2</v>
      </c>
      <c r="J12" s="812">
        <f>VLOOKUP(A12,'2122 Band Moderations'!$B$5:$S$22,18,(FALSE))</f>
        <v>0</v>
      </c>
      <c r="K12" s="1012">
        <v>99</v>
      </c>
      <c r="L12" s="813">
        <f t="shared" si="0"/>
        <v>385989.25868627999</v>
      </c>
      <c r="M12" s="813">
        <f t="shared" si="2"/>
        <v>6864.8684210526326</v>
      </c>
      <c r="N12" s="813">
        <f t="shared" si="1"/>
        <v>392854.12710733264</v>
      </c>
      <c r="O12" s="724">
        <f t="shared" si="3"/>
        <v>412500</v>
      </c>
      <c r="P12" s="724">
        <f>(VLOOKUP(A12,'2122 Funding Detail'!$A$4:$Y$21,23,FALSE)*5/12)*K12</f>
        <v>186566.53756457215</v>
      </c>
      <c r="Q12" s="42"/>
      <c r="R12" s="42">
        <f t="shared" si="4"/>
        <v>0</v>
      </c>
      <c r="S12" s="978"/>
      <c r="T12" s="808"/>
      <c r="U12" s="808"/>
      <c r="V12" s="808"/>
      <c r="W12" s="808"/>
      <c r="X12" s="808"/>
      <c r="Y12" s="808"/>
      <c r="Z12" s="808"/>
      <c r="AV12" s="34"/>
      <c r="AW12" s="34"/>
      <c r="AZ12" s="34"/>
      <c r="BA12" s="34"/>
      <c r="BB12" s="34"/>
    </row>
    <row r="13" spans="1:54" x14ac:dyDescent="0.25">
      <c r="A13" s="185">
        <v>9257008</v>
      </c>
      <c r="B13" s="38" t="s">
        <v>73</v>
      </c>
      <c r="C13" s="781">
        <v>4</v>
      </c>
      <c r="D13" s="812">
        <f>VLOOKUP(A13,'2122 Band Moderations'!$B$5:$S$22,6,(FALSE))</f>
        <v>0.10101010101010101</v>
      </c>
      <c r="E13" s="812">
        <f>VLOOKUP(A13,'2122 Band Moderations'!$B$5:$S$22,8,(FALSE))</f>
        <v>0.58585858585858586</v>
      </c>
      <c r="F13" s="812">
        <f>VLOOKUP(A13,'2122 Band Moderations'!$B$5:$S$22,10,(FALSE))</f>
        <v>8.0808080808080815E-2</v>
      </c>
      <c r="G13" s="812">
        <f>VLOOKUP(A13,'2122 Band Moderations'!$B$5:$S$22,12,(FALSE))</f>
        <v>9.0909090909090912E-2</v>
      </c>
      <c r="H13" s="812">
        <f>VLOOKUP(A13,'2122 Band Moderations'!$B$5:$S$22,14,(FALSE))</f>
        <v>1.0101010101010102E-2</v>
      </c>
      <c r="I13" s="812">
        <f>VLOOKUP(A13,'2122 Band Moderations'!$B$5:$S$22,16,(FALSE))</f>
        <v>0.12121212121212122</v>
      </c>
      <c r="J13" s="812">
        <f>VLOOKUP(A13,'2122 Band Moderations'!$B$5:$S$22,18,(FALSE))</f>
        <v>1.0101010101010102E-2</v>
      </c>
      <c r="K13" s="1012">
        <v>98</v>
      </c>
      <c r="L13" s="813">
        <f t="shared" si="0"/>
        <v>395671.877203841</v>
      </c>
      <c r="M13" s="813">
        <f t="shared" si="2"/>
        <v>8694.6127946127945</v>
      </c>
      <c r="N13" s="813">
        <f t="shared" si="1"/>
        <v>404366.48999845376</v>
      </c>
      <c r="O13" s="724">
        <f t="shared" si="3"/>
        <v>408333.33333333337</v>
      </c>
      <c r="P13" s="724">
        <f>(VLOOKUP(A13,'2122 Funding Detail'!$A$4:$Y$21,23,FALSE)*5/12)*K13</f>
        <v>196656.96731600809</v>
      </c>
      <c r="Q13" s="42"/>
      <c r="R13" s="42">
        <f t="shared" si="4"/>
        <v>9435.4649690132774</v>
      </c>
      <c r="S13" s="978"/>
      <c r="T13" s="808"/>
      <c r="U13" s="808"/>
      <c r="V13" s="808"/>
      <c r="W13" s="808"/>
      <c r="X13" s="808"/>
      <c r="Y13" s="808"/>
      <c r="Z13" s="808"/>
      <c r="AV13" s="34"/>
      <c r="AW13" s="34"/>
      <c r="AZ13" s="34"/>
      <c r="BA13" s="34"/>
      <c r="BB13" s="34"/>
    </row>
    <row r="14" spans="1:54" x14ac:dyDescent="0.25">
      <c r="A14" s="185">
        <v>9257034</v>
      </c>
      <c r="B14" s="38" t="s">
        <v>74</v>
      </c>
      <c r="C14" s="781" t="s">
        <v>946</v>
      </c>
      <c r="D14" s="812">
        <f>VLOOKUP(A14,'2122 Band Moderations'!$B$5:$S$22,6,(FALSE))</f>
        <v>0.42424242424242425</v>
      </c>
      <c r="E14" s="812">
        <f>VLOOKUP(A14,'2122 Band Moderations'!$B$5:$S$22,8,(FALSE))</f>
        <v>0.29292929292929293</v>
      </c>
      <c r="F14" s="812">
        <f>VLOOKUP(A14,'2122 Band Moderations'!$B$5:$S$22,10,(FALSE))</f>
        <v>0.14141414141414141</v>
      </c>
      <c r="G14" s="812">
        <f>VLOOKUP(A14,'2122 Band Moderations'!$B$5:$S$22,12,(FALSE))</f>
        <v>3.0303030303030304E-2</v>
      </c>
      <c r="H14" s="812">
        <f>VLOOKUP(A14,'2122 Band Moderations'!$B$5:$S$22,14,(FALSE))</f>
        <v>4.0404040404040407E-2</v>
      </c>
      <c r="I14" s="812">
        <f>VLOOKUP(A14,'2122 Band Moderations'!$B$5:$S$22,16,(FALSE))</f>
        <v>6.0606060606060608E-2</v>
      </c>
      <c r="J14" s="812">
        <f>VLOOKUP(A14,'2122 Band Moderations'!$B$5:$S$22,18,(FALSE))</f>
        <v>1.0101010101010102E-2</v>
      </c>
      <c r="K14" s="1012">
        <v>94</v>
      </c>
      <c r="L14" s="813">
        <f t="shared" si="0"/>
        <v>345886.69406695175</v>
      </c>
      <c r="M14" s="813">
        <f t="shared" si="2"/>
        <v>14594.528619528619</v>
      </c>
      <c r="N14" s="813">
        <f t="shared" si="1"/>
        <v>360481.22268648038</v>
      </c>
      <c r="O14" s="724">
        <f t="shared" si="3"/>
        <v>391666.66666666669</v>
      </c>
      <c r="P14" s="724">
        <f>(VLOOKUP(A14,'2122 Funding Detail'!$A$4:$Y$21,23,FALSE)*5/12)*K14</f>
        <v>152189.04196057047</v>
      </c>
      <c r="Q14" s="42"/>
      <c r="R14" s="42">
        <f t="shared" si="4"/>
        <v>9050.3439498698808</v>
      </c>
      <c r="S14" s="978"/>
      <c r="T14" s="808"/>
      <c r="U14" s="808"/>
      <c r="V14" s="808"/>
      <c r="W14" s="808"/>
      <c r="X14" s="808"/>
      <c r="Y14" s="808"/>
      <c r="Z14" s="808"/>
      <c r="AV14" s="34"/>
      <c r="AW14" s="34"/>
      <c r="AZ14" s="34"/>
      <c r="BA14" s="34"/>
      <c r="BB14" s="34"/>
    </row>
    <row r="15" spans="1:54" x14ac:dyDescent="0.25">
      <c r="A15" s="185">
        <v>9257002</v>
      </c>
      <c r="B15" s="38" t="s">
        <v>75</v>
      </c>
      <c r="C15" s="781">
        <v>5</v>
      </c>
      <c r="D15" s="812">
        <f>VLOOKUP(A15,'2122 Band Moderations'!$B$5:$S$22,6,(FALSE))</f>
        <v>0.3546099290780142</v>
      </c>
      <c r="E15" s="812">
        <f>VLOOKUP(A15,'2122 Band Moderations'!$B$5:$S$22,8,(FALSE))</f>
        <v>0.38297872340425532</v>
      </c>
      <c r="F15" s="812">
        <f>VLOOKUP(A15,'2122 Band Moderations'!$B$5:$S$22,10,(FALSE))</f>
        <v>0.1276595744680851</v>
      </c>
      <c r="G15" s="812">
        <f>VLOOKUP(A15,'2122 Band Moderations'!$B$5:$S$22,12,(FALSE))</f>
        <v>2.8368794326241134E-2</v>
      </c>
      <c r="H15" s="812">
        <f>VLOOKUP(A15,'2122 Band Moderations'!$B$5:$S$22,14,(FALSE))</f>
        <v>2.1276595744680851E-2</v>
      </c>
      <c r="I15" s="812">
        <f>VLOOKUP(A15,'2122 Band Moderations'!$B$5:$S$22,16,(FALSE))</f>
        <v>7.8014184397163122E-2</v>
      </c>
      <c r="J15" s="812">
        <f>VLOOKUP(A15,'2122 Band Moderations'!$B$5:$S$22,18,(FALSE))</f>
        <v>7.0921985815602835E-3</v>
      </c>
      <c r="K15" s="1012">
        <v>150</v>
      </c>
      <c r="L15" s="813">
        <f t="shared" si="0"/>
        <v>549796.39572404581</v>
      </c>
      <c r="M15" s="813">
        <f t="shared" si="2"/>
        <v>21023.936170212764</v>
      </c>
      <c r="N15" s="813">
        <f t="shared" si="1"/>
        <v>570820.33189425862</v>
      </c>
      <c r="O15" s="724">
        <f t="shared" si="3"/>
        <v>625000</v>
      </c>
      <c r="P15" s="724">
        <f>(VLOOKUP(A15,'2122 Funding Detail'!$A$4:$Y$21,23,FALSE)*5/12)*K15</f>
        <v>177773.16808684281</v>
      </c>
      <c r="Q15" s="42"/>
      <c r="R15" s="42">
        <f t="shared" si="4"/>
        <v>10140.154493403326</v>
      </c>
      <c r="S15" s="978"/>
      <c r="T15" s="808"/>
      <c r="U15" s="808"/>
      <c r="V15" s="808"/>
      <c r="W15" s="808"/>
      <c r="X15" s="808"/>
      <c r="Y15" s="808"/>
      <c r="Z15" s="808"/>
      <c r="AV15" s="34"/>
      <c r="AW15" s="34"/>
      <c r="AZ15" s="34"/>
      <c r="BA15" s="34"/>
      <c r="BB15" s="34"/>
    </row>
    <row r="16" spans="1:54" x14ac:dyDescent="0.25">
      <c r="A16" s="185">
        <v>9257009</v>
      </c>
      <c r="B16" s="38" t="s">
        <v>76</v>
      </c>
      <c r="C16" s="781" t="s">
        <v>946</v>
      </c>
      <c r="D16" s="812">
        <f>VLOOKUP(A16,'2122 Band Moderations'!$B$5:$S$22,6,(FALSE))</f>
        <v>0.24</v>
      </c>
      <c r="E16" s="812">
        <f>VLOOKUP(A16,'2122 Band Moderations'!$B$5:$S$22,8,(FALSE))</f>
        <v>0.58399999999999996</v>
      </c>
      <c r="F16" s="812">
        <f>VLOOKUP(A16,'2122 Band Moderations'!$B$5:$S$22,10,(FALSE))</f>
        <v>7.1999999999999995E-2</v>
      </c>
      <c r="G16" s="812">
        <f>VLOOKUP(A16,'2122 Band Moderations'!$B$5:$S$22,12,(FALSE))</f>
        <v>1.6E-2</v>
      </c>
      <c r="H16" s="812">
        <f>VLOOKUP(A16,'2122 Band Moderations'!$B$5:$S$22,14,(FALSE))</f>
        <v>8.0000000000000002E-3</v>
      </c>
      <c r="I16" s="812">
        <f>VLOOKUP(A16,'2122 Band Moderations'!$B$5:$S$22,16,(FALSE))</f>
        <v>0.08</v>
      </c>
      <c r="J16" s="812">
        <f>VLOOKUP(A16,'2122 Band Moderations'!$B$5:$S$22,18,(FALSE))</f>
        <v>0</v>
      </c>
      <c r="K16" s="1012">
        <v>136</v>
      </c>
      <c r="L16" s="813">
        <f t="shared" si="0"/>
        <v>475688.38170002209</v>
      </c>
      <c r="M16" s="813">
        <f t="shared" si="2"/>
        <v>10750.8</v>
      </c>
      <c r="N16" s="813">
        <f t="shared" si="1"/>
        <v>486439.18170002208</v>
      </c>
      <c r="O16" s="724">
        <f t="shared" si="3"/>
        <v>566666.66666666674</v>
      </c>
      <c r="P16" s="724">
        <f>(VLOOKUP(A16,'2122 Funding Detail'!$A$4:$Y$21,23,FALSE)*5/12)*K16</f>
        <v>164418.44698774078</v>
      </c>
      <c r="Q16" s="42"/>
      <c r="R16" s="42">
        <f t="shared" si="4"/>
        <v>0</v>
      </c>
      <c r="S16" s="978"/>
      <c r="T16" s="808"/>
      <c r="U16" s="808"/>
      <c r="V16" s="808"/>
      <c r="W16" s="808"/>
      <c r="X16" s="808"/>
      <c r="Y16" s="808"/>
      <c r="Z16" s="808"/>
      <c r="AV16" s="34"/>
      <c r="AW16" s="34"/>
      <c r="AZ16" s="34"/>
      <c r="BA16" s="34"/>
      <c r="BB16" s="34"/>
    </row>
    <row r="17" spans="1:23" s="34" customFormat="1" x14ac:dyDescent="0.25">
      <c r="A17" s="185">
        <v>9257029</v>
      </c>
      <c r="B17" s="915" t="s">
        <v>848</v>
      </c>
      <c r="C17" s="781" t="s">
        <v>949</v>
      </c>
      <c r="D17" s="812">
        <f>VLOOKUP(A17,'2122 Band Moderations'!$B$5:$S$22,6,(FALSE))</f>
        <v>0</v>
      </c>
      <c r="E17" s="812">
        <f>VLOOKUP(A17,'2122 Band Moderations'!$B$5:$S$22,8,(FALSE))</f>
        <v>0</v>
      </c>
      <c r="F17" s="812">
        <f>VLOOKUP(A17,'2122 Band Moderations'!$B$5:$S$22,10,(FALSE))</f>
        <v>1</v>
      </c>
      <c r="G17" s="812">
        <f>VLOOKUP(A17,'2122 Band Moderations'!$B$5:$S$22,12,(FALSE))</f>
        <v>0</v>
      </c>
      <c r="H17" s="812">
        <f>VLOOKUP(A17,'2122 Band Moderations'!$B$5:$S$22,14,(FALSE))</f>
        <v>0</v>
      </c>
      <c r="I17" s="812">
        <f>VLOOKUP(A17,'2122 Band Moderations'!$B$5:$S$22,16,(FALSE))</f>
        <v>0</v>
      </c>
      <c r="J17" s="812">
        <f>VLOOKUP(A17,'2122 Band Moderations'!$B$5:$S$22,18,(FALSE))</f>
        <v>0</v>
      </c>
      <c r="K17" s="1012">
        <v>70</v>
      </c>
      <c r="L17" s="813">
        <f t="shared" si="0"/>
        <v>351725.54521810939</v>
      </c>
      <c r="M17" s="813">
        <f t="shared" si="2"/>
        <v>76854.166666666672</v>
      </c>
      <c r="N17" s="813">
        <f t="shared" si="1"/>
        <v>428579.71188477607</v>
      </c>
      <c r="O17" s="724">
        <f t="shared" si="3"/>
        <v>291666.66666666669</v>
      </c>
      <c r="P17" s="724">
        <f>(VLOOKUP(A17,'2122 Funding Detail'!$A$4:$Y$21,23,FALSE)*5/12)*K17</f>
        <v>312808.48129063338</v>
      </c>
      <c r="Q17" s="42"/>
      <c r="R17" s="42">
        <f t="shared" si="4"/>
        <v>0</v>
      </c>
      <c r="S17" s="978"/>
      <c r="T17" s="625"/>
      <c r="W17" s="42"/>
    </row>
    <row r="18" spans="1:23" s="34" customFormat="1" x14ac:dyDescent="0.25">
      <c r="A18" s="185">
        <v>9257032</v>
      </c>
      <c r="B18" s="915" t="s">
        <v>934</v>
      </c>
      <c r="C18" s="781" t="s">
        <v>949</v>
      </c>
      <c r="D18" s="812">
        <f>VLOOKUP(A18,'2122 Band Moderations'!$B$5:$S$22,6,(FALSE))</f>
        <v>0</v>
      </c>
      <c r="E18" s="812">
        <f>VLOOKUP(A18,'2122 Band Moderations'!$B$5:$S$22,8,(FALSE))</f>
        <v>0</v>
      </c>
      <c r="F18" s="812">
        <f>VLOOKUP(A18,'2122 Band Moderations'!$B$5:$S$22,10,(FALSE))</f>
        <v>1</v>
      </c>
      <c r="G18" s="812">
        <f>VLOOKUP(A18,'2122 Band Moderations'!$B$5:$S$22,12,(FALSE))</f>
        <v>0</v>
      </c>
      <c r="H18" s="812">
        <f>VLOOKUP(A18,'2122 Band Moderations'!$B$5:$S$22,14,(FALSE))</f>
        <v>0</v>
      </c>
      <c r="I18" s="812">
        <f>VLOOKUP(A18,'2122 Band Moderations'!$B$5:$S$22,16,(FALSE))</f>
        <v>0</v>
      </c>
      <c r="J18" s="812">
        <f>VLOOKUP(A18,'2122 Band Moderations'!$B$5:$S$22,18,(FALSE))</f>
        <v>0</v>
      </c>
      <c r="K18" s="1012">
        <v>82</v>
      </c>
      <c r="L18" s="813">
        <f t="shared" si="0"/>
        <v>412021.35296978528</v>
      </c>
      <c r="M18" s="813">
        <f t="shared" si="2"/>
        <v>90029.166666666672</v>
      </c>
      <c r="N18" s="813">
        <f t="shared" si="1"/>
        <v>502050.51963645197</v>
      </c>
      <c r="O18" s="724">
        <f t="shared" si="3"/>
        <v>341666.66666666669</v>
      </c>
      <c r="P18" s="724">
        <f>(VLOOKUP(A18,'2122 Funding Detail'!$A$4:$Y$21,23,FALSE)*5/12)*K18</f>
        <v>333737.56648116041</v>
      </c>
      <c r="Q18" s="42"/>
      <c r="R18" s="42">
        <f t="shared" si="4"/>
        <v>0</v>
      </c>
      <c r="S18" s="168"/>
      <c r="W18" s="42"/>
    </row>
    <row r="19" spans="1:23" s="34" customFormat="1" x14ac:dyDescent="0.25">
      <c r="A19" s="185">
        <v>9257030</v>
      </c>
      <c r="B19" s="915" t="s">
        <v>933</v>
      </c>
      <c r="C19" s="781" t="s">
        <v>949</v>
      </c>
      <c r="D19" s="812">
        <f>VLOOKUP(A19,'2122 Band Moderations'!$B$5:$S$22,6,(FALSE))</f>
        <v>0</v>
      </c>
      <c r="E19" s="812">
        <f>VLOOKUP(A19,'2122 Band Moderations'!$B$5:$S$22,8,(FALSE))</f>
        <v>0</v>
      </c>
      <c r="F19" s="812">
        <f>VLOOKUP(A19,'2122 Band Moderations'!$B$5:$S$22,10,(FALSE))</f>
        <v>1</v>
      </c>
      <c r="G19" s="812">
        <f>VLOOKUP(A19,'2122 Band Moderations'!$B$5:$S$22,12,(FALSE))</f>
        <v>0</v>
      </c>
      <c r="H19" s="812">
        <f>VLOOKUP(A19,'2122 Band Moderations'!$B$5:$S$22,14,(FALSE))</f>
        <v>0</v>
      </c>
      <c r="I19" s="812">
        <f>VLOOKUP(A19,'2122 Band Moderations'!$B$5:$S$22,16,(FALSE))</f>
        <v>0</v>
      </c>
      <c r="J19" s="812">
        <f>VLOOKUP(A19,'2122 Band Moderations'!$B$5:$S$22,18,(FALSE))</f>
        <v>0</v>
      </c>
      <c r="K19" s="1012">
        <v>75</v>
      </c>
      <c r="L19" s="813">
        <f t="shared" si="0"/>
        <v>376848.79844797438</v>
      </c>
      <c r="M19" s="813">
        <f t="shared" si="2"/>
        <v>82343.75</v>
      </c>
      <c r="N19" s="813">
        <f t="shared" si="1"/>
        <v>459192.54844797438</v>
      </c>
      <c r="O19" s="724">
        <f t="shared" si="3"/>
        <v>312500</v>
      </c>
      <c r="P19" s="724">
        <f>(VLOOKUP(A19,'2122 Funding Detail'!$A$4:$Y$21,23,FALSE)*5/12)*K19</f>
        <v>350288.86043715704</v>
      </c>
      <c r="Q19" s="42"/>
      <c r="R19" s="42">
        <f t="shared" si="4"/>
        <v>0</v>
      </c>
      <c r="S19" s="168"/>
      <c r="W19" s="42"/>
    </row>
    <row r="20" spans="1:23" s="34" customFormat="1" x14ac:dyDescent="0.25">
      <c r="A20" s="185">
        <v>9257028</v>
      </c>
      <c r="B20" s="38" t="s">
        <v>77</v>
      </c>
      <c r="C20" s="781">
        <v>5</v>
      </c>
      <c r="D20" s="812">
        <f>VLOOKUP(A20,'2122 Band Moderations'!$B$5:$S$22,6,(FALSE))</f>
        <v>8.9108910891089105E-2</v>
      </c>
      <c r="E20" s="812">
        <f>VLOOKUP(A20,'2122 Band Moderations'!$B$5:$S$22,8,(FALSE))</f>
        <v>0.40594059405940597</v>
      </c>
      <c r="F20" s="812">
        <f>VLOOKUP(A20,'2122 Band Moderations'!$B$5:$S$22,10,(FALSE))</f>
        <v>7.9207920792079209E-2</v>
      </c>
      <c r="G20" s="812">
        <f>VLOOKUP(A20,'2122 Band Moderations'!$B$5:$S$22,12,(FALSE))</f>
        <v>8.9108910891089105E-2</v>
      </c>
      <c r="H20" s="812">
        <f>VLOOKUP(A20,'2122 Band Moderations'!$B$5:$S$22,14,(FALSE))</f>
        <v>0.12871287128712872</v>
      </c>
      <c r="I20" s="812">
        <f>VLOOKUP(A20,'2122 Band Moderations'!$B$5:$S$22,16,(FALSE))</f>
        <v>9.9009900990099015E-2</v>
      </c>
      <c r="J20" s="812">
        <f>VLOOKUP(A20,'2122 Band Moderations'!$B$5:$S$22,18,(FALSE))</f>
        <v>0.10891089108910891</v>
      </c>
      <c r="K20" s="1012">
        <v>91</v>
      </c>
      <c r="L20" s="813">
        <f t="shared" si="0"/>
        <v>451383.42724272283</v>
      </c>
      <c r="M20" s="813">
        <f t="shared" si="2"/>
        <v>7913.6963696369639</v>
      </c>
      <c r="N20" s="813">
        <f t="shared" si="1"/>
        <v>459297.12361235981</v>
      </c>
      <c r="O20" s="724">
        <f t="shared" si="3"/>
        <v>379166.66666666669</v>
      </c>
      <c r="P20" s="724">
        <f>(VLOOKUP(A20,'2122 Funding Detail'!$A$4:$Y$21,23,FALSE)*5/12)*K20</f>
        <v>267526.6352517851</v>
      </c>
      <c r="Q20" s="42"/>
      <c r="R20" s="42">
        <f t="shared" si="4"/>
        <v>94468.088802207203</v>
      </c>
      <c r="S20" s="168"/>
      <c r="W20" s="42"/>
    </row>
    <row r="21" spans="1:23" s="34" customFormat="1" x14ac:dyDescent="0.25">
      <c r="A21" s="185">
        <v>9257021</v>
      </c>
      <c r="B21" s="38" t="s">
        <v>78</v>
      </c>
      <c r="C21" s="781" t="s">
        <v>947</v>
      </c>
      <c r="D21" s="812">
        <f>VLOOKUP(A21,'2122 Band Moderations'!$B$5:$S$22,6,(FALSE))</f>
        <v>0.26829268292682928</v>
      </c>
      <c r="E21" s="812">
        <f>VLOOKUP(A21,'2122 Band Moderations'!$B$5:$S$22,8,(FALSE))</f>
        <v>0.42682926829268292</v>
      </c>
      <c r="F21" s="812">
        <f>VLOOKUP(A21,'2122 Band Moderations'!$B$5:$S$22,10,(FALSE))</f>
        <v>7.926829268292683E-2</v>
      </c>
      <c r="G21" s="812">
        <f>VLOOKUP(A21,'2122 Band Moderations'!$B$5:$S$22,12,(FALSE))</f>
        <v>6.7073170731707321E-2</v>
      </c>
      <c r="H21" s="812">
        <f>VLOOKUP(A21,'2122 Band Moderations'!$B$5:$S$22,14,(FALSE))</f>
        <v>5.4878048780487805E-2</v>
      </c>
      <c r="I21" s="812">
        <f>VLOOKUP(A21,'2122 Band Moderations'!$B$5:$S$22,16,(FALSE))</f>
        <v>9.1463414634146339E-2</v>
      </c>
      <c r="J21" s="812">
        <f>VLOOKUP(A21,'2122 Band Moderations'!$B$5:$S$22,18,(FALSE))</f>
        <v>1.2195121951219513E-2</v>
      </c>
      <c r="K21" s="1012">
        <v>166</v>
      </c>
      <c r="L21" s="813">
        <f t="shared" si="0"/>
        <v>651294.16361984739</v>
      </c>
      <c r="M21" s="813">
        <f t="shared" si="2"/>
        <v>14446.976626016261</v>
      </c>
      <c r="N21" s="813">
        <f t="shared" si="1"/>
        <v>665741.1402458637</v>
      </c>
      <c r="O21" s="724">
        <f t="shared" si="3"/>
        <v>691666.66666666674</v>
      </c>
      <c r="P21" s="724">
        <f>(VLOOKUP(A21,'2122 Funding Detail'!$A$4:$Y$21,23,FALSE)*5/12)*K21</f>
        <v>231165.00393019064</v>
      </c>
      <c r="Q21" s="42"/>
      <c r="R21" s="42">
        <f t="shared" si="4"/>
        <v>19295.972038422624</v>
      </c>
      <c r="S21" s="168"/>
      <c r="W21" s="42"/>
    </row>
    <row r="22" spans="1:23" s="34" customFormat="1" x14ac:dyDescent="0.25">
      <c r="A22" s="185">
        <v>9257015</v>
      </c>
      <c r="B22" s="38" t="s">
        <v>55</v>
      </c>
      <c r="C22" s="781" t="s">
        <v>948</v>
      </c>
      <c r="D22" s="812">
        <f>VLOOKUP(A22,'2122 Band Moderations'!$B$5:$S$22,6,(FALSE))</f>
        <v>0.33185840707964603</v>
      </c>
      <c r="E22" s="812">
        <f>VLOOKUP(A22,'2122 Band Moderations'!$B$5:$S$22,8,(FALSE))</f>
        <v>0.38495575221238937</v>
      </c>
      <c r="F22" s="812">
        <f>VLOOKUP(A22,'2122 Band Moderations'!$B$5:$S$22,10,(FALSE))</f>
        <v>1.7699115044247787E-2</v>
      </c>
      <c r="G22" s="812">
        <f>VLOOKUP(A22,'2122 Band Moderations'!$B$5:$S$22,12,(FALSE))</f>
        <v>8.8495575221238937E-2</v>
      </c>
      <c r="H22" s="812">
        <f>VLOOKUP(A22,'2122 Band Moderations'!$B$5:$S$22,14,(FALSE))</f>
        <v>2.2123893805309734E-2</v>
      </c>
      <c r="I22" s="812">
        <f>VLOOKUP(A22,'2122 Band Moderations'!$B$5:$S$22,16,(FALSE))</f>
        <v>0.1415929203539823</v>
      </c>
      <c r="J22" s="812">
        <f>VLOOKUP(A22,'2122 Band Moderations'!$B$5:$S$22,18,(FALSE))</f>
        <v>1.3274336283185841E-2</v>
      </c>
      <c r="K22" s="1012">
        <v>224</v>
      </c>
      <c r="L22" s="813">
        <f t="shared" si="0"/>
        <v>879308.52772979927</v>
      </c>
      <c r="M22" s="813">
        <f t="shared" si="2"/>
        <v>4352.8023598820064</v>
      </c>
      <c r="N22" s="813">
        <f t="shared" si="1"/>
        <v>883661.33008968132</v>
      </c>
      <c r="O22" s="724">
        <f t="shared" si="3"/>
        <v>933333.33333333337</v>
      </c>
      <c r="P22" s="724">
        <f>(VLOOKUP(A22,'2122 Funding Detail'!$A$4:$Y$21,23,FALSE)*5/12)*K22</f>
        <v>233313.0811553247</v>
      </c>
      <c r="Q22" s="42"/>
      <c r="R22" s="42">
        <f t="shared" si="4"/>
        <v>28342.180488464659</v>
      </c>
      <c r="S22" s="168"/>
      <c r="W22" s="42"/>
    </row>
    <row r="23" spans="1:23" s="34" customFormat="1" x14ac:dyDescent="0.25">
      <c r="A23" s="185">
        <v>9257016</v>
      </c>
      <c r="B23" s="38" t="s">
        <v>80</v>
      </c>
      <c r="C23" s="781" t="s">
        <v>948</v>
      </c>
      <c r="D23" s="812">
        <f>VLOOKUP(A23,'2122 Band Moderations'!$B$5:$S$22,6,(FALSE))</f>
        <v>0.18012422360248448</v>
      </c>
      <c r="E23" s="812">
        <f>VLOOKUP(A23,'2122 Band Moderations'!$B$5:$S$22,8,(FALSE))</f>
        <v>0.15527950310559005</v>
      </c>
      <c r="F23" s="812">
        <f>VLOOKUP(A23,'2122 Band Moderations'!$B$5:$S$22,10,(FALSE))</f>
        <v>6.2111801242236021E-3</v>
      </c>
      <c r="G23" s="812">
        <f>VLOOKUP(A23,'2122 Band Moderations'!$B$5:$S$22,12,(FALSE))</f>
        <v>0.2236024844720497</v>
      </c>
      <c r="H23" s="812">
        <f>VLOOKUP(A23,'2122 Band Moderations'!$B$5:$S$22,14,(FALSE))</f>
        <v>0.21118012422360249</v>
      </c>
      <c r="I23" s="812">
        <f>VLOOKUP(A23,'2122 Band Moderations'!$B$5:$S$22,16,(FALSE))</f>
        <v>1.2422360248447204E-2</v>
      </c>
      <c r="J23" s="812">
        <f>VLOOKUP(A23,'2122 Band Moderations'!$B$5:$S$22,18,(FALSE))</f>
        <v>0.21118012422360249</v>
      </c>
      <c r="K23" s="1012">
        <v>110</v>
      </c>
      <c r="L23" s="813">
        <f t="shared" si="0"/>
        <v>638067.17189250793</v>
      </c>
      <c r="M23" s="813">
        <f t="shared" si="2"/>
        <v>750.12939958592131</v>
      </c>
      <c r="N23" s="813">
        <f t="shared" si="1"/>
        <v>638817.30129209382</v>
      </c>
      <c r="O23" s="724">
        <f t="shared" si="3"/>
        <v>458333.33333333337</v>
      </c>
      <c r="P23" s="724">
        <f>(VLOOKUP(A23,'2122 Funding Detail'!$A$4:$Y$21,23,FALSE)*5/12)*K23</f>
        <v>376036.48209757777</v>
      </c>
      <c r="Q23" s="628" t="s">
        <v>402</v>
      </c>
      <c r="R23" s="42">
        <f t="shared" si="4"/>
        <v>221420.66544725923</v>
      </c>
      <c r="S23" s="168"/>
      <c r="W23" s="42"/>
    </row>
    <row r="24" spans="1:23" s="34" customFormat="1" x14ac:dyDescent="0.25">
      <c r="A24" s="75"/>
      <c r="B24" s="921"/>
      <c r="C24" s="61"/>
      <c r="D24" s="583"/>
      <c r="E24" s="583"/>
      <c r="F24" s="526"/>
      <c r="G24" s="583"/>
      <c r="H24" s="583"/>
      <c r="I24" s="583"/>
      <c r="J24" s="583"/>
      <c r="K24" s="583"/>
      <c r="L24" s="585"/>
      <c r="M24" s="526"/>
      <c r="N24" s="530"/>
      <c r="O24" s="530"/>
      <c r="P24" s="530"/>
      <c r="Q24" s="628" t="s">
        <v>402</v>
      </c>
      <c r="R24" s="168"/>
      <c r="S24" s="168"/>
    </row>
    <row r="25" spans="1:23" s="34" customFormat="1" ht="13" x14ac:dyDescent="0.3">
      <c r="A25" s="230" t="s">
        <v>930</v>
      </c>
      <c r="B25" s="50"/>
      <c r="C25" s="61"/>
      <c r="D25" s="49"/>
      <c r="E25" s="49"/>
      <c r="G25" s="49"/>
      <c r="H25" s="49"/>
      <c r="I25" s="49"/>
      <c r="J25" s="49"/>
      <c r="K25" s="168"/>
      <c r="L25" s="168"/>
      <c r="M25" s="628" t="s">
        <v>402</v>
      </c>
      <c r="N25" s="80"/>
      <c r="O25" s="80"/>
      <c r="P25" s="80"/>
      <c r="Q25" s="80"/>
      <c r="R25" s="168"/>
      <c r="S25" s="168"/>
    </row>
    <row r="26" spans="1:23" s="34" customFormat="1" x14ac:dyDescent="0.25">
      <c r="A26" s="75"/>
      <c r="B26" s="50"/>
      <c r="C26" s="61"/>
      <c r="D26" s="49"/>
      <c r="E26" s="49"/>
      <c r="G26" s="49"/>
      <c r="H26" s="49"/>
      <c r="I26" s="49"/>
      <c r="J26" s="49"/>
      <c r="K26" s="231" t="s">
        <v>853</v>
      </c>
      <c r="L26" s="168"/>
      <c r="M26" s="168"/>
      <c r="N26" s="80"/>
      <c r="O26" s="1893" t="s">
        <v>332</v>
      </c>
      <c r="P26" s="1894"/>
      <c r="Q26" s="80"/>
      <c r="R26" s="168"/>
      <c r="S26" s="168"/>
    </row>
    <row r="27" spans="1:23" s="34" customFormat="1" ht="37.5" x14ac:dyDescent="0.25">
      <c r="A27" s="183" t="s">
        <v>201</v>
      </c>
      <c r="B27" s="36" t="s">
        <v>66</v>
      </c>
      <c r="C27" s="39" t="s">
        <v>51</v>
      </c>
      <c r="D27" s="1056" t="s">
        <v>858</v>
      </c>
      <c r="E27" s="1056" t="s">
        <v>859</v>
      </c>
      <c r="F27" s="1056" t="s">
        <v>860</v>
      </c>
      <c r="G27" s="1056" t="s">
        <v>861</v>
      </c>
      <c r="H27" s="1056" t="s">
        <v>862</v>
      </c>
      <c r="I27" s="1056" t="s">
        <v>863</v>
      </c>
      <c r="J27" s="1056" t="s">
        <v>864</v>
      </c>
      <c r="K27" s="1058" t="s">
        <v>185</v>
      </c>
      <c r="L27" s="1058" t="s">
        <v>288</v>
      </c>
      <c r="M27" s="1058" t="s">
        <v>388</v>
      </c>
      <c r="N27" s="1058" t="s">
        <v>288</v>
      </c>
      <c r="O27" s="252" t="s">
        <v>330</v>
      </c>
      <c r="P27" s="694" t="s">
        <v>339</v>
      </c>
      <c r="Q27" s="1058"/>
      <c r="R27" s="1058"/>
      <c r="S27" s="252"/>
    </row>
    <row r="28" spans="1:23" s="34" customFormat="1" x14ac:dyDescent="0.25">
      <c r="A28" s="185">
        <v>9257010</v>
      </c>
      <c r="B28" s="38" t="s">
        <v>67</v>
      </c>
      <c r="C28" s="781">
        <v>5</v>
      </c>
      <c r="D28" s="812">
        <f>VLOOKUP(A28,'2122 Band Moderations'!$B$5:$S$22,6,(FALSE))</f>
        <v>1.5873015873015872E-2</v>
      </c>
      <c r="E28" s="812">
        <f>VLOOKUP(A28,'2122 Band Moderations'!$B$5:$S$22,8,(FALSE))</f>
        <v>0.31746031746031744</v>
      </c>
      <c r="F28" s="812">
        <f>VLOOKUP(A28,'2122 Band Moderations'!$B$5:$S$22,10,(FALSE))</f>
        <v>9.5238095238095233E-2</v>
      </c>
      <c r="G28" s="812">
        <f>VLOOKUP(A28,'2122 Band Moderations'!$B$5:$S$22,12,(FALSE))</f>
        <v>0.17460317460317459</v>
      </c>
      <c r="H28" s="812">
        <f>VLOOKUP(A28,'2122 Band Moderations'!$B$5:$S$22,14,(FALSE))</f>
        <v>6.3492063492063489E-2</v>
      </c>
      <c r="I28" s="812">
        <f>VLOOKUP(A28,'2122 Band Moderations'!$B$5:$S$22,16,(FALSE))</f>
        <v>0.19047619047619047</v>
      </c>
      <c r="J28" s="812">
        <f>VLOOKUP(A28,'2122 Band Moderations'!$B$5:$S$22,18,(FALSE))</f>
        <v>0.14285714285714285</v>
      </c>
      <c r="K28" s="1012">
        <v>7</v>
      </c>
      <c r="L28" s="813">
        <f t="shared" ref="L28:L45" si="5">((((K28*D28)*$G$92)+((K28*E28)*$G$94)+((K28*F28)*$G$96)+((K28*G28)*$G$98)+((K28*H28)*$G$100)+((K28*I28)*$G$102)+((K28*J28)*$G$104)))*(4/12)</f>
        <v>31563.685739362718</v>
      </c>
      <c r="M28" s="813">
        <f t="shared" ref="M28:M45" si="6">((K28*F28)*$G$106)*(4/12)</f>
        <v>585.55555555555543</v>
      </c>
      <c r="N28" s="813">
        <f>SUM(L28:M28)</f>
        <v>32149.241294918273</v>
      </c>
      <c r="O28" s="724">
        <f>(K28*(4/12))*10000</f>
        <v>23333.333333333332</v>
      </c>
      <c r="P28" s="724">
        <f>(VLOOKUP(A28,'2122 Funding Detail'!$A$4:$Y$21,23,FALSE)*4/12)*K28</f>
        <v>23980.8396803465</v>
      </c>
      <c r="Q28" s="80"/>
      <c r="R28" s="42">
        <f t="shared" ref="R28:R45" si="7">(J28*K28*$G$104)*4/12</f>
        <v>7625.3961790393014</v>
      </c>
      <c r="S28" s="233"/>
      <c r="T28" s="80"/>
      <c r="U28" s="42"/>
      <c r="V28" s="626"/>
      <c r="W28" s="625"/>
    </row>
    <row r="29" spans="1:23" s="34" customFormat="1" x14ac:dyDescent="0.25">
      <c r="A29" s="185">
        <v>9257005</v>
      </c>
      <c r="B29" s="38" t="s">
        <v>68</v>
      </c>
      <c r="C29" s="781">
        <v>4</v>
      </c>
      <c r="D29" s="812">
        <f>VLOOKUP(A29,'2122 Band Moderations'!$B$5:$S$22,6,(FALSE))</f>
        <v>0.05</v>
      </c>
      <c r="E29" s="812">
        <f>VLOOKUP(A29,'2122 Band Moderations'!$B$5:$S$22,8,(FALSE))</f>
        <v>0.4</v>
      </c>
      <c r="F29" s="812">
        <f>VLOOKUP(A29,'2122 Band Moderations'!$B$5:$S$22,10,(FALSE))</f>
        <v>6.25E-2</v>
      </c>
      <c r="G29" s="812">
        <f>VLOOKUP(A29,'2122 Band Moderations'!$B$5:$S$22,12,(FALSE))</f>
        <v>0.15</v>
      </c>
      <c r="H29" s="812">
        <f>VLOOKUP(A29,'2122 Band Moderations'!$B$5:$S$22,14,(FALSE))</f>
        <v>0.125</v>
      </c>
      <c r="I29" s="812">
        <f>VLOOKUP(A29,'2122 Band Moderations'!$B$5:$S$22,16,(FALSE))</f>
        <v>0.15</v>
      </c>
      <c r="J29" s="812">
        <f>VLOOKUP(A29,'2122 Band Moderations'!$B$5:$S$22,18,(FALSE))</f>
        <v>6.25E-2</v>
      </c>
      <c r="K29" s="1012">
        <v>26</v>
      </c>
      <c r="L29" s="813">
        <f t="shared" si="5"/>
        <v>104250.79289430138</v>
      </c>
      <c r="M29" s="813">
        <f t="shared" si="6"/>
        <v>1427.2916666666665</v>
      </c>
      <c r="N29" s="813">
        <f>SUM(L29:M29)</f>
        <v>105678.08456096805</v>
      </c>
      <c r="O29" s="724">
        <f>(K29*(4/12))*10000</f>
        <v>86666.666666666657</v>
      </c>
      <c r="P29" s="724">
        <f>(VLOOKUP(A29,'2122 Funding Detail'!$A$4:$Y$21,23,FALSE)*4/12)*K29</f>
        <v>69130.236857521173</v>
      </c>
      <c r="Q29" s="80"/>
      <c r="R29" s="42">
        <f t="shared" si="7"/>
        <v>12391.268790938864</v>
      </c>
      <c r="S29" s="233"/>
      <c r="T29" s="80"/>
      <c r="U29" s="42"/>
      <c r="V29" s="42"/>
    </row>
    <row r="30" spans="1:23" s="34" customFormat="1" x14ac:dyDescent="0.25">
      <c r="A30" s="185">
        <v>9257025</v>
      </c>
      <c r="B30" s="38" t="s">
        <v>69</v>
      </c>
      <c r="C30" s="781">
        <v>4</v>
      </c>
      <c r="D30" s="812">
        <f>VLOOKUP(A30,'2122 Band Moderations'!$B$5:$S$22,6,(FALSE))</f>
        <v>0.15584415584415584</v>
      </c>
      <c r="E30" s="812">
        <f>VLOOKUP(A30,'2122 Band Moderations'!$B$5:$S$22,8,(FALSE))</f>
        <v>0.40259740259740262</v>
      </c>
      <c r="F30" s="812">
        <f>VLOOKUP(A30,'2122 Band Moderations'!$B$5:$S$22,10,(FALSE))</f>
        <v>3.896103896103896E-2</v>
      </c>
      <c r="G30" s="812">
        <f>VLOOKUP(A30,'2122 Band Moderations'!$B$5:$S$22,12,(FALSE))</f>
        <v>0.15584415584415584</v>
      </c>
      <c r="H30" s="812">
        <f>VLOOKUP(A30,'2122 Band Moderations'!$B$5:$S$22,14,(FALSE))</f>
        <v>5.1948051948051951E-2</v>
      </c>
      <c r="I30" s="812">
        <f>VLOOKUP(A30,'2122 Band Moderations'!$B$5:$S$22,16,(FALSE))</f>
        <v>0.14285714285714285</v>
      </c>
      <c r="J30" s="812">
        <f>VLOOKUP(A30,'2122 Band Moderations'!$B$5:$S$22,18,(FALSE))</f>
        <v>5.1948051948051951E-2</v>
      </c>
      <c r="K30" s="1012">
        <v>20</v>
      </c>
      <c r="L30" s="813">
        <f t="shared" si="5"/>
        <v>73770.579875652533</v>
      </c>
      <c r="M30" s="813">
        <f t="shared" si="6"/>
        <v>684.41558441558448</v>
      </c>
      <c r="N30" s="813">
        <f t="shared" ref="N30:N45" si="8">SUM(L30:M30)</f>
        <v>74454.995460068123</v>
      </c>
      <c r="O30" s="724">
        <f t="shared" ref="O30:O45" si="9">(K30*(4/12))*10000</f>
        <v>66666.666666666657</v>
      </c>
      <c r="P30" s="724">
        <f>(VLOOKUP(A30,'2122 Funding Detail'!$A$4:$Y$21,23,FALSE)*4/12)*K30</f>
        <v>50760.400329364958</v>
      </c>
      <c r="Q30" s="80"/>
      <c r="R30" s="42">
        <f t="shared" si="7"/>
        <v>7922.4895366642113</v>
      </c>
      <c r="S30" s="233"/>
      <c r="T30" s="80"/>
      <c r="U30" s="42"/>
      <c r="V30" s="42"/>
    </row>
    <row r="31" spans="1:23" s="34" customFormat="1" x14ac:dyDescent="0.25">
      <c r="A31" s="185">
        <v>9257011</v>
      </c>
      <c r="B31" s="38" t="s">
        <v>70</v>
      </c>
      <c r="C31" s="781" t="s">
        <v>1009</v>
      </c>
      <c r="D31" s="812">
        <f>VLOOKUP(A31,'2122 Band Moderations'!$B$5:$S$22,6,(FALSE))</f>
        <v>5.6603773584905662E-2</v>
      </c>
      <c r="E31" s="812">
        <f>VLOOKUP(A31,'2122 Band Moderations'!$B$5:$S$22,8,(FALSE))</f>
        <v>0.35849056603773582</v>
      </c>
      <c r="F31" s="812">
        <f>VLOOKUP(A31,'2122 Band Moderations'!$B$5:$S$22,10,(FALSE))</f>
        <v>1.8867924528301886E-2</v>
      </c>
      <c r="G31" s="812">
        <f>VLOOKUP(A31,'2122 Band Moderations'!$B$5:$S$22,12,(FALSE))</f>
        <v>0.16981132075471697</v>
      </c>
      <c r="H31" s="812">
        <f>VLOOKUP(A31,'2122 Band Moderations'!$B$5:$S$22,14,(FALSE))</f>
        <v>0.13207547169811321</v>
      </c>
      <c r="I31" s="812">
        <f>VLOOKUP(A31,'2122 Band Moderations'!$B$5:$S$22,16,(FALSE))</f>
        <v>0.15094339622641509</v>
      </c>
      <c r="J31" s="812">
        <f>VLOOKUP(A31,'2122 Band Moderations'!$B$5:$S$22,18,(FALSE))</f>
        <v>0.11320754716981132</v>
      </c>
      <c r="K31" s="1012">
        <v>8</v>
      </c>
      <c r="L31" s="813">
        <f t="shared" si="5"/>
        <v>34165.538717248251</v>
      </c>
      <c r="M31" s="813">
        <f t="shared" si="6"/>
        <v>132.57861635220124</v>
      </c>
      <c r="N31" s="813">
        <f t="shared" si="8"/>
        <v>34298.11733360045</v>
      </c>
      <c r="O31" s="724">
        <f t="shared" si="9"/>
        <v>26666.666666666664</v>
      </c>
      <c r="P31" s="724">
        <f>(VLOOKUP(A31,'2122 Funding Detail'!$A$4:$Y$21,23,FALSE)*4/12)*K31</f>
        <v>28241.675954290113</v>
      </c>
      <c r="Q31" s="80"/>
      <c r="R31" s="42">
        <f t="shared" si="7"/>
        <v>6906.0191810167262</v>
      </c>
      <c r="S31" s="233"/>
      <c r="T31" s="80"/>
      <c r="U31" s="42"/>
      <c r="V31" s="42"/>
    </row>
    <row r="32" spans="1:23" s="34" customFormat="1" x14ac:dyDescent="0.25">
      <c r="A32" s="185">
        <v>9257024</v>
      </c>
      <c r="B32" s="38" t="s">
        <v>71</v>
      </c>
      <c r="C32" s="781">
        <v>4</v>
      </c>
      <c r="D32" s="812">
        <f>VLOOKUP(A32,'2122 Band Moderations'!$B$5:$S$22,6,(FALSE))</f>
        <v>8.4337349397590355E-2</v>
      </c>
      <c r="E32" s="812">
        <f>VLOOKUP(A32,'2122 Band Moderations'!$B$5:$S$22,8,(FALSE))</f>
        <v>0.45783132530120479</v>
      </c>
      <c r="F32" s="812">
        <f>VLOOKUP(A32,'2122 Band Moderations'!$B$5:$S$22,10,(FALSE))</f>
        <v>1.2048192771084338E-2</v>
      </c>
      <c r="G32" s="812">
        <f>VLOOKUP(A32,'2122 Band Moderations'!$B$5:$S$22,12,(FALSE))</f>
        <v>0.18072289156626506</v>
      </c>
      <c r="H32" s="812">
        <f>VLOOKUP(A32,'2122 Band Moderations'!$B$5:$S$22,14,(FALSE))</f>
        <v>8.4337349397590355E-2</v>
      </c>
      <c r="I32" s="812">
        <f>VLOOKUP(A32,'2122 Band Moderations'!$B$5:$S$22,16,(FALSE))</f>
        <v>7.2289156626506021E-2</v>
      </c>
      <c r="J32" s="812">
        <f>VLOOKUP(A32,'2122 Band Moderations'!$B$5:$S$22,18,(FALSE))</f>
        <v>0.10843373493975904</v>
      </c>
      <c r="K32" s="1012">
        <v>14</v>
      </c>
      <c r="L32" s="813">
        <f t="shared" si="5"/>
        <v>54697.357628740181</v>
      </c>
      <c r="M32" s="813">
        <f t="shared" si="6"/>
        <v>148.15261044176708</v>
      </c>
      <c r="N32" s="813">
        <f t="shared" si="8"/>
        <v>54845.510239181946</v>
      </c>
      <c r="O32" s="724">
        <f t="shared" si="9"/>
        <v>46666.666666666664</v>
      </c>
      <c r="P32" s="724">
        <f>(VLOOKUP(A32,'2122 Funding Detail'!$A$4:$Y$21,23,FALSE)*4/12)*K32</f>
        <v>36058.029188439665</v>
      </c>
      <c r="Q32" s="80"/>
      <c r="R32" s="42">
        <f t="shared" si="7"/>
        <v>11575.902633240386</v>
      </c>
      <c r="S32" s="233"/>
      <c r="T32" s="80"/>
      <c r="U32" s="42"/>
      <c r="V32" s="42"/>
    </row>
    <row r="33" spans="1:22" s="34" customFormat="1" x14ac:dyDescent="0.25">
      <c r="A33" s="185">
        <v>9257031</v>
      </c>
      <c r="B33" s="38" t="s">
        <v>98</v>
      </c>
      <c r="C33" s="781">
        <v>5</v>
      </c>
      <c r="D33" s="812">
        <f>VLOOKUP(A33,'2122 Band Moderations'!$B$5:$S$22,6,(FALSE))</f>
        <v>0</v>
      </c>
      <c r="E33" s="812">
        <f>VLOOKUP(A33,'2122 Band Moderations'!$B$5:$S$22,8,(FALSE))</f>
        <v>0</v>
      </c>
      <c r="F33" s="812">
        <f>VLOOKUP(A33,'2122 Band Moderations'!$B$5:$S$22,10,(FALSE))</f>
        <v>1</v>
      </c>
      <c r="G33" s="812">
        <f>VLOOKUP(A33,'2122 Band Moderations'!$B$5:$S$22,12,(FALSE))</f>
        <v>0</v>
      </c>
      <c r="H33" s="812">
        <f>VLOOKUP(A33,'2122 Band Moderations'!$B$5:$S$22,14,(FALSE))</f>
        <v>0</v>
      </c>
      <c r="I33" s="812">
        <f>VLOOKUP(A33,'2122 Band Moderations'!$B$5:$S$22,16,(FALSE))</f>
        <v>0</v>
      </c>
      <c r="J33" s="812">
        <f>VLOOKUP(A33,'2122 Band Moderations'!$B$5:$S$22,18,(FALSE))</f>
        <v>0</v>
      </c>
      <c r="K33" s="1012">
        <v>0</v>
      </c>
      <c r="L33" s="813">
        <f t="shared" si="5"/>
        <v>0</v>
      </c>
      <c r="M33" s="813">
        <f t="shared" si="6"/>
        <v>0</v>
      </c>
      <c r="N33" s="813">
        <f t="shared" si="8"/>
        <v>0</v>
      </c>
      <c r="O33" s="724">
        <f t="shared" si="9"/>
        <v>0</v>
      </c>
      <c r="P33" s="724">
        <f>(VLOOKUP(A33,'2122 Funding Detail'!$A$4:$Y$21,23,FALSE)*4/12)*K33</f>
        <v>0</v>
      </c>
      <c r="Q33" s="80"/>
      <c r="R33" s="42">
        <f t="shared" si="7"/>
        <v>0</v>
      </c>
      <c r="S33" s="233"/>
      <c r="T33" s="80"/>
      <c r="U33" s="42"/>
      <c r="V33" s="42"/>
    </row>
    <row r="34" spans="1:22" s="34" customFormat="1" x14ac:dyDescent="0.25">
      <c r="A34" s="185">
        <v>9257033</v>
      </c>
      <c r="B34" s="38" t="s">
        <v>72</v>
      </c>
      <c r="C34" s="781" t="s">
        <v>946</v>
      </c>
      <c r="D34" s="812">
        <f>VLOOKUP(A34,'2122 Band Moderations'!$B$5:$S$22,6,(FALSE))</f>
        <v>0.16842105263157894</v>
      </c>
      <c r="E34" s="812">
        <f>VLOOKUP(A34,'2122 Band Moderations'!$B$5:$S$22,8,(FALSE))</f>
        <v>0.5368421052631579</v>
      </c>
      <c r="F34" s="812">
        <f>VLOOKUP(A34,'2122 Band Moderations'!$B$5:$S$22,10,(FALSE))</f>
        <v>6.3157894736842107E-2</v>
      </c>
      <c r="G34" s="812">
        <f>VLOOKUP(A34,'2122 Band Moderations'!$B$5:$S$22,12,(FALSE))</f>
        <v>0.14736842105263157</v>
      </c>
      <c r="H34" s="812">
        <f>VLOOKUP(A34,'2122 Band Moderations'!$B$5:$S$22,14,(FALSE))</f>
        <v>4.2105263157894736E-2</v>
      </c>
      <c r="I34" s="812">
        <f>VLOOKUP(A34,'2122 Band Moderations'!$B$5:$S$22,16,(FALSE))</f>
        <v>4.2105263157894736E-2</v>
      </c>
      <c r="J34" s="812">
        <f>VLOOKUP(A34,'2122 Band Moderations'!$B$5:$S$22,18,(FALSE))</f>
        <v>0</v>
      </c>
      <c r="K34" s="1012">
        <v>0</v>
      </c>
      <c r="L34" s="813">
        <f t="shared" si="5"/>
        <v>0</v>
      </c>
      <c r="M34" s="813">
        <f t="shared" si="6"/>
        <v>0</v>
      </c>
      <c r="N34" s="813">
        <f t="shared" si="8"/>
        <v>0</v>
      </c>
      <c r="O34" s="724">
        <f t="shared" si="9"/>
        <v>0</v>
      </c>
      <c r="P34" s="724">
        <f>(VLOOKUP(A34,'2122 Funding Detail'!$A$4:$Y$21,23,FALSE)*4/12)*K34</f>
        <v>0</v>
      </c>
      <c r="Q34" s="80"/>
      <c r="R34" s="42">
        <f t="shared" si="7"/>
        <v>0</v>
      </c>
      <c r="S34" s="233"/>
      <c r="T34" s="80"/>
      <c r="U34" s="42"/>
      <c r="V34" s="42"/>
    </row>
    <row r="35" spans="1:22" s="34" customFormat="1" x14ac:dyDescent="0.25">
      <c r="A35" s="185">
        <v>9257008</v>
      </c>
      <c r="B35" s="38" t="s">
        <v>73</v>
      </c>
      <c r="C35" s="781">
        <v>4</v>
      </c>
      <c r="D35" s="812">
        <f>VLOOKUP(A35,'2122 Band Moderations'!$B$5:$S$22,6,(FALSE))</f>
        <v>0.10101010101010101</v>
      </c>
      <c r="E35" s="812">
        <f>VLOOKUP(A35,'2122 Band Moderations'!$B$5:$S$22,8,(FALSE))</f>
        <v>0.58585858585858586</v>
      </c>
      <c r="F35" s="812">
        <f>VLOOKUP(A35,'2122 Band Moderations'!$B$5:$S$22,10,(FALSE))</f>
        <v>8.0808080808080815E-2</v>
      </c>
      <c r="G35" s="812">
        <f>VLOOKUP(A35,'2122 Band Moderations'!$B$5:$S$22,12,(FALSE))</f>
        <v>9.0909090909090912E-2</v>
      </c>
      <c r="H35" s="812">
        <f>VLOOKUP(A35,'2122 Band Moderations'!$B$5:$S$22,14,(FALSE))</f>
        <v>1.0101010101010102E-2</v>
      </c>
      <c r="I35" s="812">
        <f>VLOOKUP(A35,'2122 Band Moderations'!$B$5:$S$22,16,(FALSE))</f>
        <v>0.12121212121212122</v>
      </c>
      <c r="J35" s="812">
        <f>VLOOKUP(A35,'2122 Band Moderations'!$B$5:$S$22,18,(FALSE))</f>
        <v>1.0101010101010102E-2</v>
      </c>
      <c r="K35" s="1012">
        <v>0</v>
      </c>
      <c r="L35" s="813">
        <f t="shared" si="5"/>
        <v>0</v>
      </c>
      <c r="M35" s="813">
        <f t="shared" si="6"/>
        <v>0</v>
      </c>
      <c r="N35" s="813">
        <f t="shared" si="8"/>
        <v>0</v>
      </c>
      <c r="O35" s="724">
        <f t="shared" si="9"/>
        <v>0</v>
      </c>
      <c r="P35" s="724">
        <f>(VLOOKUP(A35,'2122 Funding Detail'!$A$4:$Y$21,23,FALSE)*4/12)*K35</f>
        <v>0</v>
      </c>
      <c r="Q35" s="80"/>
      <c r="R35" s="42">
        <f t="shared" si="7"/>
        <v>0</v>
      </c>
      <c r="S35" s="233"/>
      <c r="T35" s="80"/>
      <c r="U35" s="42"/>
      <c r="V35" s="42"/>
    </row>
    <row r="36" spans="1:22" s="34" customFormat="1" x14ac:dyDescent="0.25">
      <c r="A36" s="185">
        <v>9257034</v>
      </c>
      <c r="B36" s="38" t="s">
        <v>74</v>
      </c>
      <c r="C36" s="781" t="s">
        <v>946</v>
      </c>
      <c r="D36" s="812">
        <f>VLOOKUP(A36,'2122 Band Moderations'!$B$5:$S$22,6,(FALSE))</f>
        <v>0.42424242424242425</v>
      </c>
      <c r="E36" s="812">
        <f>VLOOKUP(A36,'2122 Band Moderations'!$B$5:$S$22,8,(FALSE))</f>
        <v>0.29292929292929293</v>
      </c>
      <c r="F36" s="812">
        <f>VLOOKUP(A36,'2122 Band Moderations'!$B$5:$S$22,10,(FALSE))</f>
        <v>0.14141414141414141</v>
      </c>
      <c r="G36" s="812">
        <f>VLOOKUP(A36,'2122 Band Moderations'!$B$5:$S$22,12,(FALSE))</f>
        <v>3.0303030303030304E-2</v>
      </c>
      <c r="H36" s="812">
        <f>VLOOKUP(A36,'2122 Band Moderations'!$B$5:$S$22,14,(FALSE))</f>
        <v>4.0404040404040407E-2</v>
      </c>
      <c r="I36" s="812">
        <f>VLOOKUP(A36,'2122 Band Moderations'!$B$5:$S$22,16,(FALSE))</f>
        <v>6.0606060606060608E-2</v>
      </c>
      <c r="J36" s="812">
        <f>VLOOKUP(A36,'2122 Band Moderations'!$B$5:$S$22,18,(FALSE))</f>
        <v>1.0101010101010102E-2</v>
      </c>
      <c r="K36" s="1012">
        <v>34</v>
      </c>
      <c r="L36" s="813">
        <f t="shared" si="5"/>
        <v>100086.3625385222</v>
      </c>
      <c r="M36" s="813">
        <f t="shared" si="6"/>
        <v>4223.0976430976425</v>
      </c>
      <c r="N36" s="813">
        <f t="shared" si="8"/>
        <v>104309.46018161984</v>
      </c>
      <c r="O36" s="724">
        <f t="shared" si="9"/>
        <v>113333.33333333333</v>
      </c>
      <c r="P36" s="724">
        <f>(VLOOKUP(A36,'2122 Funding Detail'!$A$4:$Y$21,23,FALSE)*4/12)*K36</f>
        <v>44037.680226888479</v>
      </c>
      <c r="Q36" s="80"/>
      <c r="R36" s="42">
        <f t="shared" si="7"/>
        <v>2618.8229301751139</v>
      </c>
      <c r="S36" s="233"/>
      <c r="T36" s="80"/>
      <c r="U36" s="42"/>
      <c r="V36" s="42"/>
    </row>
    <row r="37" spans="1:22" s="34" customFormat="1" x14ac:dyDescent="0.25">
      <c r="A37" s="185">
        <v>9257002</v>
      </c>
      <c r="B37" s="38" t="s">
        <v>75</v>
      </c>
      <c r="C37" s="781">
        <v>5</v>
      </c>
      <c r="D37" s="812">
        <f>VLOOKUP(A37,'2122 Band Moderations'!$B$5:$S$22,6,(FALSE))</f>
        <v>0.3546099290780142</v>
      </c>
      <c r="E37" s="812">
        <f>VLOOKUP(A37,'2122 Band Moderations'!$B$5:$S$22,8,(FALSE))</f>
        <v>0.38297872340425532</v>
      </c>
      <c r="F37" s="812">
        <f>VLOOKUP(A37,'2122 Band Moderations'!$B$5:$S$22,10,(FALSE))</f>
        <v>0.1276595744680851</v>
      </c>
      <c r="G37" s="812">
        <f>VLOOKUP(A37,'2122 Band Moderations'!$B$5:$S$22,12,(FALSE))</f>
        <v>2.8368794326241134E-2</v>
      </c>
      <c r="H37" s="812">
        <f>VLOOKUP(A37,'2122 Band Moderations'!$B$5:$S$22,14,(FALSE))</f>
        <v>2.1276595744680851E-2</v>
      </c>
      <c r="I37" s="812">
        <f>VLOOKUP(A37,'2122 Band Moderations'!$B$5:$S$22,16,(FALSE))</f>
        <v>7.8014184397163122E-2</v>
      </c>
      <c r="J37" s="812">
        <f>VLOOKUP(A37,'2122 Band Moderations'!$B$5:$S$22,18,(FALSE))</f>
        <v>7.0921985815602835E-3</v>
      </c>
      <c r="K37" s="1012">
        <v>0</v>
      </c>
      <c r="L37" s="813">
        <f t="shared" si="5"/>
        <v>0</v>
      </c>
      <c r="M37" s="813">
        <f t="shared" si="6"/>
        <v>0</v>
      </c>
      <c r="N37" s="813">
        <f t="shared" si="8"/>
        <v>0</v>
      </c>
      <c r="O37" s="724">
        <f t="shared" si="9"/>
        <v>0</v>
      </c>
      <c r="P37" s="724">
        <f>(VLOOKUP(A37,'2122 Funding Detail'!$A$4:$Y$21,23,FALSE)*4/12)*K37</f>
        <v>0</v>
      </c>
      <c r="Q37" s="80"/>
      <c r="R37" s="42">
        <f t="shared" si="7"/>
        <v>0</v>
      </c>
      <c r="S37" s="233"/>
      <c r="T37" s="80"/>
      <c r="U37" s="42"/>
      <c r="V37" s="42"/>
    </row>
    <row r="38" spans="1:22" s="34" customFormat="1" x14ac:dyDescent="0.25">
      <c r="A38" s="185">
        <v>9257009</v>
      </c>
      <c r="B38" s="38" t="s">
        <v>76</v>
      </c>
      <c r="C38" s="781" t="s">
        <v>946</v>
      </c>
      <c r="D38" s="812">
        <f>VLOOKUP(A38,'2122 Band Moderations'!$B$5:$S$22,6,(FALSE))</f>
        <v>0.24</v>
      </c>
      <c r="E38" s="812">
        <f>VLOOKUP(A38,'2122 Band Moderations'!$B$5:$S$22,8,(FALSE))</f>
        <v>0.58399999999999996</v>
      </c>
      <c r="F38" s="812">
        <f>VLOOKUP(A38,'2122 Band Moderations'!$B$5:$S$22,10,(FALSE))</f>
        <v>7.1999999999999995E-2</v>
      </c>
      <c r="G38" s="812">
        <f>VLOOKUP(A38,'2122 Band Moderations'!$B$5:$S$22,12,(FALSE))</f>
        <v>1.6E-2</v>
      </c>
      <c r="H38" s="812">
        <f>VLOOKUP(A38,'2122 Band Moderations'!$B$5:$S$22,14,(FALSE))</f>
        <v>8.0000000000000002E-3</v>
      </c>
      <c r="I38" s="812">
        <f>VLOOKUP(A38,'2122 Band Moderations'!$B$5:$S$22,16,(FALSE))</f>
        <v>0.08</v>
      </c>
      <c r="J38" s="812">
        <f>VLOOKUP(A38,'2122 Band Moderations'!$B$5:$S$22,18,(FALSE))</f>
        <v>0</v>
      </c>
      <c r="K38" s="1012">
        <v>0</v>
      </c>
      <c r="L38" s="813">
        <f t="shared" si="5"/>
        <v>0</v>
      </c>
      <c r="M38" s="813">
        <f t="shared" si="6"/>
        <v>0</v>
      </c>
      <c r="N38" s="813">
        <f t="shared" si="8"/>
        <v>0</v>
      </c>
      <c r="O38" s="724">
        <f t="shared" si="9"/>
        <v>0</v>
      </c>
      <c r="P38" s="724">
        <f>(VLOOKUP(A38,'2122 Funding Detail'!$A$4:$Y$21,23,FALSE)*4/12)*K38</f>
        <v>0</v>
      </c>
      <c r="Q38" s="80"/>
      <c r="R38" s="42">
        <f t="shared" si="7"/>
        <v>0</v>
      </c>
      <c r="S38" s="233"/>
      <c r="T38" s="80"/>
      <c r="U38" s="42"/>
      <c r="V38" s="42"/>
    </row>
    <row r="39" spans="1:22" s="34" customFormat="1" x14ac:dyDescent="0.25">
      <c r="A39" s="185">
        <v>9257029</v>
      </c>
      <c r="B39" s="915" t="s">
        <v>848</v>
      </c>
      <c r="C39" s="781" t="s">
        <v>949</v>
      </c>
      <c r="D39" s="812">
        <f>VLOOKUP(A39,'2122 Band Moderations'!$B$5:$S$22,6,(FALSE))</f>
        <v>0</v>
      </c>
      <c r="E39" s="812">
        <f>VLOOKUP(A39,'2122 Band Moderations'!$B$5:$S$22,8,(FALSE))</f>
        <v>0</v>
      </c>
      <c r="F39" s="812">
        <f>VLOOKUP(A39,'2122 Band Moderations'!$B$5:$S$22,10,(FALSE))</f>
        <v>1</v>
      </c>
      <c r="G39" s="812">
        <f>VLOOKUP(A39,'2122 Band Moderations'!$B$5:$S$22,12,(FALSE))</f>
        <v>0</v>
      </c>
      <c r="H39" s="812">
        <f>VLOOKUP(A39,'2122 Band Moderations'!$B$5:$S$22,14,(FALSE))</f>
        <v>0</v>
      </c>
      <c r="I39" s="812">
        <f>VLOOKUP(A39,'2122 Band Moderations'!$B$5:$S$22,16,(FALSE))</f>
        <v>0</v>
      </c>
      <c r="J39" s="812">
        <f>VLOOKUP(A39,'2122 Band Moderations'!$B$5:$S$22,18,(FALSE))</f>
        <v>0</v>
      </c>
      <c r="K39" s="1012">
        <v>0</v>
      </c>
      <c r="L39" s="813">
        <f t="shared" si="5"/>
        <v>0</v>
      </c>
      <c r="M39" s="813">
        <f t="shared" si="6"/>
        <v>0</v>
      </c>
      <c r="N39" s="813">
        <f t="shared" si="8"/>
        <v>0</v>
      </c>
      <c r="O39" s="724">
        <f t="shared" si="9"/>
        <v>0</v>
      </c>
      <c r="P39" s="724">
        <f>(VLOOKUP(A39,'2122 Funding Detail'!$A$4:$Y$21,23,FALSE)*4/12)*K39</f>
        <v>0</v>
      </c>
      <c r="Q39" s="80"/>
      <c r="R39" s="42">
        <f t="shared" si="7"/>
        <v>0</v>
      </c>
      <c r="S39" s="233"/>
      <c r="T39" s="80"/>
      <c r="U39" s="42"/>
      <c r="V39" s="42"/>
    </row>
    <row r="40" spans="1:22" s="34" customFormat="1" x14ac:dyDescent="0.25">
      <c r="A40" s="185">
        <v>9257032</v>
      </c>
      <c r="B40" s="915" t="s">
        <v>934</v>
      </c>
      <c r="C40" s="781" t="s">
        <v>949</v>
      </c>
      <c r="D40" s="812">
        <f>VLOOKUP(A40,'2122 Band Moderations'!$B$5:$S$22,6,(FALSE))</f>
        <v>0</v>
      </c>
      <c r="E40" s="812">
        <f>VLOOKUP(A40,'2122 Band Moderations'!$B$5:$S$22,8,(FALSE))</f>
        <v>0</v>
      </c>
      <c r="F40" s="812">
        <f>VLOOKUP(A40,'2122 Band Moderations'!$B$5:$S$22,10,(FALSE))</f>
        <v>1</v>
      </c>
      <c r="G40" s="812">
        <f>VLOOKUP(A40,'2122 Band Moderations'!$B$5:$S$22,12,(FALSE))</f>
        <v>0</v>
      </c>
      <c r="H40" s="812">
        <f>VLOOKUP(A40,'2122 Band Moderations'!$B$5:$S$22,14,(FALSE))</f>
        <v>0</v>
      </c>
      <c r="I40" s="812">
        <f>VLOOKUP(A40,'2122 Band Moderations'!$B$5:$S$22,16,(FALSE))</f>
        <v>0</v>
      </c>
      <c r="J40" s="812">
        <f>VLOOKUP(A40,'2122 Band Moderations'!$B$5:$S$22,18,(FALSE))</f>
        <v>0</v>
      </c>
      <c r="K40" s="1012">
        <v>0</v>
      </c>
      <c r="L40" s="813">
        <f t="shared" si="5"/>
        <v>0</v>
      </c>
      <c r="M40" s="813">
        <f t="shared" si="6"/>
        <v>0</v>
      </c>
      <c r="N40" s="813">
        <f t="shared" si="8"/>
        <v>0</v>
      </c>
      <c r="O40" s="724">
        <f t="shared" si="9"/>
        <v>0</v>
      </c>
      <c r="P40" s="724">
        <f>(VLOOKUP(A40,'2122 Funding Detail'!$A$4:$Y$21,23,FALSE)*4/12)*K40</f>
        <v>0</v>
      </c>
      <c r="Q40" s="80"/>
      <c r="R40" s="42">
        <f t="shared" si="7"/>
        <v>0</v>
      </c>
      <c r="S40" s="233"/>
      <c r="T40" s="80"/>
      <c r="U40" s="42"/>
      <c r="V40" s="42"/>
    </row>
    <row r="41" spans="1:22" s="34" customFormat="1" x14ac:dyDescent="0.25">
      <c r="A41" s="185">
        <v>9257030</v>
      </c>
      <c r="B41" s="915" t="s">
        <v>933</v>
      </c>
      <c r="C41" s="781" t="s">
        <v>949</v>
      </c>
      <c r="D41" s="812">
        <f>VLOOKUP(A41,'2122 Band Moderations'!$B$5:$S$22,6,(FALSE))</f>
        <v>0</v>
      </c>
      <c r="E41" s="812">
        <f>VLOOKUP(A41,'2122 Band Moderations'!$B$5:$S$22,8,(FALSE))</f>
        <v>0</v>
      </c>
      <c r="F41" s="812">
        <f>VLOOKUP(A41,'2122 Band Moderations'!$B$5:$S$22,10,(FALSE))</f>
        <v>1</v>
      </c>
      <c r="G41" s="812">
        <f>VLOOKUP(A41,'2122 Band Moderations'!$B$5:$S$22,12,(FALSE))</f>
        <v>0</v>
      </c>
      <c r="H41" s="812">
        <f>VLOOKUP(A41,'2122 Band Moderations'!$B$5:$S$22,14,(FALSE))</f>
        <v>0</v>
      </c>
      <c r="I41" s="812">
        <f>VLOOKUP(A41,'2122 Band Moderations'!$B$5:$S$22,16,(FALSE))</f>
        <v>0</v>
      </c>
      <c r="J41" s="812">
        <f>VLOOKUP(A41,'2122 Band Moderations'!$B$5:$S$22,18,(FALSE))</f>
        <v>0</v>
      </c>
      <c r="K41" s="1012">
        <v>0</v>
      </c>
      <c r="L41" s="813">
        <f t="shared" si="5"/>
        <v>0</v>
      </c>
      <c r="M41" s="813">
        <f t="shared" si="6"/>
        <v>0</v>
      </c>
      <c r="N41" s="813">
        <f t="shared" si="8"/>
        <v>0</v>
      </c>
      <c r="O41" s="724">
        <f t="shared" si="9"/>
        <v>0</v>
      </c>
      <c r="P41" s="724">
        <f>(VLOOKUP(A41,'2122 Funding Detail'!$A$4:$Y$21,23,FALSE)*4/12)*K41</f>
        <v>0</v>
      </c>
      <c r="Q41" s="80"/>
      <c r="R41" s="42">
        <f t="shared" si="7"/>
        <v>0</v>
      </c>
      <c r="S41" s="233"/>
      <c r="T41" s="80"/>
      <c r="U41" s="42"/>
      <c r="V41" s="42"/>
    </row>
    <row r="42" spans="1:22" s="34" customFormat="1" x14ac:dyDescent="0.25">
      <c r="A42" s="185">
        <v>9257028</v>
      </c>
      <c r="B42" s="38" t="s">
        <v>77</v>
      </c>
      <c r="C42" s="781">
        <v>5</v>
      </c>
      <c r="D42" s="812">
        <f>VLOOKUP(A42,'2122 Band Moderations'!$B$5:$S$22,6,(FALSE))</f>
        <v>8.9108910891089105E-2</v>
      </c>
      <c r="E42" s="812">
        <f>VLOOKUP(A42,'2122 Band Moderations'!$B$5:$S$22,8,(FALSE))</f>
        <v>0.40594059405940597</v>
      </c>
      <c r="F42" s="812">
        <f>VLOOKUP(A42,'2122 Band Moderations'!$B$5:$S$22,10,(FALSE))</f>
        <v>7.9207920792079209E-2</v>
      </c>
      <c r="G42" s="812">
        <f>VLOOKUP(A42,'2122 Band Moderations'!$B$5:$S$22,12,(FALSE))</f>
        <v>8.9108910891089105E-2</v>
      </c>
      <c r="H42" s="812">
        <f>VLOOKUP(A42,'2122 Band Moderations'!$B$5:$S$22,14,(FALSE))</f>
        <v>0.12871287128712872</v>
      </c>
      <c r="I42" s="812">
        <f>VLOOKUP(A42,'2122 Band Moderations'!$B$5:$S$22,16,(FALSE))</f>
        <v>9.9009900990099015E-2</v>
      </c>
      <c r="J42" s="812">
        <f>VLOOKUP(A42,'2122 Band Moderations'!$B$5:$S$22,18,(FALSE))</f>
        <v>0.10891089108910891</v>
      </c>
      <c r="K42" s="1012">
        <v>8</v>
      </c>
      <c r="L42" s="813">
        <f t="shared" si="5"/>
        <v>31745.647630257423</v>
      </c>
      <c r="M42" s="813">
        <f t="shared" si="6"/>
        <v>556.56765676567647</v>
      </c>
      <c r="N42" s="813">
        <f t="shared" si="8"/>
        <v>32302.2152870231</v>
      </c>
      <c r="O42" s="724">
        <f t="shared" si="9"/>
        <v>26666.666666666664</v>
      </c>
      <c r="P42" s="724">
        <f>(VLOOKUP(A42,'2122 Funding Detail'!$A$4:$Y$21,23,FALSE)*4/12)*K42</f>
        <v>18815.060061664011</v>
      </c>
      <c r="Q42" s="80"/>
      <c r="R42" s="42">
        <f t="shared" si="7"/>
        <v>6643.9095421332531</v>
      </c>
      <c r="S42" s="233"/>
      <c r="T42" s="80"/>
      <c r="U42" s="42"/>
      <c r="V42" s="42"/>
    </row>
    <row r="43" spans="1:22" s="34" customFormat="1" x14ac:dyDescent="0.25">
      <c r="A43" s="185">
        <v>9257021</v>
      </c>
      <c r="B43" s="38" t="s">
        <v>78</v>
      </c>
      <c r="C43" s="781" t="s">
        <v>947</v>
      </c>
      <c r="D43" s="812">
        <f>VLOOKUP(A43,'2122 Band Moderations'!$B$5:$S$22,6,(FALSE))</f>
        <v>0.26829268292682928</v>
      </c>
      <c r="E43" s="812">
        <f>VLOOKUP(A43,'2122 Band Moderations'!$B$5:$S$22,8,(FALSE))</f>
        <v>0.42682926829268292</v>
      </c>
      <c r="F43" s="812">
        <f>VLOOKUP(A43,'2122 Band Moderations'!$B$5:$S$22,10,(FALSE))</f>
        <v>7.926829268292683E-2</v>
      </c>
      <c r="G43" s="812">
        <f>VLOOKUP(A43,'2122 Band Moderations'!$B$5:$S$22,12,(FALSE))</f>
        <v>6.7073170731707321E-2</v>
      </c>
      <c r="H43" s="812">
        <f>VLOOKUP(A43,'2122 Band Moderations'!$B$5:$S$22,14,(FALSE))</f>
        <v>5.4878048780487805E-2</v>
      </c>
      <c r="I43" s="812">
        <f>VLOOKUP(A43,'2122 Band Moderations'!$B$5:$S$22,16,(FALSE))</f>
        <v>9.1463414634146339E-2</v>
      </c>
      <c r="J43" s="812">
        <f>VLOOKUP(A43,'2122 Band Moderations'!$B$5:$S$22,18,(FALSE))</f>
        <v>1.2195121951219513E-2</v>
      </c>
      <c r="K43" s="1012">
        <v>0</v>
      </c>
      <c r="L43" s="813">
        <f t="shared" si="5"/>
        <v>0</v>
      </c>
      <c r="M43" s="813">
        <f t="shared" si="6"/>
        <v>0</v>
      </c>
      <c r="N43" s="813">
        <f t="shared" si="8"/>
        <v>0</v>
      </c>
      <c r="O43" s="724">
        <f t="shared" si="9"/>
        <v>0</v>
      </c>
      <c r="P43" s="724">
        <f>(VLOOKUP(A43,'2122 Funding Detail'!$A$4:$Y$21,23,FALSE)*4/12)*K43</f>
        <v>0</v>
      </c>
      <c r="Q43" s="80"/>
      <c r="R43" s="42">
        <f t="shared" si="7"/>
        <v>0</v>
      </c>
      <c r="S43" s="233"/>
      <c r="T43" s="80"/>
      <c r="U43" s="42"/>
      <c r="V43" s="42"/>
    </row>
    <row r="44" spans="1:22" s="34" customFormat="1" x14ac:dyDescent="0.25">
      <c r="A44" s="185">
        <v>9257015</v>
      </c>
      <c r="B44" s="38" t="s">
        <v>55</v>
      </c>
      <c r="C44" s="781" t="s">
        <v>948</v>
      </c>
      <c r="D44" s="812">
        <f>VLOOKUP(A44,'2122 Band Moderations'!$B$5:$S$22,6,(FALSE))</f>
        <v>0.33185840707964603</v>
      </c>
      <c r="E44" s="812">
        <f>VLOOKUP(A44,'2122 Band Moderations'!$B$5:$S$22,8,(FALSE))</f>
        <v>0.38495575221238937</v>
      </c>
      <c r="F44" s="812">
        <f>VLOOKUP(A44,'2122 Band Moderations'!$B$5:$S$22,10,(FALSE))</f>
        <v>1.7699115044247787E-2</v>
      </c>
      <c r="G44" s="812">
        <f>VLOOKUP(A44,'2122 Band Moderations'!$B$5:$S$22,12,(FALSE))</f>
        <v>8.8495575221238937E-2</v>
      </c>
      <c r="H44" s="812">
        <f>VLOOKUP(A44,'2122 Band Moderations'!$B$5:$S$22,14,(FALSE))</f>
        <v>2.2123893805309734E-2</v>
      </c>
      <c r="I44" s="812">
        <f>VLOOKUP(A44,'2122 Band Moderations'!$B$5:$S$22,16,(FALSE))</f>
        <v>0.1415929203539823</v>
      </c>
      <c r="J44" s="812">
        <f>VLOOKUP(A44,'2122 Band Moderations'!$B$5:$S$22,18,(FALSE))</f>
        <v>1.3274336283185841E-2</v>
      </c>
      <c r="K44" s="1012">
        <v>8</v>
      </c>
      <c r="L44" s="813">
        <f t="shared" si="5"/>
        <v>25123.100792279969</v>
      </c>
      <c r="M44" s="813">
        <f t="shared" si="6"/>
        <v>124.36578171091446</v>
      </c>
      <c r="N44" s="813">
        <f t="shared" si="8"/>
        <v>25247.466573990885</v>
      </c>
      <c r="O44" s="724">
        <f t="shared" si="9"/>
        <v>26666.666666666664</v>
      </c>
      <c r="P44" s="724">
        <f>(VLOOKUP(A44,'2122 Funding Detail'!$A$4:$Y$21,23,FALSE)*4/12)*K44</f>
        <v>6666.0880330092768</v>
      </c>
      <c r="Q44" s="80"/>
      <c r="R44" s="42">
        <f t="shared" si="7"/>
        <v>809.77658538470462</v>
      </c>
      <c r="S44" s="233"/>
      <c r="T44" s="80"/>
      <c r="U44" s="42"/>
      <c r="V44" s="42"/>
    </row>
    <row r="45" spans="1:22" s="34" customFormat="1" x14ac:dyDescent="0.25">
      <c r="A45" s="185">
        <v>9257016</v>
      </c>
      <c r="B45" s="38" t="s">
        <v>80</v>
      </c>
      <c r="C45" s="781" t="s">
        <v>948</v>
      </c>
      <c r="D45" s="812">
        <f>VLOOKUP(A45,'2122 Band Moderations'!$B$5:$S$22,6,(FALSE))</f>
        <v>0.18012422360248448</v>
      </c>
      <c r="E45" s="812">
        <f>VLOOKUP(A45,'2122 Band Moderations'!$B$5:$S$22,8,(FALSE))</f>
        <v>0.15527950310559005</v>
      </c>
      <c r="F45" s="812">
        <f>VLOOKUP(A45,'2122 Band Moderations'!$B$5:$S$22,10,(FALSE))</f>
        <v>6.2111801242236021E-3</v>
      </c>
      <c r="G45" s="812">
        <f>VLOOKUP(A45,'2122 Band Moderations'!$B$5:$S$22,12,(FALSE))</f>
        <v>0.2236024844720497</v>
      </c>
      <c r="H45" s="812">
        <f>VLOOKUP(A45,'2122 Band Moderations'!$B$5:$S$22,14,(FALSE))</f>
        <v>0.21118012422360249</v>
      </c>
      <c r="I45" s="812">
        <f>VLOOKUP(A45,'2122 Band Moderations'!$B$5:$S$22,16,(FALSE))</f>
        <v>1.2422360248447204E-2</v>
      </c>
      <c r="J45" s="812">
        <f>VLOOKUP(A45,'2122 Band Moderations'!$B$5:$S$22,18,(FALSE))</f>
        <v>0.21118012422360249</v>
      </c>
      <c r="K45" s="1012">
        <v>47</v>
      </c>
      <c r="L45" s="813">
        <f t="shared" si="5"/>
        <v>218102.9605741663</v>
      </c>
      <c r="M45" s="813">
        <f t="shared" si="6"/>
        <v>256.40786749482402</v>
      </c>
      <c r="N45" s="813">
        <f t="shared" si="8"/>
        <v>218359.36844166112</v>
      </c>
      <c r="O45" s="724">
        <f t="shared" si="9"/>
        <v>156666.66666666666</v>
      </c>
      <c r="P45" s="724">
        <f>(VLOOKUP(A45,'2122 Funding Detail'!$A$4:$Y$21,23,FALSE)*4/12)*K45</f>
        <v>128536.10660789932</v>
      </c>
      <c r="Q45" s="628" t="s">
        <v>402</v>
      </c>
      <c r="R45" s="42">
        <f t="shared" si="7"/>
        <v>75685.609280154065</v>
      </c>
      <c r="S45" s="233"/>
      <c r="T45" s="80"/>
      <c r="U45" s="42"/>
      <c r="V45" s="42"/>
    </row>
    <row r="46" spans="1:22" s="34" customFormat="1" x14ac:dyDescent="0.25">
      <c r="A46" s="75"/>
      <c r="B46" s="50"/>
      <c r="C46" s="61"/>
      <c r="D46" s="49"/>
      <c r="E46" s="49"/>
      <c r="F46" s="628" t="s">
        <v>402</v>
      </c>
      <c r="G46" s="49"/>
      <c r="H46" s="49"/>
      <c r="I46" s="49"/>
      <c r="J46" s="628" t="s">
        <v>402</v>
      </c>
      <c r="L46" s="168"/>
      <c r="M46" s="168"/>
      <c r="N46" s="628" t="s">
        <v>402</v>
      </c>
      <c r="O46" s="80"/>
      <c r="P46" s="80"/>
      <c r="Q46" s="80"/>
      <c r="R46" s="233"/>
      <c r="S46" s="233"/>
      <c r="T46" s="40"/>
    </row>
    <row r="47" spans="1:22" s="34" customFormat="1" ht="13" x14ac:dyDescent="0.3">
      <c r="A47" s="230" t="s">
        <v>931</v>
      </c>
      <c r="B47" s="50"/>
      <c r="C47" s="50"/>
      <c r="K47" s="1052"/>
      <c r="L47" s="1052"/>
      <c r="S47" s="347"/>
    </row>
    <row r="48" spans="1:22" s="34" customFormat="1" x14ac:dyDescent="0.25">
      <c r="B48" s="50"/>
      <c r="C48" s="50"/>
      <c r="K48" s="231" t="s">
        <v>921</v>
      </c>
      <c r="L48" s="1052"/>
      <c r="O48" s="1893" t="s">
        <v>332</v>
      </c>
      <c r="P48" s="1894"/>
    </row>
    <row r="49" spans="1:20" s="34" customFormat="1" ht="39.75" customHeight="1" x14ac:dyDescent="0.25">
      <c r="A49" s="183" t="s">
        <v>201</v>
      </c>
      <c r="B49" s="36" t="s">
        <v>66</v>
      </c>
      <c r="C49" s="39" t="s">
        <v>51</v>
      </c>
      <c r="D49" s="1056" t="s">
        <v>858</v>
      </c>
      <c r="E49" s="1056" t="s">
        <v>859</v>
      </c>
      <c r="F49" s="1056" t="s">
        <v>860</v>
      </c>
      <c r="G49" s="1056" t="s">
        <v>861</v>
      </c>
      <c r="H49" s="1056" t="s">
        <v>862</v>
      </c>
      <c r="I49" s="1056" t="s">
        <v>863</v>
      </c>
      <c r="J49" s="1056" t="s">
        <v>864</v>
      </c>
      <c r="K49" s="1058" t="s">
        <v>253</v>
      </c>
      <c r="L49" s="1058" t="s">
        <v>390</v>
      </c>
      <c r="M49" s="1058" t="s">
        <v>391</v>
      </c>
      <c r="N49" s="1058" t="s">
        <v>287</v>
      </c>
      <c r="O49" s="93" t="s">
        <v>329</v>
      </c>
      <c r="P49" s="694" t="s">
        <v>340</v>
      </c>
      <c r="S49" s="347"/>
    </row>
    <row r="50" spans="1:20" s="34" customFormat="1" x14ac:dyDescent="0.25">
      <c r="A50" s="131">
        <v>9257010</v>
      </c>
      <c r="B50" s="38" t="s">
        <v>67</v>
      </c>
      <c r="C50" s="781">
        <v>5</v>
      </c>
      <c r="D50" s="812">
        <f>VLOOKUP(A50,'2122 Band Moderations'!$B$5:$S$22,6,(FALSE))</f>
        <v>1.5873015873015872E-2</v>
      </c>
      <c r="E50" s="812">
        <f>VLOOKUP(A50,'2122 Band Moderations'!$B$5:$S$22,8,(FALSE))</f>
        <v>0.31746031746031744</v>
      </c>
      <c r="F50" s="812">
        <f>VLOOKUP(A50,'2122 Band Moderations'!$B$5:$S$22,10,(FALSE))</f>
        <v>9.5238095238095233E-2</v>
      </c>
      <c r="G50" s="812">
        <f>VLOOKUP(A50,'2122 Band Moderations'!$B$5:$S$22,12,(FALSE))</f>
        <v>0.17460317460317459</v>
      </c>
      <c r="H50" s="812">
        <f>VLOOKUP(A50,'2122 Band Moderations'!$B$5:$S$22,14,(FALSE))</f>
        <v>6.3492063492063489E-2</v>
      </c>
      <c r="I50" s="812">
        <f>VLOOKUP(A50,'2122 Band Moderations'!$B$5:$S$22,16,(FALSE))</f>
        <v>0.19047619047619047</v>
      </c>
      <c r="J50" s="812">
        <f>VLOOKUP(A50,'2122 Band Moderations'!$B$5:$S$22,18,(FALSE))</f>
        <v>0.14285714285714285</v>
      </c>
      <c r="K50" s="1012">
        <v>90</v>
      </c>
      <c r="L50" s="813">
        <f t="shared" ref="L50:L67" si="10">((((K50*D50)*$G$92)+((K50*E50)*$G$94)+((K50*F50)*$G$96)+((K50*G50)*$G$98)+((K50*H50)*$G$100)+((K50*I50)*$G$102)+((K50*J50)*$G$104))*(7/12))</f>
        <v>710182.92913566111</v>
      </c>
      <c r="M50" s="813">
        <f>((F50*K50)*$G$106)*(7/12)</f>
        <v>13175.000000000002</v>
      </c>
      <c r="N50" s="813">
        <f t="shared" ref="N50:N67" si="11">SUM(L50:M50)</f>
        <v>723357.92913566111</v>
      </c>
      <c r="O50" s="724">
        <f>(K50*(7/12))*10000</f>
        <v>525000</v>
      </c>
      <c r="P50" s="724">
        <f>(VLOOKUP(A50,'2122 Funding Detail'!$A$4:$Y$21,23,FALSE)*7/12)*K50</f>
        <v>539568.89280779613</v>
      </c>
      <c r="Q50" s="42"/>
      <c r="R50" s="42">
        <f t="shared" ref="R50:R67" si="12">(J50*K50*$G$104)*7/12</f>
        <v>171571.41402838429</v>
      </c>
      <c r="S50" s="978" t="s">
        <v>402</v>
      </c>
      <c r="T50" s="625" t="s">
        <v>595</v>
      </c>
    </row>
    <row r="51" spans="1:20" s="34" customFormat="1" x14ac:dyDescent="0.25">
      <c r="A51" s="131">
        <v>9257005</v>
      </c>
      <c r="B51" s="38" t="s">
        <v>68</v>
      </c>
      <c r="C51" s="781">
        <v>4</v>
      </c>
      <c r="D51" s="812">
        <f>VLOOKUP(A51,'2122 Band Moderations'!$B$5:$S$22,6,(FALSE))</f>
        <v>0.05</v>
      </c>
      <c r="E51" s="812">
        <f>VLOOKUP(A51,'2122 Band Moderations'!$B$5:$S$22,8,(FALSE))</f>
        <v>0.4</v>
      </c>
      <c r="F51" s="812">
        <f>VLOOKUP(A51,'2122 Band Moderations'!$B$5:$S$22,10,(FALSE))</f>
        <v>6.25E-2</v>
      </c>
      <c r="G51" s="812">
        <f>VLOOKUP(A51,'2122 Band Moderations'!$B$5:$S$22,12,(FALSE))</f>
        <v>0.15</v>
      </c>
      <c r="H51" s="812">
        <f>VLOOKUP(A51,'2122 Band Moderations'!$B$5:$S$22,14,(FALSE))</f>
        <v>0.125</v>
      </c>
      <c r="I51" s="812">
        <f>VLOOKUP(A51,'2122 Band Moderations'!$B$5:$S$22,16,(FALSE))</f>
        <v>0.15</v>
      </c>
      <c r="J51" s="812">
        <f>VLOOKUP(A51,'2122 Band Moderations'!$B$5:$S$22,18,(FALSE))</f>
        <v>6.25E-2</v>
      </c>
      <c r="K51" s="1012">
        <v>58</v>
      </c>
      <c r="L51" s="813">
        <f t="shared" si="10"/>
        <v>406979.0568758304</v>
      </c>
      <c r="M51" s="813">
        <f t="shared" ref="M51:M67" si="13">((F51*K51)*$G$106)*(7/12)</f>
        <v>5571.9270833333339</v>
      </c>
      <c r="N51" s="813">
        <f t="shared" si="11"/>
        <v>412550.98395916371</v>
      </c>
      <c r="O51" s="724">
        <f t="shared" ref="O51:O67" si="14">(K51*(7/12))*10000</f>
        <v>338333.33333333337</v>
      </c>
      <c r="P51" s="724">
        <f>(VLOOKUP(A51,'2122 Funding Detail'!$A$4:$Y$21,23,FALSE)*7/12)*K51</f>
        <v>269873.80927070766</v>
      </c>
      <c r="Q51" s="42"/>
      <c r="R51" s="42">
        <f t="shared" si="12"/>
        <v>48373.607010780572</v>
      </c>
      <c r="S51" s="168"/>
    </row>
    <row r="52" spans="1:20" s="34" customFormat="1" x14ac:dyDescent="0.25">
      <c r="A52" s="131">
        <v>9257025</v>
      </c>
      <c r="B52" s="38" t="s">
        <v>69</v>
      </c>
      <c r="C52" s="781">
        <v>4</v>
      </c>
      <c r="D52" s="812">
        <f>VLOOKUP(A52,'2122 Band Moderations'!$B$5:$S$22,6,(FALSE))</f>
        <v>0.15584415584415584</v>
      </c>
      <c r="E52" s="812">
        <f>VLOOKUP(A52,'2122 Band Moderations'!$B$5:$S$22,8,(FALSE))</f>
        <v>0.40259740259740262</v>
      </c>
      <c r="F52" s="812">
        <f>VLOOKUP(A52,'2122 Band Moderations'!$B$5:$S$22,10,(FALSE))</f>
        <v>3.896103896103896E-2</v>
      </c>
      <c r="G52" s="812">
        <f>VLOOKUP(A52,'2122 Band Moderations'!$B$5:$S$22,12,(FALSE))</f>
        <v>0.15584415584415584</v>
      </c>
      <c r="H52" s="812">
        <f>VLOOKUP(A52,'2122 Band Moderations'!$B$5:$S$22,14,(FALSE))</f>
        <v>5.1948051948051951E-2</v>
      </c>
      <c r="I52" s="812">
        <f>VLOOKUP(A52,'2122 Band Moderations'!$B$5:$S$22,16,(FALSE))</f>
        <v>0.14285714285714285</v>
      </c>
      <c r="J52" s="812">
        <f>VLOOKUP(A52,'2122 Band Moderations'!$B$5:$S$22,18,(FALSE))</f>
        <v>5.1948051948051951E-2</v>
      </c>
      <c r="K52" s="1012">
        <v>54</v>
      </c>
      <c r="L52" s="813">
        <f t="shared" si="10"/>
        <v>348565.98991245835</v>
      </c>
      <c r="M52" s="813">
        <f t="shared" si="13"/>
        <v>3233.8636363636369</v>
      </c>
      <c r="N52" s="813">
        <f t="shared" si="11"/>
        <v>351799.85354882199</v>
      </c>
      <c r="O52" s="724">
        <f t="shared" si="14"/>
        <v>315000.00000000006</v>
      </c>
      <c r="P52" s="724">
        <f>(VLOOKUP(A52,'2122 Funding Detail'!$A$4:$Y$21,23,FALSE)*7/12)*K52</f>
        <v>239842.89155624944</v>
      </c>
      <c r="Q52" s="42"/>
      <c r="R52" s="42">
        <f t="shared" si="12"/>
        <v>37433.763060738391</v>
      </c>
      <c r="S52" s="168"/>
    </row>
    <row r="53" spans="1:20" s="34" customFormat="1" x14ac:dyDescent="0.25">
      <c r="A53" s="131">
        <v>9257011</v>
      </c>
      <c r="B53" s="38" t="s">
        <v>70</v>
      </c>
      <c r="C53" s="781" t="s">
        <v>1009</v>
      </c>
      <c r="D53" s="812">
        <f>VLOOKUP(A53,'2122 Band Moderations'!$B$5:$S$22,6,(FALSE))</f>
        <v>5.6603773584905662E-2</v>
      </c>
      <c r="E53" s="812">
        <f>VLOOKUP(A53,'2122 Band Moderations'!$B$5:$S$22,8,(FALSE))</f>
        <v>0.35849056603773582</v>
      </c>
      <c r="F53" s="812">
        <f>VLOOKUP(A53,'2122 Band Moderations'!$B$5:$S$22,10,(FALSE))</f>
        <v>1.8867924528301886E-2</v>
      </c>
      <c r="G53" s="812">
        <f>VLOOKUP(A53,'2122 Band Moderations'!$B$5:$S$22,12,(FALSE))</f>
        <v>0.16981132075471697</v>
      </c>
      <c r="H53" s="812">
        <f>VLOOKUP(A53,'2122 Band Moderations'!$B$5:$S$22,14,(FALSE))</f>
        <v>0.13207547169811321</v>
      </c>
      <c r="I53" s="812">
        <f>VLOOKUP(A53,'2122 Band Moderations'!$B$5:$S$22,16,(FALSE))</f>
        <v>0.15094339622641509</v>
      </c>
      <c r="J53" s="812">
        <f>VLOOKUP(A53,'2122 Band Moderations'!$B$5:$S$22,18,(FALSE))</f>
        <v>0.11320754716981132</v>
      </c>
      <c r="K53" s="1012">
        <v>50</v>
      </c>
      <c r="L53" s="813">
        <f t="shared" si="10"/>
        <v>373685.57971990277</v>
      </c>
      <c r="M53" s="813">
        <f t="shared" si="13"/>
        <v>1450.0786163522014</v>
      </c>
      <c r="N53" s="813">
        <f t="shared" si="11"/>
        <v>375135.658336255</v>
      </c>
      <c r="O53" s="724">
        <f t="shared" si="14"/>
        <v>291666.66666666669</v>
      </c>
      <c r="P53" s="724">
        <f>(VLOOKUP(A53,'2122 Funding Detail'!$A$4:$Y$21,23,FALSE)*7/12)*K53</f>
        <v>308893.3307500481</v>
      </c>
      <c r="Q53" s="42"/>
      <c r="R53" s="42">
        <f t="shared" si="12"/>
        <v>75534.584792370457</v>
      </c>
      <c r="S53" s="168"/>
    </row>
    <row r="54" spans="1:20" s="34" customFormat="1" x14ac:dyDescent="0.25">
      <c r="A54" s="131">
        <v>9257024</v>
      </c>
      <c r="B54" s="38" t="s">
        <v>71</v>
      </c>
      <c r="C54" s="781">
        <v>4</v>
      </c>
      <c r="D54" s="812">
        <f>VLOOKUP(A54,'2122 Band Moderations'!$B$5:$S$22,6,(FALSE))</f>
        <v>8.4337349397590355E-2</v>
      </c>
      <c r="E54" s="812">
        <f>VLOOKUP(A54,'2122 Band Moderations'!$B$5:$S$22,8,(FALSE))</f>
        <v>0.45783132530120479</v>
      </c>
      <c r="F54" s="812">
        <f>VLOOKUP(A54,'2122 Band Moderations'!$B$5:$S$22,10,(FALSE))</f>
        <v>1.2048192771084338E-2</v>
      </c>
      <c r="G54" s="812">
        <f>VLOOKUP(A54,'2122 Band Moderations'!$B$5:$S$22,12,(FALSE))</f>
        <v>0.18072289156626506</v>
      </c>
      <c r="H54" s="812">
        <f>VLOOKUP(A54,'2122 Band Moderations'!$B$5:$S$22,14,(FALSE))</f>
        <v>8.4337349397590355E-2</v>
      </c>
      <c r="I54" s="812">
        <f>VLOOKUP(A54,'2122 Band Moderations'!$B$5:$S$22,16,(FALSE))</f>
        <v>7.2289156626506021E-2</v>
      </c>
      <c r="J54" s="812">
        <f>VLOOKUP(A54,'2122 Band Moderations'!$B$5:$S$22,18,(FALSE))</f>
        <v>0.10843373493975904</v>
      </c>
      <c r="K54" s="1012">
        <v>71</v>
      </c>
      <c r="L54" s="813">
        <f t="shared" si="10"/>
        <v>485439.0489550691</v>
      </c>
      <c r="M54" s="813">
        <f t="shared" si="13"/>
        <v>1314.8544176706828</v>
      </c>
      <c r="N54" s="813">
        <f t="shared" si="11"/>
        <v>486753.90337273979</v>
      </c>
      <c r="O54" s="724">
        <f t="shared" si="14"/>
        <v>414166.66666666669</v>
      </c>
      <c r="P54" s="724">
        <f>(VLOOKUP(A54,'2122 Funding Detail'!$A$4:$Y$21,23,FALSE)*7/12)*K54</f>
        <v>320015.00904740195</v>
      </c>
      <c r="Q54" s="42"/>
      <c r="R54" s="42">
        <f t="shared" si="12"/>
        <v>102736.13587000842</v>
      </c>
      <c r="S54" s="168"/>
    </row>
    <row r="55" spans="1:20" s="34" customFormat="1" x14ac:dyDescent="0.25">
      <c r="A55" s="131">
        <v>9257031</v>
      </c>
      <c r="B55" s="38" t="s">
        <v>98</v>
      </c>
      <c r="C55" s="781">
        <v>5</v>
      </c>
      <c r="D55" s="812">
        <f>VLOOKUP(A55,'2122 Band Moderations'!$B$5:$S$22,6,(FALSE))</f>
        <v>0</v>
      </c>
      <c r="E55" s="812">
        <f>VLOOKUP(A55,'2122 Band Moderations'!$B$5:$S$22,8,(FALSE))</f>
        <v>0</v>
      </c>
      <c r="F55" s="812">
        <f>VLOOKUP(A55,'2122 Band Moderations'!$B$5:$S$22,10,(FALSE))</f>
        <v>1</v>
      </c>
      <c r="G55" s="812">
        <f>VLOOKUP(A55,'2122 Band Moderations'!$B$5:$S$22,12,(FALSE))</f>
        <v>0</v>
      </c>
      <c r="H55" s="812">
        <f>VLOOKUP(A55,'2122 Band Moderations'!$B$5:$S$22,14,(FALSE))</f>
        <v>0</v>
      </c>
      <c r="I55" s="812">
        <f>VLOOKUP(A55,'2122 Band Moderations'!$B$5:$S$22,16,(FALSE))</f>
        <v>0</v>
      </c>
      <c r="J55" s="812">
        <f>VLOOKUP(A55,'2122 Band Moderations'!$B$5:$S$22,18,(FALSE))</f>
        <v>0</v>
      </c>
      <c r="K55" s="1012">
        <v>81</v>
      </c>
      <c r="L55" s="813">
        <f t="shared" si="10"/>
        <v>569795.38325333723</v>
      </c>
      <c r="M55" s="813">
        <f t="shared" si="13"/>
        <v>124503.75000000001</v>
      </c>
      <c r="N55" s="813">
        <f t="shared" si="11"/>
        <v>694299.13325333723</v>
      </c>
      <c r="O55" s="724">
        <f t="shared" si="14"/>
        <v>472500</v>
      </c>
      <c r="P55" s="724">
        <f>(VLOOKUP(A55,'2122 Funding Detail'!$A$4:$Y$21,23,FALSE)*7/12)*K55</f>
        <v>505531.14414583921</v>
      </c>
      <c r="Q55" s="42"/>
      <c r="R55" s="42">
        <f t="shared" si="12"/>
        <v>0</v>
      </c>
      <c r="S55" s="168"/>
    </row>
    <row r="56" spans="1:20" s="34" customFormat="1" x14ac:dyDescent="0.25">
      <c r="A56" s="131">
        <v>9257033</v>
      </c>
      <c r="B56" s="38" t="s">
        <v>72</v>
      </c>
      <c r="C56" s="781" t="s">
        <v>946</v>
      </c>
      <c r="D56" s="812">
        <f>VLOOKUP(A56,'2122 Band Moderations'!$B$5:$S$22,6,(FALSE))</f>
        <v>0.16842105263157894</v>
      </c>
      <c r="E56" s="812">
        <f>VLOOKUP(A56,'2122 Band Moderations'!$B$5:$S$22,8,(FALSE))</f>
        <v>0.5368421052631579</v>
      </c>
      <c r="F56" s="812">
        <f>VLOOKUP(A56,'2122 Band Moderations'!$B$5:$S$22,10,(FALSE))</f>
        <v>6.3157894736842107E-2</v>
      </c>
      <c r="G56" s="812">
        <f>VLOOKUP(A56,'2122 Band Moderations'!$B$5:$S$22,12,(FALSE))</f>
        <v>0.14736842105263157</v>
      </c>
      <c r="H56" s="812">
        <f>VLOOKUP(A56,'2122 Band Moderations'!$B$5:$S$22,14,(FALSE))</f>
        <v>4.2105263157894736E-2</v>
      </c>
      <c r="I56" s="812">
        <f>VLOOKUP(A56,'2122 Band Moderations'!$B$5:$S$22,16,(FALSE))</f>
        <v>4.2105263157894736E-2</v>
      </c>
      <c r="J56" s="812">
        <f>VLOOKUP(A56,'2122 Band Moderations'!$B$5:$S$22,18,(FALSE))</f>
        <v>0</v>
      </c>
      <c r="K56" s="1012">
        <v>98</v>
      </c>
      <c r="L56" s="813">
        <f t="shared" si="10"/>
        <v>534926.52819957177</v>
      </c>
      <c r="M56" s="813">
        <f t="shared" si="13"/>
        <v>9513.7368421052652</v>
      </c>
      <c r="N56" s="813">
        <f t="shared" si="11"/>
        <v>544440.26504167705</v>
      </c>
      <c r="O56" s="724">
        <f t="shared" si="14"/>
        <v>571666.66666666674</v>
      </c>
      <c r="P56" s="724">
        <f>(VLOOKUP(A56,'2122 Funding Detail'!$A$4:$Y$21,23,FALSE)*7/12)*K56</f>
        <v>258554.83791777072</v>
      </c>
      <c r="Q56" s="42"/>
      <c r="R56" s="42">
        <f t="shared" si="12"/>
        <v>0</v>
      </c>
      <c r="S56" s="168"/>
    </row>
    <row r="57" spans="1:20" s="34" customFormat="1" x14ac:dyDescent="0.25">
      <c r="A57" s="131">
        <v>9257008</v>
      </c>
      <c r="B57" s="38" t="s">
        <v>73</v>
      </c>
      <c r="C57" s="781">
        <v>4</v>
      </c>
      <c r="D57" s="812">
        <f>VLOOKUP(A57,'2122 Band Moderations'!$B$5:$S$22,6,(FALSE))</f>
        <v>0.10101010101010101</v>
      </c>
      <c r="E57" s="812">
        <f>VLOOKUP(A57,'2122 Band Moderations'!$B$5:$S$22,8,(FALSE))</f>
        <v>0.58585858585858586</v>
      </c>
      <c r="F57" s="812">
        <f>VLOOKUP(A57,'2122 Band Moderations'!$B$5:$S$22,10,(FALSE))</f>
        <v>8.0808080808080815E-2</v>
      </c>
      <c r="G57" s="812">
        <f>VLOOKUP(A57,'2122 Band Moderations'!$B$5:$S$22,12,(FALSE))</f>
        <v>9.0909090909090912E-2</v>
      </c>
      <c r="H57" s="812">
        <f>VLOOKUP(A57,'2122 Band Moderations'!$B$5:$S$22,14,(FALSE))</f>
        <v>1.0101010101010102E-2</v>
      </c>
      <c r="I57" s="812">
        <f>VLOOKUP(A57,'2122 Band Moderations'!$B$5:$S$22,16,(FALSE))</f>
        <v>0.12121212121212122</v>
      </c>
      <c r="J57" s="812">
        <f>VLOOKUP(A57,'2122 Band Moderations'!$B$5:$S$22,18,(FALSE))</f>
        <v>1.0101010101010102E-2</v>
      </c>
      <c r="K57" s="1012">
        <v>99</v>
      </c>
      <c r="L57" s="813">
        <f t="shared" si="10"/>
        <v>559593.08347400383</v>
      </c>
      <c r="M57" s="813">
        <f t="shared" si="13"/>
        <v>12296.666666666668</v>
      </c>
      <c r="N57" s="813">
        <f t="shared" si="11"/>
        <v>571889.75014067045</v>
      </c>
      <c r="O57" s="724">
        <f t="shared" si="14"/>
        <v>577500.00000000012</v>
      </c>
      <c r="P57" s="724">
        <f>(VLOOKUP(A57,'2122 Funding Detail'!$A$4:$Y$21,23,FALSE)*7/12)*K57</f>
        <v>278129.13948978286</v>
      </c>
      <c r="Q57" s="42"/>
      <c r="R57" s="42">
        <f t="shared" si="12"/>
        <v>13344.443313318778</v>
      </c>
      <c r="S57" s="168"/>
    </row>
    <row r="58" spans="1:20" s="34" customFormat="1" x14ac:dyDescent="0.25">
      <c r="A58" s="131">
        <v>9257034</v>
      </c>
      <c r="B58" s="38" t="s">
        <v>74</v>
      </c>
      <c r="C58" s="781" t="s">
        <v>946</v>
      </c>
      <c r="D58" s="812">
        <f>VLOOKUP(A58,'2122 Band Moderations'!$B$5:$S$22,6,(FALSE))</f>
        <v>0.42424242424242425</v>
      </c>
      <c r="E58" s="812">
        <f>VLOOKUP(A58,'2122 Band Moderations'!$B$5:$S$22,8,(FALSE))</f>
        <v>0.29292929292929293</v>
      </c>
      <c r="F58" s="812">
        <f>VLOOKUP(A58,'2122 Band Moderations'!$B$5:$S$22,10,(FALSE))</f>
        <v>0.14141414141414141</v>
      </c>
      <c r="G58" s="812">
        <f>VLOOKUP(A58,'2122 Band Moderations'!$B$5:$S$22,12,(FALSE))</f>
        <v>3.0303030303030304E-2</v>
      </c>
      <c r="H58" s="812">
        <f>VLOOKUP(A58,'2122 Band Moderations'!$B$5:$S$22,14,(FALSE))</f>
        <v>4.0404040404040407E-2</v>
      </c>
      <c r="I58" s="812">
        <f>VLOOKUP(A58,'2122 Band Moderations'!$B$5:$S$22,16,(FALSE))</f>
        <v>6.0606060606060608E-2</v>
      </c>
      <c r="J58" s="812">
        <f>VLOOKUP(A58,'2122 Band Moderations'!$B$5:$S$22,18,(FALSE))</f>
        <v>1.0101010101010102E-2</v>
      </c>
      <c r="K58" s="1012">
        <v>88</v>
      </c>
      <c r="L58" s="813">
        <f t="shared" si="10"/>
        <v>453332.34796860069</v>
      </c>
      <c r="M58" s="813">
        <f t="shared" si="13"/>
        <v>19128.14814814815</v>
      </c>
      <c r="N58" s="813">
        <f t="shared" si="11"/>
        <v>472460.49611674884</v>
      </c>
      <c r="O58" s="724">
        <f t="shared" si="14"/>
        <v>513333.33333333337</v>
      </c>
      <c r="P58" s="724">
        <f>(VLOOKUP(A58,'2122 Funding Detail'!$A$4:$Y$21,23,FALSE)*7/12)*K58</f>
        <v>199464.78691002424</v>
      </c>
      <c r="Q58" s="42"/>
      <c r="R58" s="42">
        <f t="shared" si="12"/>
        <v>11861.727389616693</v>
      </c>
      <c r="S58" s="168"/>
    </row>
    <row r="59" spans="1:20" s="34" customFormat="1" x14ac:dyDescent="0.25">
      <c r="A59" s="131">
        <v>9257002</v>
      </c>
      <c r="B59" s="38" t="s">
        <v>75</v>
      </c>
      <c r="C59" s="781">
        <v>5</v>
      </c>
      <c r="D59" s="812">
        <f>VLOOKUP(A59,'2122 Band Moderations'!$B$5:$S$22,6,(FALSE))</f>
        <v>0.3546099290780142</v>
      </c>
      <c r="E59" s="812">
        <f>VLOOKUP(A59,'2122 Band Moderations'!$B$5:$S$22,8,(FALSE))</f>
        <v>0.38297872340425532</v>
      </c>
      <c r="F59" s="812">
        <f>VLOOKUP(A59,'2122 Band Moderations'!$B$5:$S$22,10,(FALSE))</f>
        <v>0.1276595744680851</v>
      </c>
      <c r="G59" s="812">
        <f>VLOOKUP(A59,'2122 Band Moderations'!$B$5:$S$22,12,(FALSE))</f>
        <v>2.8368794326241134E-2</v>
      </c>
      <c r="H59" s="812">
        <f>VLOOKUP(A59,'2122 Band Moderations'!$B$5:$S$22,14,(FALSE))</f>
        <v>2.1276595744680851E-2</v>
      </c>
      <c r="I59" s="812">
        <f>VLOOKUP(A59,'2122 Band Moderations'!$B$5:$S$22,16,(FALSE))</f>
        <v>7.8014184397163122E-2</v>
      </c>
      <c r="J59" s="812">
        <f>VLOOKUP(A59,'2122 Band Moderations'!$B$5:$S$22,18,(FALSE))</f>
        <v>7.0921985815602835E-3</v>
      </c>
      <c r="K59" s="1012">
        <v>151</v>
      </c>
      <c r="L59" s="813">
        <f t="shared" si="10"/>
        <v>774846.38704042183</v>
      </c>
      <c r="M59" s="813">
        <f t="shared" si="13"/>
        <v>29629.734042553191</v>
      </c>
      <c r="N59" s="813">
        <f t="shared" si="11"/>
        <v>804476.12108297506</v>
      </c>
      <c r="O59" s="724">
        <f t="shared" si="14"/>
        <v>880833.33333333337</v>
      </c>
      <c r="P59" s="724">
        <f>(VLOOKUP(A59,'2122 Funding Detail'!$A$4:$Y$21,23,FALSE)*7/12)*K59</f>
        <v>250541.65155705716</v>
      </c>
      <c r="Q59" s="42"/>
      <c r="R59" s="42">
        <f t="shared" si="12"/>
        <v>14290.857732703087</v>
      </c>
      <c r="S59" s="168"/>
    </row>
    <row r="60" spans="1:20" s="34" customFormat="1" x14ac:dyDescent="0.25">
      <c r="A60" s="131">
        <v>9257009</v>
      </c>
      <c r="B60" s="38" t="s">
        <v>76</v>
      </c>
      <c r="C60" s="781" t="s">
        <v>946</v>
      </c>
      <c r="D60" s="812">
        <f>VLOOKUP(A60,'2122 Band Moderations'!$B$5:$S$22,6,(FALSE))</f>
        <v>0.24</v>
      </c>
      <c r="E60" s="812">
        <f>VLOOKUP(A60,'2122 Band Moderations'!$B$5:$S$22,8,(FALSE))</f>
        <v>0.58399999999999996</v>
      </c>
      <c r="F60" s="812">
        <f>VLOOKUP(A60,'2122 Band Moderations'!$B$5:$S$22,10,(FALSE))</f>
        <v>7.1999999999999995E-2</v>
      </c>
      <c r="G60" s="812">
        <f>VLOOKUP(A60,'2122 Band Moderations'!$B$5:$S$22,12,(FALSE))</f>
        <v>1.6E-2</v>
      </c>
      <c r="H60" s="812">
        <f>VLOOKUP(A60,'2122 Band Moderations'!$B$5:$S$22,14,(FALSE))</f>
        <v>8.0000000000000002E-3</v>
      </c>
      <c r="I60" s="812">
        <f>VLOOKUP(A60,'2122 Band Moderations'!$B$5:$S$22,16,(FALSE))</f>
        <v>0.08</v>
      </c>
      <c r="J60" s="812">
        <f>VLOOKUP(A60,'2122 Band Moderations'!$B$5:$S$22,18,(FALSE))</f>
        <v>0</v>
      </c>
      <c r="K60" s="1012">
        <v>136</v>
      </c>
      <c r="L60" s="813">
        <f t="shared" si="10"/>
        <v>665963.73438003089</v>
      </c>
      <c r="M60" s="813">
        <f t="shared" si="13"/>
        <v>15051.12</v>
      </c>
      <c r="N60" s="813">
        <f t="shared" si="11"/>
        <v>681014.85438003088</v>
      </c>
      <c r="O60" s="724">
        <f t="shared" si="14"/>
        <v>793333.33333333337</v>
      </c>
      <c r="P60" s="724">
        <f>(VLOOKUP(A60,'2122 Funding Detail'!$A$4:$Y$21,23,FALSE)*7/12)*K60</f>
        <v>230185.82578283714</v>
      </c>
      <c r="Q60" s="42"/>
      <c r="R60" s="42">
        <f t="shared" si="12"/>
        <v>0</v>
      </c>
      <c r="S60" s="168"/>
    </row>
    <row r="61" spans="1:20" s="34" customFormat="1" x14ac:dyDescent="0.25">
      <c r="A61" s="131">
        <v>9257029</v>
      </c>
      <c r="B61" s="915" t="s">
        <v>848</v>
      </c>
      <c r="C61" s="781" t="s">
        <v>949</v>
      </c>
      <c r="D61" s="812">
        <f>VLOOKUP(A61,'2122 Band Moderations'!$B$5:$S$22,6,(FALSE))</f>
        <v>0</v>
      </c>
      <c r="E61" s="812">
        <f>VLOOKUP(A61,'2122 Band Moderations'!$B$5:$S$22,8,(FALSE))</f>
        <v>0</v>
      </c>
      <c r="F61" s="812">
        <f>VLOOKUP(A61,'2122 Band Moderations'!$B$5:$S$22,10,(FALSE))</f>
        <v>1</v>
      </c>
      <c r="G61" s="812">
        <f>VLOOKUP(A61,'2122 Band Moderations'!$B$5:$S$22,12,(FALSE))</f>
        <v>0</v>
      </c>
      <c r="H61" s="812">
        <f>VLOOKUP(A61,'2122 Band Moderations'!$B$5:$S$22,14,(FALSE))</f>
        <v>0</v>
      </c>
      <c r="I61" s="812">
        <f>VLOOKUP(A61,'2122 Band Moderations'!$B$5:$S$22,16,(FALSE))</f>
        <v>0</v>
      </c>
      <c r="J61" s="812">
        <f>VLOOKUP(A61,'2122 Band Moderations'!$B$5:$S$22,18,(FALSE))</f>
        <v>0</v>
      </c>
      <c r="K61" s="1012">
        <v>78</v>
      </c>
      <c r="L61" s="813">
        <f t="shared" si="10"/>
        <v>548691.85054025066</v>
      </c>
      <c r="M61" s="813">
        <f t="shared" si="13"/>
        <v>119892.50000000001</v>
      </c>
      <c r="N61" s="813">
        <f t="shared" si="11"/>
        <v>668584.35054025066</v>
      </c>
      <c r="O61" s="724">
        <f t="shared" si="14"/>
        <v>455000</v>
      </c>
      <c r="P61" s="724">
        <f>(VLOOKUP(A61,'2122 Funding Detail'!$A$4:$Y$21,23,FALSE)*7/12)*K61</f>
        <v>487981.23081338807</v>
      </c>
      <c r="Q61" s="42"/>
      <c r="R61" s="42">
        <f t="shared" si="12"/>
        <v>0</v>
      </c>
      <c r="S61" s="168"/>
    </row>
    <row r="62" spans="1:20" s="34" customFormat="1" x14ac:dyDescent="0.25">
      <c r="A62" s="131">
        <v>9257032</v>
      </c>
      <c r="B62" s="915" t="s">
        <v>934</v>
      </c>
      <c r="C62" s="781" t="s">
        <v>949</v>
      </c>
      <c r="D62" s="812">
        <f>VLOOKUP(A62,'2122 Band Moderations'!$B$5:$S$22,6,(FALSE))</f>
        <v>0</v>
      </c>
      <c r="E62" s="812">
        <f>VLOOKUP(A62,'2122 Band Moderations'!$B$5:$S$22,8,(FALSE))</f>
        <v>0</v>
      </c>
      <c r="F62" s="812">
        <f>VLOOKUP(A62,'2122 Band Moderations'!$B$5:$S$22,10,(FALSE))</f>
        <v>1</v>
      </c>
      <c r="G62" s="812">
        <f>VLOOKUP(A62,'2122 Band Moderations'!$B$5:$S$22,12,(FALSE))</f>
        <v>0</v>
      </c>
      <c r="H62" s="812">
        <f>VLOOKUP(A62,'2122 Band Moderations'!$B$5:$S$22,14,(FALSE))</f>
        <v>0</v>
      </c>
      <c r="I62" s="812">
        <f>VLOOKUP(A62,'2122 Band Moderations'!$B$5:$S$22,16,(FALSE))</f>
        <v>0</v>
      </c>
      <c r="J62" s="812">
        <f>VLOOKUP(A62,'2122 Band Moderations'!$B$5:$S$22,18,(FALSE))</f>
        <v>0</v>
      </c>
      <c r="K62" s="1012">
        <v>104</v>
      </c>
      <c r="L62" s="813">
        <f t="shared" si="10"/>
        <v>731589.13405366754</v>
      </c>
      <c r="M62" s="813">
        <f t="shared" si="13"/>
        <v>159856.66666666669</v>
      </c>
      <c r="N62" s="813">
        <f t="shared" si="11"/>
        <v>891445.80072033429</v>
      </c>
      <c r="O62" s="724">
        <f t="shared" si="14"/>
        <v>606666.66666666674</v>
      </c>
      <c r="P62" s="724">
        <f>(VLOOKUP(A62,'2122 Funding Detail'!$A$4:$Y$21,23,FALSE)*7/12)*K62</f>
        <v>592587.67902020668</v>
      </c>
      <c r="Q62" s="42"/>
      <c r="R62" s="42">
        <f t="shared" si="12"/>
        <v>0</v>
      </c>
      <c r="S62" s="168"/>
    </row>
    <row r="63" spans="1:20" s="34" customFormat="1" x14ac:dyDescent="0.25">
      <c r="A63" s="131">
        <v>9257030</v>
      </c>
      <c r="B63" s="915" t="s">
        <v>933</v>
      </c>
      <c r="C63" s="781" t="s">
        <v>949</v>
      </c>
      <c r="D63" s="812">
        <f>VLOOKUP(A63,'2122 Band Moderations'!$B$5:$S$22,6,(FALSE))</f>
        <v>0</v>
      </c>
      <c r="E63" s="812">
        <f>VLOOKUP(A63,'2122 Band Moderations'!$B$5:$S$22,8,(FALSE))</f>
        <v>0</v>
      </c>
      <c r="F63" s="812">
        <f>VLOOKUP(A63,'2122 Band Moderations'!$B$5:$S$22,10,(FALSE))</f>
        <v>1</v>
      </c>
      <c r="G63" s="812">
        <f>VLOOKUP(A63,'2122 Band Moderations'!$B$5:$S$22,12,(FALSE))</f>
        <v>0</v>
      </c>
      <c r="H63" s="812">
        <f>VLOOKUP(A63,'2122 Band Moderations'!$B$5:$S$22,14,(FALSE))</f>
        <v>0</v>
      </c>
      <c r="I63" s="812">
        <f>VLOOKUP(A63,'2122 Band Moderations'!$B$5:$S$22,16,(FALSE))</f>
        <v>0</v>
      </c>
      <c r="J63" s="812">
        <f>VLOOKUP(A63,'2122 Band Moderations'!$B$5:$S$22,18,(FALSE))</f>
        <v>0</v>
      </c>
      <c r="K63" s="1012">
        <v>72</v>
      </c>
      <c r="L63" s="813">
        <f t="shared" si="10"/>
        <v>506484.78511407756</v>
      </c>
      <c r="M63" s="813">
        <f t="shared" si="13"/>
        <v>110670</v>
      </c>
      <c r="N63" s="813">
        <f t="shared" si="11"/>
        <v>617154.78511407762</v>
      </c>
      <c r="O63" s="724">
        <f t="shared" si="14"/>
        <v>420000</v>
      </c>
      <c r="P63" s="724">
        <f>(VLOOKUP(A63,'2122 Funding Detail'!$A$4:$Y$21,23,FALSE)*7/12)*K63</f>
        <v>470788.22842753911</v>
      </c>
      <c r="Q63" s="42"/>
      <c r="R63" s="42">
        <f t="shared" si="12"/>
        <v>0</v>
      </c>
      <c r="S63" s="168"/>
    </row>
    <row r="64" spans="1:20" s="34" customFormat="1" x14ac:dyDescent="0.25">
      <c r="A64" s="131">
        <v>9257028</v>
      </c>
      <c r="B64" s="38" t="s">
        <v>77</v>
      </c>
      <c r="C64" s="781">
        <v>5</v>
      </c>
      <c r="D64" s="812">
        <f>VLOOKUP(A64,'2122 Band Moderations'!$B$5:$S$22,6,(FALSE))</f>
        <v>8.9108910891089105E-2</v>
      </c>
      <c r="E64" s="812">
        <f>VLOOKUP(A64,'2122 Band Moderations'!$B$5:$S$22,8,(FALSE))</f>
        <v>0.40594059405940597</v>
      </c>
      <c r="F64" s="812">
        <f>VLOOKUP(A64,'2122 Band Moderations'!$B$5:$S$22,10,(FALSE))</f>
        <v>7.9207920792079209E-2</v>
      </c>
      <c r="G64" s="812">
        <f>VLOOKUP(A64,'2122 Band Moderations'!$B$5:$S$22,12,(FALSE))</f>
        <v>8.9108910891089105E-2</v>
      </c>
      <c r="H64" s="812">
        <f>VLOOKUP(A64,'2122 Band Moderations'!$B$5:$S$22,14,(FALSE))</f>
        <v>0.12871287128712872</v>
      </c>
      <c r="I64" s="812">
        <f>VLOOKUP(A64,'2122 Band Moderations'!$B$5:$S$22,16,(FALSE))</f>
        <v>9.9009900990099015E-2</v>
      </c>
      <c r="J64" s="812">
        <f>VLOOKUP(A64,'2122 Band Moderations'!$B$5:$S$22,18,(FALSE))</f>
        <v>0.10891089108910891</v>
      </c>
      <c r="K64" s="1012">
        <v>117</v>
      </c>
      <c r="L64" s="813">
        <f t="shared" si="10"/>
        <v>812490.16903690109</v>
      </c>
      <c r="M64" s="813">
        <f t="shared" si="13"/>
        <v>14244.653465346533</v>
      </c>
      <c r="N64" s="813">
        <f t="shared" si="11"/>
        <v>826734.82250224764</v>
      </c>
      <c r="O64" s="724">
        <f t="shared" si="14"/>
        <v>682500</v>
      </c>
      <c r="P64" s="724">
        <f>(VLOOKUP(A64,'2122 Funding Detail'!$A$4:$Y$21,23,FALSE)*7/12)*K64</f>
        <v>481547.9434532132</v>
      </c>
      <c r="Q64" s="42"/>
      <c r="R64" s="42">
        <f t="shared" si="12"/>
        <v>170042.55984397294</v>
      </c>
      <c r="S64" s="168"/>
    </row>
    <row r="65" spans="1:23" s="34" customFormat="1" x14ac:dyDescent="0.25">
      <c r="A65" s="131">
        <v>9257021</v>
      </c>
      <c r="B65" s="38" t="s">
        <v>78</v>
      </c>
      <c r="C65" s="781" t="s">
        <v>947</v>
      </c>
      <c r="D65" s="812">
        <f>VLOOKUP(A65,'2122 Band Moderations'!$B$5:$S$22,6,(FALSE))</f>
        <v>0.26829268292682928</v>
      </c>
      <c r="E65" s="812">
        <f>VLOOKUP(A65,'2122 Band Moderations'!$B$5:$S$22,8,(FALSE))</f>
        <v>0.42682926829268292</v>
      </c>
      <c r="F65" s="812">
        <f>VLOOKUP(A65,'2122 Band Moderations'!$B$5:$S$22,10,(FALSE))</f>
        <v>7.926829268292683E-2</v>
      </c>
      <c r="G65" s="812">
        <f>VLOOKUP(A65,'2122 Band Moderations'!$B$5:$S$22,12,(FALSE))</f>
        <v>6.7073170731707321E-2</v>
      </c>
      <c r="H65" s="812">
        <f>VLOOKUP(A65,'2122 Band Moderations'!$B$5:$S$22,14,(FALSE))</f>
        <v>5.4878048780487805E-2</v>
      </c>
      <c r="I65" s="812">
        <f>VLOOKUP(A65,'2122 Band Moderations'!$B$5:$S$22,16,(FALSE))</f>
        <v>9.1463414634146339E-2</v>
      </c>
      <c r="J65" s="812">
        <f>VLOOKUP(A65,'2122 Band Moderations'!$B$5:$S$22,18,(FALSE))</f>
        <v>1.2195121951219513E-2</v>
      </c>
      <c r="K65" s="1012">
        <v>169</v>
      </c>
      <c r="L65" s="813">
        <f t="shared" si="10"/>
        <v>928290.35609913187</v>
      </c>
      <c r="M65" s="813">
        <f t="shared" si="13"/>
        <v>20591.293191056913</v>
      </c>
      <c r="N65" s="813">
        <f t="shared" si="11"/>
        <v>948881.6492901888</v>
      </c>
      <c r="O65" s="724">
        <f t="shared" si="14"/>
        <v>985833.33333333337</v>
      </c>
      <c r="P65" s="724">
        <f>(VLOOKUP(A65,'2122 Funding Detail'!$A$4:$Y$21,23,FALSE)*7/12)*K65</f>
        <v>329479.7586137536</v>
      </c>
      <c r="Q65" s="42"/>
      <c r="R65" s="42">
        <f t="shared" si="12"/>
        <v>27502.572194522847</v>
      </c>
      <c r="S65" s="168"/>
    </row>
    <row r="66" spans="1:23" s="34" customFormat="1" x14ac:dyDescent="0.25">
      <c r="A66" s="131">
        <v>9257015</v>
      </c>
      <c r="B66" s="38" t="s">
        <v>55</v>
      </c>
      <c r="C66" s="781" t="s">
        <v>948</v>
      </c>
      <c r="D66" s="812">
        <f>VLOOKUP(A66,'2122 Band Moderations'!$B$5:$S$22,6,(FALSE))</f>
        <v>0.33185840707964603</v>
      </c>
      <c r="E66" s="812">
        <f>VLOOKUP(A66,'2122 Band Moderations'!$B$5:$S$22,8,(FALSE))</f>
        <v>0.38495575221238937</v>
      </c>
      <c r="F66" s="812">
        <f>VLOOKUP(A66,'2122 Band Moderations'!$B$5:$S$22,10,(FALSE))</f>
        <v>1.7699115044247787E-2</v>
      </c>
      <c r="G66" s="812">
        <f>VLOOKUP(A66,'2122 Band Moderations'!$B$5:$S$22,12,(FALSE))</f>
        <v>8.8495575221238937E-2</v>
      </c>
      <c r="H66" s="812">
        <f>VLOOKUP(A66,'2122 Band Moderations'!$B$5:$S$22,14,(FALSE))</f>
        <v>2.2123893805309734E-2</v>
      </c>
      <c r="I66" s="812">
        <f>VLOOKUP(A66,'2122 Band Moderations'!$B$5:$S$22,16,(FALSE))</f>
        <v>0.1415929203539823</v>
      </c>
      <c r="J66" s="812">
        <f>VLOOKUP(A66,'2122 Band Moderations'!$B$5:$S$22,18,(FALSE))</f>
        <v>1.3274336283185841E-2</v>
      </c>
      <c r="K66" s="1012">
        <v>223</v>
      </c>
      <c r="L66" s="813">
        <f t="shared" si="10"/>
        <v>1225536.2605234075</v>
      </c>
      <c r="M66" s="813">
        <f t="shared" si="13"/>
        <v>6066.7182890855456</v>
      </c>
      <c r="N66" s="813">
        <f t="shared" si="11"/>
        <v>1231602.9788124929</v>
      </c>
      <c r="O66" s="724">
        <f t="shared" si="14"/>
        <v>1300833.3333333335</v>
      </c>
      <c r="P66" s="724">
        <f>(VLOOKUP(A66,'2122 Funding Detail'!$A$4:$Y$21,23,FALSE)*7/12)*K66</f>
        <v>325180.10686023376</v>
      </c>
      <c r="Q66" s="42"/>
      <c r="R66" s="42">
        <f t="shared" si="12"/>
        <v>39501.914055797621</v>
      </c>
      <c r="S66" s="168"/>
    </row>
    <row r="67" spans="1:23" s="34" customFormat="1" x14ac:dyDescent="0.25">
      <c r="A67" s="131">
        <v>9257016</v>
      </c>
      <c r="B67" s="38" t="s">
        <v>80</v>
      </c>
      <c r="C67" s="781" t="s">
        <v>948</v>
      </c>
      <c r="D67" s="812">
        <f>VLOOKUP(A67,'2122 Band Moderations'!$B$5:$S$22,6,(FALSE))</f>
        <v>0.18012422360248448</v>
      </c>
      <c r="E67" s="812">
        <f>VLOOKUP(A67,'2122 Band Moderations'!$B$5:$S$22,8,(FALSE))</f>
        <v>0.15527950310559005</v>
      </c>
      <c r="F67" s="812">
        <f>VLOOKUP(A67,'2122 Band Moderations'!$B$5:$S$22,10,(FALSE))</f>
        <v>6.2111801242236021E-3</v>
      </c>
      <c r="G67" s="812">
        <f>VLOOKUP(A67,'2122 Band Moderations'!$B$5:$S$22,12,(FALSE))</f>
        <v>0.2236024844720497</v>
      </c>
      <c r="H67" s="812">
        <f>VLOOKUP(A67,'2122 Band Moderations'!$B$5:$S$22,14,(FALSE))</f>
        <v>0.21118012422360249</v>
      </c>
      <c r="I67" s="812">
        <f>VLOOKUP(A67,'2122 Band Moderations'!$B$5:$S$22,16,(FALSE))</f>
        <v>1.2422360248447204E-2</v>
      </c>
      <c r="J67" s="812">
        <f>VLOOKUP(A67,'2122 Band Moderations'!$B$5:$S$22,18,(FALSE))</f>
        <v>0.21118012422360249</v>
      </c>
      <c r="K67" s="1012">
        <v>105</v>
      </c>
      <c r="L67" s="813">
        <f t="shared" si="10"/>
        <v>852689.76607453323</v>
      </c>
      <c r="M67" s="813">
        <f t="shared" si="13"/>
        <v>1002.4456521739131</v>
      </c>
      <c r="N67" s="813">
        <f t="shared" si="11"/>
        <v>853692.21172670717</v>
      </c>
      <c r="O67" s="724">
        <f t="shared" si="14"/>
        <v>612500.00000000012</v>
      </c>
      <c r="P67" s="724">
        <f>(VLOOKUP(A67,'2122 Funding Detail'!$A$4:$Y$21,23,FALSE)*7/12)*K67</f>
        <v>502521.4806213085</v>
      </c>
      <c r="Q67" s="628" t="s">
        <v>402</v>
      </c>
      <c r="R67" s="42">
        <f t="shared" si="12"/>
        <v>295898.5256431555</v>
      </c>
      <c r="S67" s="168"/>
    </row>
    <row r="68" spans="1:23" s="34" customFormat="1" x14ac:dyDescent="0.25">
      <c r="B68" s="50"/>
      <c r="C68" s="50"/>
      <c r="F68" s="628" t="s">
        <v>402</v>
      </c>
      <c r="J68" s="628" t="s">
        <v>402</v>
      </c>
      <c r="K68" s="1052"/>
      <c r="N68" s="628" t="s">
        <v>402</v>
      </c>
      <c r="S68" s="347"/>
    </row>
    <row r="69" spans="1:23" s="34" customFormat="1" ht="13" x14ac:dyDescent="0.3">
      <c r="A69" s="230" t="s">
        <v>932</v>
      </c>
      <c r="B69" s="50"/>
      <c r="C69" s="50"/>
      <c r="K69" s="1052"/>
      <c r="L69" s="1052"/>
      <c r="S69" s="347"/>
    </row>
    <row r="70" spans="1:23" s="34" customFormat="1" x14ac:dyDescent="0.25">
      <c r="B70" s="50"/>
      <c r="C70" s="50"/>
      <c r="K70" s="1052"/>
      <c r="L70" s="1052"/>
      <c r="O70" s="1893" t="s">
        <v>332</v>
      </c>
      <c r="P70" s="1894"/>
      <c r="S70" s="347"/>
    </row>
    <row r="71" spans="1:23" s="34" customFormat="1" ht="37.5" x14ac:dyDescent="0.25">
      <c r="A71" s="183" t="s">
        <v>201</v>
      </c>
      <c r="B71" s="36" t="s">
        <v>66</v>
      </c>
      <c r="C71" s="39" t="s">
        <v>51</v>
      </c>
      <c r="D71" s="1056" t="s">
        <v>858</v>
      </c>
      <c r="E71" s="1056" t="s">
        <v>859</v>
      </c>
      <c r="F71" s="1056" t="s">
        <v>860</v>
      </c>
      <c r="G71" s="1056" t="s">
        <v>861</v>
      </c>
      <c r="H71" s="1056" t="s">
        <v>862</v>
      </c>
      <c r="I71" s="1056" t="s">
        <v>863</v>
      </c>
      <c r="J71" s="1056" t="s">
        <v>864</v>
      </c>
      <c r="K71" s="1058" t="s">
        <v>185</v>
      </c>
      <c r="L71" s="1058" t="s">
        <v>289</v>
      </c>
      <c r="M71" s="1058" t="s">
        <v>392</v>
      </c>
      <c r="N71" s="1058" t="s">
        <v>289</v>
      </c>
      <c r="O71" s="1058" t="s">
        <v>330</v>
      </c>
      <c r="P71" s="694" t="s">
        <v>341</v>
      </c>
      <c r="Q71" s="1058"/>
      <c r="R71" s="1058"/>
      <c r="S71" s="252"/>
    </row>
    <row r="72" spans="1:23" s="34" customFormat="1" x14ac:dyDescent="0.25">
      <c r="A72" s="185">
        <v>9257010</v>
      </c>
      <c r="B72" s="38" t="s">
        <v>67</v>
      </c>
      <c r="C72" s="781">
        <v>5</v>
      </c>
      <c r="D72" s="812">
        <f>VLOOKUP(A72,'2122 Band Moderations'!$B$5:$S$22,6,(FALSE))</f>
        <v>1.5873015873015872E-2</v>
      </c>
      <c r="E72" s="812">
        <f>VLOOKUP(A72,'2122 Band Moderations'!$B$5:$S$22,8,(FALSE))</f>
        <v>0.31746031746031744</v>
      </c>
      <c r="F72" s="812">
        <f>VLOOKUP(A72,'2122 Band Moderations'!$B$5:$S$22,10,(FALSE))</f>
        <v>9.5238095238095233E-2</v>
      </c>
      <c r="G72" s="812">
        <f>VLOOKUP(A72,'2122 Band Moderations'!$B$5:$S$22,12,(FALSE))</f>
        <v>0.17460317460317459</v>
      </c>
      <c r="H72" s="812">
        <f>VLOOKUP(A72,'2122 Band Moderations'!$B$5:$S$22,14,(FALSE))</f>
        <v>6.3492063492063489E-2</v>
      </c>
      <c r="I72" s="812">
        <f>VLOOKUP(A72,'2122 Band Moderations'!$B$5:$S$22,16,(FALSE))</f>
        <v>0.19047619047619047</v>
      </c>
      <c r="J72" s="812">
        <f>VLOOKUP(A72,'2122 Band Moderations'!$B$5:$S$22,18,(FALSE))</f>
        <v>0.14285714285714285</v>
      </c>
      <c r="K72" s="1012">
        <v>10</v>
      </c>
      <c r="L72" s="813">
        <f t="shared" ref="L72:L89" si="15">((((K72*D72)*$G$92)+((K72*E72)*$G$94)+((K72*F72)*$G$96)+((K72*G72)*$G$98)+((K72*H72)*$G$100)+((K72*I72)*$G$102)+((K72*J72)*$G$104)))*(8/12)</f>
        <v>90181.959255322028</v>
      </c>
      <c r="M72" s="813">
        <f t="shared" ref="M72:M89" si="16">((F72*K72)*$G$106)*(8/12)</f>
        <v>1673.0158730158728</v>
      </c>
      <c r="N72" s="813">
        <f>SUM(L72:M72)</f>
        <v>91854.975128337901</v>
      </c>
      <c r="O72" s="724">
        <f>(K72*(8/12))*10000</f>
        <v>66666.666666666657</v>
      </c>
      <c r="P72" s="724">
        <f>(VLOOKUP(A72,'2122 Funding Detail'!$A$4:$Y$21,23,FALSE)*8/12)*K72</f>
        <v>68516.684800989999</v>
      </c>
      <c r="Q72" s="80"/>
      <c r="R72" s="42">
        <f t="shared" ref="R72:R89" si="17">(J72*K72*$G$104)*8/12</f>
        <v>21786.846225826575</v>
      </c>
      <c r="S72" s="168"/>
      <c r="T72" s="348"/>
      <c r="V72" s="626" t="s">
        <v>402</v>
      </c>
      <c r="W72" s="625" t="s">
        <v>594</v>
      </c>
    </row>
    <row r="73" spans="1:23" s="34" customFormat="1" x14ac:dyDescent="0.25">
      <c r="A73" s="185">
        <v>9257005</v>
      </c>
      <c r="B73" s="38" t="s">
        <v>68</v>
      </c>
      <c r="C73" s="781">
        <v>4</v>
      </c>
      <c r="D73" s="812">
        <f>VLOOKUP(A73,'2122 Band Moderations'!$B$5:$S$22,6,(FALSE))</f>
        <v>0.05</v>
      </c>
      <c r="E73" s="812">
        <f>VLOOKUP(A73,'2122 Band Moderations'!$B$5:$S$22,8,(FALSE))</f>
        <v>0.4</v>
      </c>
      <c r="F73" s="812">
        <f>VLOOKUP(A73,'2122 Band Moderations'!$B$5:$S$22,10,(FALSE))</f>
        <v>6.25E-2</v>
      </c>
      <c r="G73" s="812">
        <f>VLOOKUP(A73,'2122 Band Moderations'!$B$5:$S$22,12,(FALSE))</f>
        <v>0.15</v>
      </c>
      <c r="H73" s="812">
        <f>VLOOKUP(A73,'2122 Band Moderations'!$B$5:$S$22,14,(FALSE))</f>
        <v>0.125</v>
      </c>
      <c r="I73" s="812">
        <f>VLOOKUP(A73,'2122 Band Moderations'!$B$5:$S$22,16,(FALSE))</f>
        <v>0.15</v>
      </c>
      <c r="J73" s="812">
        <f>VLOOKUP(A73,'2122 Band Moderations'!$B$5:$S$22,18,(FALSE))</f>
        <v>6.25E-2</v>
      </c>
      <c r="K73" s="1012">
        <v>28</v>
      </c>
      <c r="L73" s="813">
        <f t="shared" si="15"/>
        <v>224540.16931080297</v>
      </c>
      <c r="M73" s="813">
        <f t="shared" si="16"/>
        <v>3074.1666666666665</v>
      </c>
      <c r="N73" s="813">
        <f>SUM(L73:M73)</f>
        <v>227614.33597746963</v>
      </c>
      <c r="O73" s="724">
        <f t="shared" ref="O73:O89" si="18">(K73*(8/12))*10000</f>
        <v>186666.66666666666</v>
      </c>
      <c r="P73" s="724">
        <f>(VLOOKUP(A73,'2122 Funding Detail'!$A$4:$Y$21,23,FALSE)*8/12)*K73</f>
        <v>148895.89477004562</v>
      </c>
      <c r="Q73" s="80"/>
      <c r="R73" s="42">
        <f t="shared" si="17"/>
        <v>26688.886626637555</v>
      </c>
      <c r="S73" s="168"/>
      <c r="T73" s="348"/>
    </row>
    <row r="74" spans="1:23" s="34" customFormat="1" x14ac:dyDescent="0.25">
      <c r="A74" s="185">
        <v>9257025</v>
      </c>
      <c r="B74" s="38" t="s">
        <v>69</v>
      </c>
      <c r="C74" s="781">
        <v>4</v>
      </c>
      <c r="D74" s="812">
        <f>VLOOKUP(A74,'2122 Band Moderations'!$B$5:$S$22,6,(FALSE))</f>
        <v>0.15584415584415584</v>
      </c>
      <c r="E74" s="812">
        <f>VLOOKUP(A74,'2122 Band Moderations'!$B$5:$S$22,8,(FALSE))</f>
        <v>0.40259740259740262</v>
      </c>
      <c r="F74" s="812">
        <f>VLOOKUP(A74,'2122 Band Moderations'!$B$5:$S$22,10,(FALSE))</f>
        <v>3.896103896103896E-2</v>
      </c>
      <c r="G74" s="812">
        <f>VLOOKUP(A74,'2122 Band Moderations'!$B$5:$S$22,12,(FALSE))</f>
        <v>0.15584415584415584</v>
      </c>
      <c r="H74" s="812">
        <f>VLOOKUP(A74,'2122 Band Moderations'!$B$5:$S$22,14,(FALSE))</f>
        <v>5.1948051948051951E-2</v>
      </c>
      <c r="I74" s="812">
        <f>VLOOKUP(A74,'2122 Band Moderations'!$B$5:$S$22,16,(FALSE))</f>
        <v>0.14285714285714285</v>
      </c>
      <c r="J74" s="812">
        <f>VLOOKUP(A74,'2122 Band Moderations'!$B$5:$S$22,18,(FALSE))</f>
        <v>5.1948051948051951E-2</v>
      </c>
      <c r="K74" s="1012">
        <v>24</v>
      </c>
      <c r="L74" s="813">
        <f t="shared" si="15"/>
        <v>177049.39170156608</v>
      </c>
      <c r="M74" s="813">
        <f t="shared" si="16"/>
        <v>1642.5974025974024</v>
      </c>
      <c r="N74" s="813">
        <f t="shared" ref="N74:N89" si="19">SUM(L74:M74)</f>
        <v>178691.98910416348</v>
      </c>
      <c r="O74" s="724">
        <f t="shared" si="18"/>
        <v>160000</v>
      </c>
      <c r="P74" s="724">
        <f>(VLOOKUP(A74,'2122 Funding Detail'!$A$4:$Y$21,23,FALSE)*8/12)*K74</f>
        <v>121824.96079047589</v>
      </c>
      <c r="Q74" s="80"/>
      <c r="R74" s="42">
        <f t="shared" si="17"/>
        <v>19013.974887994103</v>
      </c>
      <c r="S74" s="168"/>
      <c r="T74" s="348"/>
    </row>
    <row r="75" spans="1:23" s="34" customFormat="1" x14ac:dyDescent="0.25">
      <c r="A75" s="185">
        <v>9257011</v>
      </c>
      <c r="B75" s="38" t="s">
        <v>70</v>
      </c>
      <c r="C75" s="781" t="s">
        <v>1009</v>
      </c>
      <c r="D75" s="812">
        <f>VLOOKUP(A75,'2122 Band Moderations'!$B$5:$S$22,6,(FALSE))</f>
        <v>5.6603773584905662E-2</v>
      </c>
      <c r="E75" s="812">
        <f>VLOOKUP(A75,'2122 Band Moderations'!$B$5:$S$22,8,(FALSE))</f>
        <v>0.35849056603773582</v>
      </c>
      <c r="F75" s="812">
        <f>VLOOKUP(A75,'2122 Band Moderations'!$B$5:$S$22,10,(FALSE))</f>
        <v>1.8867924528301886E-2</v>
      </c>
      <c r="G75" s="812">
        <f>VLOOKUP(A75,'2122 Band Moderations'!$B$5:$S$22,12,(FALSE))</f>
        <v>0.16981132075471697</v>
      </c>
      <c r="H75" s="812">
        <f>VLOOKUP(A75,'2122 Band Moderations'!$B$5:$S$22,14,(FALSE))</f>
        <v>0.13207547169811321</v>
      </c>
      <c r="I75" s="812">
        <f>VLOOKUP(A75,'2122 Band Moderations'!$B$5:$S$22,16,(FALSE))</f>
        <v>0.15094339622641509</v>
      </c>
      <c r="J75" s="812">
        <f>VLOOKUP(A75,'2122 Band Moderations'!$B$5:$S$22,18,(FALSE))</f>
        <v>0.11320754716981132</v>
      </c>
      <c r="K75" s="1012">
        <v>8</v>
      </c>
      <c r="L75" s="813">
        <f t="shared" si="15"/>
        <v>68331.077434496503</v>
      </c>
      <c r="M75" s="813">
        <f t="shared" si="16"/>
        <v>265.15723270440247</v>
      </c>
      <c r="N75" s="813">
        <f t="shared" si="19"/>
        <v>68596.234667200901</v>
      </c>
      <c r="O75" s="724">
        <f t="shared" si="18"/>
        <v>53333.333333333328</v>
      </c>
      <c r="P75" s="724">
        <f>(VLOOKUP(A75,'2122 Funding Detail'!$A$4:$Y$21,23,FALSE)*8/12)*K75</f>
        <v>56483.351908580225</v>
      </c>
      <c r="Q75" s="80"/>
      <c r="R75" s="42">
        <f t="shared" si="17"/>
        <v>13812.038362033452</v>
      </c>
      <c r="S75" s="168"/>
      <c r="T75" s="348"/>
    </row>
    <row r="76" spans="1:23" s="34" customFormat="1" x14ac:dyDescent="0.25">
      <c r="A76" s="185">
        <v>9257024</v>
      </c>
      <c r="B76" s="38" t="s">
        <v>71</v>
      </c>
      <c r="C76" s="781">
        <v>4</v>
      </c>
      <c r="D76" s="812">
        <f>VLOOKUP(A76,'2122 Band Moderations'!$B$5:$S$22,6,(FALSE))</f>
        <v>8.4337349397590355E-2</v>
      </c>
      <c r="E76" s="812">
        <f>VLOOKUP(A76,'2122 Band Moderations'!$B$5:$S$22,8,(FALSE))</f>
        <v>0.45783132530120479</v>
      </c>
      <c r="F76" s="812">
        <f>VLOOKUP(A76,'2122 Band Moderations'!$B$5:$S$22,10,(FALSE))</f>
        <v>1.2048192771084338E-2</v>
      </c>
      <c r="G76" s="812">
        <f>VLOOKUP(A76,'2122 Band Moderations'!$B$5:$S$22,12,(FALSE))</f>
        <v>0.18072289156626506</v>
      </c>
      <c r="H76" s="812">
        <f>VLOOKUP(A76,'2122 Band Moderations'!$B$5:$S$22,14,(FALSE))</f>
        <v>8.4337349397590355E-2</v>
      </c>
      <c r="I76" s="812">
        <f>VLOOKUP(A76,'2122 Band Moderations'!$B$5:$S$22,16,(FALSE))</f>
        <v>7.2289156626506021E-2</v>
      </c>
      <c r="J76" s="812">
        <f>VLOOKUP(A76,'2122 Band Moderations'!$B$5:$S$22,18,(FALSE))</f>
        <v>0.10843373493975904</v>
      </c>
      <c r="K76" s="1012">
        <v>13</v>
      </c>
      <c r="L76" s="813">
        <f t="shared" si="15"/>
        <v>101580.80702480319</v>
      </c>
      <c r="M76" s="813">
        <f t="shared" si="16"/>
        <v>275.14056224899599</v>
      </c>
      <c r="N76" s="813">
        <f t="shared" si="19"/>
        <v>101855.94758705219</v>
      </c>
      <c r="O76" s="724">
        <f t="shared" si="18"/>
        <v>86666.666666666657</v>
      </c>
      <c r="P76" s="724">
        <f>(VLOOKUP(A76,'2122 Funding Detail'!$A$4:$Y$21,23,FALSE)*8/12)*K76</f>
        <v>66964.911349959366</v>
      </c>
      <c r="Q76" s="80"/>
      <c r="R76" s="42">
        <f t="shared" si="17"/>
        <v>21498.104890303573</v>
      </c>
      <c r="S76" s="168"/>
      <c r="T76" s="348"/>
    </row>
    <row r="77" spans="1:23" s="34" customFormat="1" x14ac:dyDescent="0.25">
      <c r="A77" s="185">
        <v>9257031</v>
      </c>
      <c r="B77" s="38" t="s">
        <v>98</v>
      </c>
      <c r="C77" s="781">
        <v>5</v>
      </c>
      <c r="D77" s="812">
        <f>VLOOKUP(A77,'2122 Band Moderations'!$B$5:$S$22,6,(FALSE))</f>
        <v>0</v>
      </c>
      <c r="E77" s="812">
        <f>VLOOKUP(A77,'2122 Band Moderations'!$B$5:$S$22,8,(FALSE))</f>
        <v>0</v>
      </c>
      <c r="F77" s="812">
        <f>VLOOKUP(A77,'2122 Band Moderations'!$B$5:$S$22,10,(FALSE))</f>
        <v>1</v>
      </c>
      <c r="G77" s="812">
        <f>VLOOKUP(A77,'2122 Band Moderations'!$B$5:$S$22,12,(FALSE))</f>
        <v>0</v>
      </c>
      <c r="H77" s="812">
        <f>VLOOKUP(A77,'2122 Band Moderations'!$B$5:$S$22,14,(FALSE))</f>
        <v>0</v>
      </c>
      <c r="I77" s="812">
        <f>VLOOKUP(A77,'2122 Band Moderations'!$B$5:$S$22,16,(FALSE))</f>
        <v>0</v>
      </c>
      <c r="J77" s="812">
        <f>VLOOKUP(A77,'2122 Band Moderations'!$B$5:$S$22,18,(FALSE))</f>
        <v>0</v>
      </c>
      <c r="K77" s="1012">
        <v>0</v>
      </c>
      <c r="L77" s="813">
        <f t="shared" si="15"/>
        <v>0</v>
      </c>
      <c r="M77" s="813">
        <f t="shared" si="16"/>
        <v>0</v>
      </c>
      <c r="N77" s="813">
        <f t="shared" si="19"/>
        <v>0</v>
      </c>
      <c r="O77" s="724">
        <f t="shared" si="18"/>
        <v>0</v>
      </c>
      <c r="P77" s="724">
        <f>(VLOOKUP(A77,'2122 Funding Detail'!$A$4:$Y$21,23,FALSE)*8/12)*K77</f>
        <v>0</v>
      </c>
      <c r="Q77" s="80"/>
      <c r="R77" s="42">
        <f t="shared" si="17"/>
        <v>0</v>
      </c>
      <c r="S77" s="168"/>
      <c r="T77" s="348"/>
    </row>
    <row r="78" spans="1:23" s="34" customFormat="1" x14ac:dyDescent="0.25">
      <c r="A78" s="185">
        <v>9257033</v>
      </c>
      <c r="B78" s="38" t="s">
        <v>72</v>
      </c>
      <c r="C78" s="781" t="s">
        <v>946</v>
      </c>
      <c r="D78" s="812">
        <f>VLOOKUP(A78,'2122 Band Moderations'!$B$5:$S$22,6,(FALSE))</f>
        <v>0.16842105263157894</v>
      </c>
      <c r="E78" s="812">
        <f>VLOOKUP(A78,'2122 Band Moderations'!$B$5:$S$22,8,(FALSE))</f>
        <v>0.5368421052631579</v>
      </c>
      <c r="F78" s="812">
        <f>VLOOKUP(A78,'2122 Band Moderations'!$B$5:$S$22,10,(FALSE))</f>
        <v>6.3157894736842107E-2</v>
      </c>
      <c r="G78" s="812">
        <f>VLOOKUP(A78,'2122 Band Moderations'!$B$5:$S$22,12,(FALSE))</f>
        <v>0.14736842105263157</v>
      </c>
      <c r="H78" s="812">
        <f>VLOOKUP(A78,'2122 Band Moderations'!$B$5:$S$22,14,(FALSE))</f>
        <v>4.2105263157894736E-2</v>
      </c>
      <c r="I78" s="812">
        <f>VLOOKUP(A78,'2122 Band Moderations'!$B$5:$S$22,16,(FALSE))</f>
        <v>4.2105263157894736E-2</v>
      </c>
      <c r="J78" s="812">
        <f>VLOOKUP(A78,'2122 Band Moderations'!$B$5:$S$22,18,(FALSE))</f>
        <v>0</v>
      </c>
      <c r="K78" s="1012">
        <v>0</v>
      </c>
      <c r="L78" s="813">
        <f t="shared" si="15"/>
        <v>0</v>
      </c>
      <c r="M78" s="813">
        <f t="shared" si="16"/>
        <v>0</v>
      </c>
      <c r="N78" s="813">
        <f t="shared" si="19"/>
        <v>0</v>
      </c>
      <c r="O78" s="724">
        <f t="shared" si="18"/>
        <v>0</v>
      </c>
      <c r="P78" s="724">
        <f>(VLOOKUP(A78,'2122 Funding Detail'!$A$4:$Y$21,23,FALSE)*8/12)*K78</f>
        <v>0</v>
      </c>
      <c r="Q78" s="80"/>
      <c r="R78" s="42">
        <f t="shared" si="17"/>
        <v>0</v>
      </c>
      <c r="S78" s="168"/>
      <c r="T78" s="348"/>
    </row>
    <row r="79" spans="1:23" s="34" customFormat="1" x14ac:dyDescent="0.25">
      <c r="A79" s="185">
        <v>9257008</v>
      </c>
      <c r="B79" s="38" t="s">
        <v>73</v>
      </c>
      <c r="C79" s="781">
        <v>4</v>
      </c>
      <c r="D79" s="812">
        <f>VLOOKUP(A79,'2122 Band Moderations'!$B$5:$S$22,6,(FALSE))</f>
        <v>0.10101010101010101</v>
      </c>
      <c r="E79" s="812">
        <f>VLOOKUP(A79,'2122 Band Moderations'!$B$5:$S$22,8,(FALSE))</f>
        <v>0.58585858585858586</v>
      </c>
      <c r="F79" s="812">
        <f>VLOOKUP(A79,'2122 Band Moderations'!$B$5:$S$22,10,(FALSE))</f>
        <v>8.0808080808080815E-2</v>
      </c>
      <c r="G79" s="812">
        <f>VLOOKUP(A79,'2122 Band Moderations'!$B$5:$S$22,12,(FALSE))</f>
        <v>9.0909090909090912E-2</v>
      </c>
      <c r="H79" s="812">
        <f>VLOOKUP(A79,'2122 Band Moderations'!$B$5:$S$22,14,(FALSE))</f>
        <v>1.0101010101010102E-2</v>
      </c>
      <c r="I79" s="812">
        <f>VLOOKUP(A79,'2122 Band Moderations'!$B$5:$S$22,16,(FALSE))</f>
        <v>0.12121212121212122</v>
      </c>
      <c r="J79" s="812">
        <f>VLOOKUP(A79,'2122 Band Moderations'!$B$5:$S$22,18,(FALSE))</f>
        <v>1.0101010101010102E-2</v>
      </c>
      <c r="K79" s="1012">
        <v>0</v>
      </c>
      <c r="L79" s="813">
        <f t="shared" si="15"/>
        <v>0</v>
      </c>
      <c r="M79" s="813">
        <f t="shared" si="16"/>
        <v>0</v>
      </c>
      <c r="N79" s="813">
        <f t="shared" si="19"/>
        <v>0</v>
      </c>
      <c r="O79" s="724">
        <f t="shared" si="18"/>
        <v>0</v>
      </c>
      <c r="P79" s="724">
        <f>(VLOOKUP(A79,'2122 Funding Detail'!$A$4:$Y$21,23,FALSE)*8/12)*K79</f>
        <v>0</v>
      </c>
      <c r="Q79" s="80"/>
      <c r="R79" s="42">
        <f t="shared" si="17"/>
        <v>0</v>
      </c>
      <c r="S79" s="168"/>
      <c r="T79" s="348"/>
    </row>
    <row r="80" spans="1:23" s="34" customFormat="1" x14ac:dyDescent="0.25">
      <c r="A80" s="185">
        <v>9257034</v>
      </c>
      <c r="B80" s="38" t="s">
        <v>74</v>
      </c>
      <c r="C80" s="781" t="s">
        <v>946</v>
      </c>
      <c r="D80" s="812">
        <f>VLOOKUP(A80,'2122 Band Moderations'!$B$5:$S$22,6,(FALSE))</f>
        <v>0.42424242424242425</v>
      </c>
      <c r="E80" s="812">
        <f>VLOOKUP(A80,'2122 Band Moderations'!$B$5:$S$22,8,(FALSE))</f>
        <v>0.29292929292929293</v>
      </c>
      <c r="F80" s="812">
        <f>VLOOKUP(A80,'2122 Band Moderations'!$B$5:$S$22,10,(FALSE))</f>
        <v>0.14141414141414141</v>
      </c>
      <c r="G80" s="812">
        <f>VLOOKUP(A80,'2122 Band Moderations'!$B$5:$S$22,12,(FALSE))</f>
        <v>3.0303030303030304E-2</v>
      </c>
      <c r="H80" s="812">
        <f>VLOOKUP(A80,'2122 Band Moderations'!$B$5:$S$22,14,(FALSE))</f>
        <v>4.0404040404040407E-2</v>
      </c>
      <c r="I80" s="812">
        <f>VLOOKUP(A80,'2122 Band Moderations'!$B$5:$S$22,16,(FALSE))</f>
        <v>6.0606060606060608E-2</v>
      </c>
      <c r="J80" s="812">
        <f>VLOOKUP(A80,'2122 Band Moderations'!$B$5:$S$22,18,(FALSE))</f>
        <v>1.0101010101010102E-2</v>
      </c>
      <c r="K80" s="1012">
        <v>32</v>
      </c>
      <c r="L80" s="813">
        <f t="shared" si="15"/>
        <v>188397.85889604181</v>
      </c>
      <c r="M80" s="813">
        <f t="shared" si="16"/>
        <v>7949.3602693602679</v>
      </c>
      <c r="N80" s="813">
        <f t="shared" si="19"/>
        <v>196347.21916540209</v>
      </c>
      <c r="O80" s="724">
        <f t="shared" si="18"/>
        <v>213333.33333333331</v>
      </c>
      <c r="P80" s="724">
        <f>(VLOOKUP(A80,'2122 Funding Detail'!$A$4:$Y$21,23,FALSE)*8/12)*K80</f>
        <v>82894.456897672426</v>
      </c>
      <c r="Q80" s="80"/>
      <c r="R80" s="42">
        <f t="shared" si="17"/>
        <v>4929.5490450355092</v>
      </c>
      <c r="S80" s="168"/>
      <c r="T80" s="348"/>
    </row>
    <row r="81" spans="1:20" s="34" customFormat="1" x14ac:dyDescent="0.25">
      <c r="A81" s="185">
        <v>9257002</v>
      </c>
      <c r="B81" s="38" t="s">
        <v>75</v>
      </c>
      <c r="C81" s="781">
        <v>5</v>
      </c>
      <c r="D81" s="812">
        <f>VLOOKUP(A81,'2122 Band Moderations'!$B$5:$S$22,6,(FALSE))</f>
        <v>0.3546099290780142</v>
      </c>
      <c r="E81" s="812">
        <f>VLOOKUP(A81,'2122 Band Moderations'!$B$5:$S$22,8,(FALSE))</f>
        <v>0.38297872340425532</v>
      </c>
      <c r="F81" s="812">
        <f>VLOOKUP(A81,'2122 Band Moderations'!$B$5:$S$22,10,(FALSE))</f>
        <v>0.1276595744680851</v>
      </c>
      <c r="G81" s="812">
        <f>VLOOKUP(A81,'2122 Band Moderations'!$B$5:$S$22,12,(FALSE))</f>
        <v>2.8368794326241134E-2</v>
      </c>
      <c r="H81" s="812">
        <f>VLOOKUP(A81,'2122 Band Moderations'!$B$5:$S$22,14,(FALSE))</f>
        <v>2.1276595744680851E-2</v>
      </c>
      <c r="I81" s="812">
        <f>VLOOKUP(A81,'2122 Band Moderations'!$B$5:$S$22,16,(FALSE))</f>
        <v>7.8014184397163122E-2</v>
      </c>
      <c r="J81" s="812">
        <f>VLOOKUP(A81,'2122 Band Moderations'!$B$5:$S$22,18,(FALSE))</f>
        <v>7.0921985815602835E-3</v>
      </c>
      <c r="K81" s="1012">
        <v>0</v>
      </c>
      <c r="L81" s="813">
        <f t="shared" si="15"/>
        <v>0</v>
      </c>
      <c r="M81" s="813">
        <f t="shared" si="16"/>
        <v>0</v>
      </c>
      <c r="N81" s="813">
        <f t="shared" si="19"/>
        <v>0</v>
      </c>
      <c r="O81" s="724">
        <f t="shared" si="18"/>
        <v>0</v>
      </c>
      <c r="P81" s="724">
        <f>(VLOOKUP(A81,'2122 Funding Detail'!$A$4:$Y$21,23,FALSE)*8/12)*K81</f>
        <v>0</v>
      </c>
      <c r="Q81" s="80"/>
      <c r="R81" s="42">
        <f t="shared" si="17"/>
        <v>0</v>
      </c>
      <c r="S81" s="168"/>
      <c r="T81" s="348"/>
    </row>
    <row r="82" spans="1:20" s="34" customFormat="1" x14ac:dyDescent="0.25">
      <c r="A82" s="185">
        <v>9257009</v>
      </c>
      <c r="B82" s="38" t="s">
        <v>76</v>
      </c>
      <c r="C82" s="781" t="s">
        <v>946</v>
      </c>
      <c r="D82" s="812">
        <f>VLOOKUP(A82,'2122 Band Moderations'!$B$5:$S$22,6,(FALSE))</f>
        <v>0.24</v>
      </c>
      <c r="E82" s="812">
        <f>VLOOKUP(A82,'2122 Band Moderations'!$B$5:$S$22,8,(FALSE))</f>
        <v>0.58399999999999996</v>
      </c>
      <c r="F82" s="812">
        <f>VLOOKUP(A82,'2122 Band Moderations'!$B$5:$S$22,10,(FALSE))</f>
        <v>7.1999999999999995E-2</v>
      </c>
      <c r="G82" s="812">
        <f>VLOOKUP(A82,'2122 Band Moderations'!$B$5:$S$22,12,(FALSE))</f>
        <v>1.6E-2</v>
      </c>
      <c r="H82" s="812">
        <f>VLOOKUP(A82,'2122 Band Moderations'!$B$5:$S$22,14,(FALSE))</f>
        <v>8.0000000000000002E-3</v>
      </c>
      <c r="I82" s="812">
        <f>VLOOKUP(A82,'2122 Band Moderations'!$B$5:$S$22,16,(FALSE))</f>
        <v>0.08</v>
      </c>
      <c r="J82" s="812">
        <f>VLOOKUP(A82,'2122 Band Moderations'!$B$5:$S$22,18,(FALSE))</f>
        <v>0</v>
      </c>
      <c r="K82" s="1012">
        <v>0</v>
      </c>
      <c r="L82" s="813">
        <f t="shared" si="15"/>
        <v>0</v>
      </c>
      <c r="M82" s="813">
        <f t="shared" si="16"/>
        <v>0</v>
      </c>
      <c r="N82" s="813">
        <f t="shared" si="19"/>
        <v>0</v>
      </c>
      <c r="O82" s="724">
        <f t="shared" si="18"/>
        <v>0</v>
      </c>
      <c r="P82" s="724">
        <f>(VLOOKUP(A82,'2122 Funding Detail'!$A$4:$Y$21,23,FALSE)*8/12)*K82</f>
        <v>0</v>
      </c>
      <c r="Q82" s="80"/>
      <c r="R82" s="42">
        <f t="shared" si="17"/>
        <v>0</v>
      </c>
      <c r="S82" s="168"/>
      <c r="T82" s="348"/>
    </row>
    <row r="83" spans="1:20" s="34" customFormat="1" x14ac:dyDescent="0.25">
      <c r="A83" s="185">
        <v>9257029</v>
      </c>
      <c r="B83" s="915" t="s">
        <v>848</v>
      </c>
      <c r="C83" s="781" t="s">
        <v>949</v>
      </c>
      <c r="D83" s="812">
        <f>VLOOKUP(A83,'2122 Band Moderations'!$B$5:$S$22,6,(FALSE))</f>
        <v>0</v>
      </c>
      <c r="E83" s="812">
        <f>VLOOKUP(A83,'2122 Band Moderations'!$B$5:$S$22,8,(FALSE))</f>
        <v>0</v>
      </c>
      <c r="F83" s="812">
        <f>VLOOKUP(A83,'2122 Band Moderations'!$B$5:$S$22,10,(FALSE))</f>
        <v>1</v>
      </c>
      <c r="G83" s="812">
        <f>VLOOKUP(A83,'2122 Band Moderations'!$B$5:$S$22,12,(FALSE))</f>
        <v>0</v>
      </c>
      <c r="H83" s="812">
        <f>VLOOKUP(A83,'2122 Band Moderations'!$B$5:$S$22,14,(FALSE))</f>
        <v>0</v>
      </c>
      <c r="I83" s="812">
        <f>VLOOKUP(A83,'2122 Band Moderations'!$B$5:$S$22,16,(FALSE))</f>
        <v>0</v>
      </c>
      <c r="J83" s="812">
        <f>VLOOKUP(A83,'2122 Band Moderations'!$B$5:$S$22,18,(FALSE))</f>
        <v>0</v>
      </c>
      <c r="K83" s="1012">
        <v>0</v>
      </c>
      <c r="L83" s="813">
        <f t="shared" si="15"/>
        <v>0</v>
      </c>
      <c r="M83" s="813">
        <f t="shared" si="16"/>
        <v>0</v>
      </c>
      <c r="N83" s="813">
        <f t="shared" si="19"/>
        <v>0</v>
      </c>
      <c r="O83" s="724">
        <f t="shared" si="18"/>
        <v>0</v>
      </c>
      <c r="P83" s="724">
        <f>(VLOOKUP(A83,'2122 Funding Detail'!$A$4:$Y$21,23,FALSE)*8/12)*K83</f>
        <v>0</v>
      </c>
      <c r="Q83" s="80"/>
      <c r="R83" s="42">
        <f t="shared" si="17"/>
        <v>0</v>
      </c>
      <c r="S83" s="168"/>
      <c r="T83" s="348"/>
    </row>
    <row r="84" spans="1:20" s="34" customFormat="1" x14ac:dyDescent="0.25">
      <c r="A84" s="185">
        <v>9257032</v>
      </c>
      <c r="B84" s="915" t="s">
        <v>934</v>
      </c>
      <c r="C84" s="781" t="s">
        <v>949</v>
      </c>
      <c r="D84" s="812">
        <f>VLOOKUP(A84,'2122 Band Moderations'!$B$5:$S$22,6,(FALSE))</f>
        <v>0</v>
      </c>
      <c r="E84" s="812">
        <f>VLOOKUP(A84,'2122 Band Moderations'!$B$5:$S$22,8,(FALSE))</f>
        <v>0</v>
      </c>
      <c r="F84" s="812">
        <f>VLOOKUP(A84,'2122 Band Moderations'!$B$5:$S$22,10,(FALSE))</f>
        <v>1</v>
      </c>
      <c r="G84" s="812">
        <f>VLOOKUP(A84,'2122 Band Moderations'!$B$5:$S$22,12,(FALSE))</f>
        <v>0</v>
      </c>
      <c r="H84" s="812">
        <f>VLOOKUP(A84,'2122 Band Moderations'!$B$5:$S$22,14,(FALSE))</f>
        <v>0</v>
      </c>
      <c r="I84" s="812">
        <f>VLOOKUP(A84,'2122 Band Moderations'!$B$5:$S$22,16,(FALSE))</f>
        <v>0</v>
      </c>
      <c r="J84" s="812">
        <f>VLOOKUP(A84,'2122 Band Moderations'!$B$5:$S$22,18,(FALSE))</f>
        <v>0</v>
      </c>
      <c r="K84" s="1012">
        <v>0</v>
      </c>
      <c r="L84" s="813">
        <f t="shared" si="15"/>
        <v>0</v>
      </c>
      <c r="M84" s="813">
        <f t="shared" si="16"/>
        <v>0</v>
      </c>
      <c r="N84" s="813">
        <f t="shared" si="19"/>
        <v>0</v>
      </c>
      <c r="O84" s="724">
        <f t="shared" si="18"/>
        <v>0</v>
      </c>
      <c r="P84" s="724">
        <f>(VLOOKUP(A84,'2122 Funding Detail'!$A$4:$Y$21,23,FALSE)*8/12)*K84</f>
        <v>0</v>
      </c>
      <c r="Q84" s="80"/>
      <c r="R84" s="42">
        <f t="shared" si="17"/>
        <v>0</v>
      </c>
      <c r="S84" s="168"/>
      <c r="T84" s="348"/>
    </row>
    <row r="85" spans="1:20" s="34" customFormat="1" x14ac:dyDescent="0.25">
      <c r="A85" s="185">
        <v>9257030</v>
      </c>
      <c r="B85" s="915" t="s">
        <v>933</v>
      </c>
      <c r="C85" s="781" t="s">
        <v>949</v>
      </c>
      <c r="D85" s="812">
        <f>VLOOKUP(A85,'2122 Band Moderations'!$B$5:$S$22,6,(FALSE))</f>
        <v>0</v>
      </c>
      <c r="E85" s="812">
        <f>VLOOKUP(A85,'2122 Band Moderations'!$B$5:$S$22,8,(FALSE))</f>
        <v>0</v>
      </c>
      <c r="F85" s="812">
        <f>VLOOKUP(A85,'2122 Band Moderations'!$B$5:$S$22,10,(FALSE))</f>
        <v>1</v>
      </c>
      <c r="G85" s="812">
        <f>VLOOKUP(A85,'2122 Band Moderations'!$B$5:$S$22,12,(FALSE))</f>
        <v>0</v>
      </c>
      <c r="H85" s="812">
        <f>VLOOKUP(A85,'2122 Band Moderations'!$B$5:$S$22,14,(FALSE))</f>
        <v>0</v>
      </c>
      <c r="I85" s="812">
        <f>VLOOKUP(A85,'2122 Band Moderations'!$B$5:$S$22,16,(FALSE))</f>
        <v>0</v>
      </c>
      <c r="J85" s="812">
        <f>VLOOKUP(A85,'2122 Band Moderations'!$B$5:$S$22,18,(FALSE))</f>
        <v>0</v>
      </c>
      <c r="K85" s="1012">
        <v>0</v>
      </c>
      <c r="L85" s="813">
        <f t="shared" si="15"/>
        <v>0</v>
      </c>
      <c r="M85" s="813">
        <f t="shared" si="16"/>
        <v>0</v>
      </c>
      <c r="N85" s="813">
        <f t="shared" si="19"/>
        <v>0</v>
      </c>
      <c r="O85" s="724">
        <f t="shared" si="18"/>
        <v>0</v>
      </c>
      <c r="P85" s="724">
        <f>(VLOOKUP(A85,'2122 Funding Detail'!$A$4:$Y$21,23,FALSE)*8/12)*K85</f>
        <v>0</v>
      </c>
      <c r="Q85" s="80"/>
      <c r="R85" s="42">
        <f t="shared" si="17"/>
        <v>0</v>
      </c>
      <c r="S85" s="168"/>
      <c r="T85" s="348"/>
    </row>
    <row r="86" spans="1:20" s="34" customFormat="1" x14ac:dyDescent="0.25">
      <c r="A86" s="185">
        <v>9257028</v>
      </c>
      <c r="B86" s="38" t="s">
        <v>77</v>
      </c>
      <c r="C86" s="781">
        <v>5</v>
      </c>
      <c r="D86" s="812">
        <f>VLOOKUP(A86,'2122 Band Moderations'!$B$5:$S$22,6,(FALSE))</f>
        <v>8.9108910891089105E-2</v>
      </c>
      <c r="E86" s="812">
        <f>VLOOKUP(A86,'2122 Band Moderations'!$B$5:$S$22,8,(FALSE))</f>
        <v>0.40594059405940597</v>
      </c>
      <c r="F86" s="812">
        <f>VLOOKUP(A86,'2122 Band Moderations'!$B$5:$S$22,10,(FALSE))</f>
        <v>7.9207920792079209E-2</v>
      </c>
      <c r="G86" s="812">
        <f>VLOOKUP(A86,'2122 Band Moderations'!$B$5:$S$22,12,(FALSE))</f>
        <v>8.9108910891089105E-2</v>
      </c>
      <c r="H86" s="812">
        <f>VLOOKUP(A86,'2122 Band Moderations'!$B$5:$S$22,14,(FALSE))</f>
        <v>0.12871287128712872</v>
      </c>
      <c r="I86" s="812">
        <f>VLOOKUP(A86,'2122 Band Moderations'!$B$5:$S$22,16,(FALSE))</f>
        <v>9.9009900990099015E-2</v>
      </c>
      <c r="J86" s="812">
        <f>VLOOKUP(A86,'2122 Band Moderations'!$B$5:$S$22,18,(FALSE))</f>
        <v>0.10891089108910891</v>
      </c>
      <c r="K86" s="1012">
        <v>5</v>
      </c>
      <c r="L86" s="813">
        <f t="shared" si="15"/>
        <v>39682.059537821784</v>
      </c>
      <c r="M86" s="813">
        <f t="shared" si="16"/>
        <v>695.70957095709559</v>
      </c>
      <c r="N86" s="813">
        <f t="shared" si="19"/>
        <v>40377.769108778877</v>
      </c>
      <c r="O86" s="724">
        <f t="shared" si="18"/>
        <v>33333.333333333328</v>
      </c>
      <c r="P86" s="724">
        <f>(VLOOKUP(A86,'2122 Funding Detail'!$A$4:$Y$21,23,FALSE)*8/12)*K86</f>
        <v>23518.825077080015</v>
      </c>
      <c r="Q86" s="80"/>
      <c r="R86" s="42">
        <f t="shared" si="17"/>
        <v>8304.8869276665664</v>
      </c>
      <c r="S86" s="168"/>
      <c r="T86" s="348"/>
    </row>
    <row r="87" spans="1:20" s="34" customFormat="1" x14ac:dyDescent="0.25">
      <c r="A87" s="185">
        <v>9257021</v>
      </c>
      <c r="B87" s="38" t="s">
        <v>78</v>
      </c>
      <c r="C87" s="781" t="s">
        <v>947</v>
      </c>
      <c r="D87" s="812">
        <f>VLOOKUP(A87,'2122 Band Moderations'!$B$5:$S$22,6,(FALSE))</f>
        <v>0.26829268292682928</v>
      </c>
      <c r="E87" s="812">
        <f>VLOOKUP(A87,'2122 Band Moderations'!$B$5:$S$22,8,(FALSE))</f>
        <v>0.42682926829268292</v>
      </c>
      <c r="F87" s="812">
        <f>VLOOKUP(A87,'2122 Band Moderations'!$B$5:$S$22,10,(FALSE))</f>
        <v>7.926829268292683E-2</v>
      </c>
      <c r="G87" s="812">
        <f>VLOOKUP(A87,'2122 Band Moderations'!$B$5:$S$22,12,(FALSE))</f>
        <v>6.7073170731707321E-2</v>
      </c>
      <c r="H87" s="812">
        <f>VLOOKUP(A87,'2122 Band Moderations'!$B$5:$S$22,14,(FALSE))</f>
        <v>5.4878048780487805E-2</v>
      </c>
      <c r="I87" s="812">
        <f>VLOOKUP(A87,'2122 Band Moderations'!$B$5:$S$22,16,(FALSE))</f>
        <v>9.1463414634146339E-2</v>
      </c>
      <c r="J87" s="812">
        <f>VLOOKUP(A87,'2122 Band Moderations'!$B$5:$S$22,18,(FALSE))</f>
        <v>1.2195121951219513E-2</v>
      </c>
      <c r="K87" s="1012">
        <v>0</v>
      </c>
      <c r="L87" s="813">
        <f t="shared" si="15"/>
        <v>0</v>
      </c>
      <c r="M87" s="813">
        <f t="shared" si="16"/>
        <v>0</v>
      </c>
      <c r="N87" s="813">
        <f t="shared" si="19"/>
        <v>0</v>
      </c>
      <c r="O87" s="724">
        <f t="shared" si="18"/>
        <v>0</v>
      </c>
      <c r="P87" s="724">
        <f>(VLOOKUP(A87,'2122 Funding Detail'!$A$4:$Y$21,23,FALSE)*8/12)*K87</f>
        <v>0</v>
      </c>
      <c r="Q87" s="80"/>
      <c r="R87" s="42">
        <f t="shared" si="17"/>
        <v>0</v>
      </c>
      <c r="S87" s="168"/>
      <c r="T87" s="348"/>
    </row>
    <row r="88" spans="1:20" s="34" customFormat="1" x14ac:dyDescent="0.25">
      <c r="A88" s="185">
        <v>9257015</v>
      </c>
      <c r="B88" s="38" t="s">
        <v>55</v>
      </c>
      <c r="C88" s="781" t="s">
        <v>948</v>
      </c>
      <c r="D88" s="812">
        <f>VLOOKUP(A88,'2122 Band Moderations'!$B$5:$S$22,6,(FALSE))</f>
        <v>0.33185840707964603</v>
      </c>
      <c r="E88" s="812">
        <f>VLOOKUP(A88,'2122 Band Moderations'!$B$5:$S$22,8,(FALSE))</f>
        <v>0.38495575221238937</v>
      </c>
      <c r="F88" s="812">
        <f>VLOOKUP(A88,'2122 Band Moderations'!$B$5:$S$22,10,(FALSE))</f>
        <v>1.7699115044247787E-2</v>
      </c>
      <c r="G88" s="812">
        <f>VLOOKUP(A88,'2122 Band Moderations'!$B$5:$S$22,12,(FALSE))</f>
        <v>8.8495575221238937E-2</v>
      </c>
      <c r="H88" s="812">
        <f>VLOOKUP(A88,'2122 Band Moderations'!$B$5:$S$22,14,(FALSE))</f>
        <v>2.2123893805309734E-2</v>
      </c>
      <c r="I88" s="812">
        <f>VLOOKUP(A88,'2122 Band Moderations'!$B$5:$S$22,16,(FALSE))</f>
        <v>0.1415929203539823</v>
      </c>
      <c r="J88" s="812">
        <f>VLOOKUP(A88,'2122 Band Moderations'!$B$5:$S$22,18,(FALSE))</f>
        <v>1.3274336283185841E-2</v>
      </c>
      <c r="K88" s="1012">
        <v>3</v>
      </c>
      <c r="L88" s="813">
        <f t="shared" si="15"/>
        <v>18842.325594209979</v>
      </c>
      <c r="M88" s="813">
        <f t="shared" si="16"/>
        <v>93.274336283185846</v>
      </c>
      <c r="N88" s="813">
        <f t="shared" si="19"/>
        <v>18935.599930493165</v>
      </c>
      <c r="O88" s="724">
        <f t="shared" si="18"/>
        <v>20000</v>
      </c>
      <c r="P88" s="724">
        <f>(VLOOKUP(A88,'2122 Funding Detail'!$A$4:$Y$21,23,FALSE)*8/12)*K88</f>
        <v>4999.5660247569576</v>
      </c>
      <c r="Q88" s="80"/>
      <c r="R88" s="42">
        <f t="shared" si="17"/>
        <v>607.33243903852838</v>
      </c>
      <c r="S88" s="168"/>
      <c r="T88" s="348"/>
    </row>
    <row r="89" spans="1:20" s="34" customFormat="1" x14ac:dyDescent="0.25">
      <c r="A89" s="185">
        <v>9257016</v>
      </c>
      <c r="B89" s="38" t="s">
        <v>80</v>
      </c>
      <c r="C89" s="781" t="s">
        <v>948</v>
      </c>
      <c r="D89" s="812">
        <f>VLOOKUP(A89,'2122 Band Moderations'!$B$5:$S$22,6,(FALSE))</f>
        <v>0.18012422360248448</v>
      </c>
      <c r="E89" s="812">
        <f>VLOOKUP(A89,'2122 Band Moderations'!$B$5:$S$22,8,(FALSE))</f>
        <v>0.15527950310559005</v>
      </c>
      <c r="F89" s="812">
        <f>VLOOKUP(A89,'2122 Band Moderations'!$B$5:$S$22,10,(FALSE))</f>
        <v>6.2111801242236021E-3</v>
      </c>
      <c r="G89" s="812">
        <f>VLOOKUP(A89,'2122 Band Moderations'!$B$5:$S$22,12,(FALSE))</f>
        <v>0.2236024844720497</v>
      </c>
      <c r="H89" s="812">
        <f>VLOOKUP(A89,'2122 Band Moderations'!$B$5:$S$22,14,(FALSE))</f>
        <v>0.21118012422360249</v>
      </c>
      <c r="I89" s="812">
        <f>VLOOKUP(A89,'2122 Band Moderations'!$B$5:$S$22,16,(FALSE))</f>
        <v>1.2422360248447204E-2</v>
      </c>
      <c r="J89" s="812">
        <f>VLOOKUP(A89,'2122 Band Moderations'!$B$5:$S$22,18,(FALSE))</f>
        <v>0.21118012422360249</v>
      </c>
      <c r="K89" s="1012">
        <v>59</v>
      </c>
      <c r="L89" s="813">
        <f t="shared" si="15"/>
        <v>547577.64569684304</v>
      </c>
      <c r="M89" s="813">
        <f t="shared" si="16"/>
        <v>643.74741200828146</v>
      </c>
      <c r="N89" s="813">
        <f t="shared" si="19"/>
        <v>548221.39310885128</v>
      </c>
      <c r="O89" s="724">
        <f t="shared" si="18"/>
        <v>393333.33333333331</v>
      </c>
      <c r="P89" s="724">
        <f>(VLOOKUP(A89,'2122 Funding Detail'!$A$4:$Y$21,23,FALSE)*8/12)*K89</f>
        <v>322707.67190919403</v>
      </c>
      <c r="Q89" s="628" t="s">
        <v>402</v>
      </c>
      <c r="R89" s="42">
        <f t="shared" si="17"/>
        <v>190019.189256557</v>
      </c>
      <c r="S89" s="168"/>
      <c r="T89" s="348"/>
    </row>
    <row r="90" spans="1:20" s="34" customFormat="1" x14ac:dyDescent="0.25">
      <c r="B90" s="50"/>
      <c r="C90" s="50"/>
      <c r="F90" s="628" t="s">
        <v>402</v>
      </c>
      <c r="H90" s="1052"/>
      <c r="I90" s="628" t="s">
        <v>402</v>
      </c>
      <c r="S90" s="347"/>
    </row>
    <row r="91" spans="1:20" s="34" customFormat="1" x14ac:dyDescent="0.25">
      <c r="C91" s="40"/>
      <c r="I91" s="1052"/>
      <c r="J91" s="1052"/>
      <c r="S91" s="347"/>
    </row>
    <row r="92" spans="1:20" s="34" customFormat="1" ht="13" x14ac:dyDescent="0.3">
      <c r="B92" s="1457" t="s">
        <v>1191</v>
      </c>
      <c r="C92" s="921"/>
      <c r="D92" s="52"/>
      <c r="E92" s="526" t="s">
        <v>839</v>
      </c>
      <c r="G92" s="917">
        <f>VLOOKUP(E92,'2122 Band Values'!$A$5:$BE$25,57,(FALSE))</f>
        <v>6286.622831709632</v>
      </c>
      <c r="H92" s="53"/>
      <c r="I92" s="53"/>
      <c r="J92" s="53"/>
      <c r="K92" s="53"/>
      <c r="L92" s="53"/>
      <c r="M92" s="53"/>
      <c r="N92" s="53"/>
      <c r="O92" s="53"/>
      <c r="P92" s="53"/>
      <c r="Q92" s="53"/>
      <c r="S92" s="347"/>
    </row>
    <row r="93" spans="1:20" s="34" customFormat="1" x14ac:dyDescent="0.25">
      <c r="C93" s="921"/>
      <c r="D93" s="52"/>
      <c r="G93" s="917"/>
      <c r="H93" s="53"/>
      <c r="I93" s="53"/>
      <c r="J93" s="53"/>
      <c r="K93" s="53"/>
      <c r="L93" s="53"/>
      <c r="M93" s="53"/>
      <c r="N93" s="53"/>
      <c r="O93" s="53"/>
      <c r="P93" s="53"/>
      <c r="Q93" s="53"/>
      <c r="S93" s="347"/>
    </row>
    <row r="94" spans="1:20" s="34" customFormat="1" x14ac:dyDescent="0.25">
      <c r="C94" s="921"/>
      <c r="D94" s="52"/>
      <c r="E94" s="526" t="s">
        <v>840</v>
      </c>
      <c r="G94" s="917">
        <f>VLOOKUP(E94,'2122 Band Values'!$A$5:$BE$25,57,(FALSE))</f>
        <v>7483.9238429115967</v>
      </c>
      <c r="H94" s="53"/>
      <c r="I94" s="53"/>
      <c r="J94" s="53"/>
      <c r="K94" s="53"/>
      <c r="L94" s="53"/>
      <c r="M94" s="53"/>
      <c r="N94" s="53"/>
      <c r="O94" s="53"/>
      <c r="P94" s="53"/>
      <c r="Q94" s="53"/>
      <c r="S94" s="347"/>
    </row>
    <row r="95" spans="1:20" s="34" customFormat="1" x14ac:dyDescent="0.25">
      <c r="C95" s="921"/>
      <c r="D95" s="52"/>
      <c r="G95" s="917"/>
      <c r="H95" s="53"/>
      <c r="I95" s="847"/>
      <c r="J95" s="53"/>
      <c r="K95" s="53"/>
      <c r="L95" s="53"/>
      <c r="M95" s="53"/>
      <c r="N95" s="53"/>
      <c r="O95" s="53"/>
      <c r="P95" s="53"/>
      <c r="Q95" s="53"/>
      <c r="S95" s="347"/>
    </row>
    <row r="96" spans="1:20" s="34" customFormat="1" x14ac:dyDescent="0.25">
      <c r="C96" s="921"/>
      <c r="D96" s="52"/>
      <c r="E96" s="526" t="s">
        <v>841</v>
      </c>
      <c r="G96" s="917">
        <f>VLOOKUP(E96,'2122 Band Values'!$A$5:$BE$25,57,(FALSE))</f>
        <v>12059.161550335179</v>
      </c>
      <c r="H96" s="53"/>
      <c r="I96" s="847"/>
      <c r="J96" s="53"/>
      <c r="K96" s="53"/>
      <c r="L96" s="53"/>
      <c r="M96" s="53"/>
      <c r="N96" s="53"/>
      <c r="O96" s="53"/>
      <c r="P96" s="53"/>
      <c r="Q96" s="53"/>
      <c r="S96" s="347"/>
    </row>
    <row r="97" spans="1:54" x14ac:dyDescent="0.25">
      <c r="C97" s="921"/>
      <c r="D97" s="52"/>
      <c r="G97" s="917"/>
      <c r="H97" s="53"/>
      <c r="I97" s="847"/>
      <c r="J97" s="53"/>
      <c r="K97" s="53"/>
      <c r="L97" s="53"/>
      <c r="M97" s="53"/>
      <c r="N97" s="53"/>
      <c r="O97" s="53"/>
      <c r="P97" s="53"/>
      <c r="Q97" s="53"/>
    </row>
    <row r="98" spans="1:54" x14ac:dyDescent="0.25">
      <c r="C98" s="921"/>
      <c r="D98" s="52"/>
      <c r="E98" s="526" t="s">
        <v>842</v>
      </c>
      <c r="G98" s="917">
        <f>VLOOKUP(E98,'2122 Band Values'!$A$5:$BE$25,57,(FALSE))</f>
        <v>14998.922493994021</v>
      </c>
      <c r="H98" s="53"/>
      <c r="I98" s="847"/>
      <c r="J98" s="53"/>
      <c r="K98" s="53"/>
      <c r="L98" s="53"/>
      <c r="M98" s="53"/>
      <c r="N98" s="53"/>
      <c r="O98" s="53"/>
      <c r="P98" s="53"/>
      <c r="Q98" s="53"/>
    </row>
    <row r="99" spans="1:54" x14ac:dyDescent="0.25">
      <c r="C99" s="921"/>
      <c r="D99" s="52"/>
      <c r="G99" s="917"/>
      <c r="H99" s="53"/>
      <c r="I99" s="847"/>
      <c r="J99" s="53"/>
      <c r="K99" s="53"/>
      <c r="L99" s="53"/>
      <c r="M99" s="53"/>
      <c r="N99" s="53"/>
      <c r="O99" s="53"/>
      <c r="P99" s="53"/>
      <c r="Q99" s="53"/>
    </row>
    <row r="100" spans="1:54" x14ac:dyDescent="0.25">
      <c r="C100" s="921"/>
      <c r="D100" s="52"/>
      <c r="E100" s="526" t="s">
        <v>843</v>
      </c>
      <c r="G100" s="917">
        <f>VLOOKUP(E100,'2122 Band Values'!$A$5:$BE$25,57,(FALSE))</f>
        <v>14998.922493994021</v>
      </c>
      <c r="H100" s="53"/>
      <c r="I100" s="847"/>
      <c r="J100" s="53"/>
      <c r="K100" s="53"/>
      <c r="L100" s="53"/>
      <c r="M100" s="53"/>
      <c r="N100" s="53"/>
      <c r="O100" s="53"/>
      <c r="P100" s="53"/>
      <c r="Q100" s="53"/>
    </row>
    <row r="101" spans="1:54" x14ac:dyDescent="0.25">
      <c r="C101" s="921"/>
      <c r="D101" s="52"/>
      <c r="G101" s="917"/>
      <c r="H101" s="53"/>
      <c r="I101" s="847"/>
      <c r="J101" s="53"/>
      <c r="K101" s="53"/>
      <c r="L101" s="53"/>
      <c r="M101" s="53"/>
      <c r="N101" s="53"/>
      <c r="O101" s="53"/>
      <c r="P101" s="53"/>
      <c r="Q101" s="53"/>
    </row>
    <row r="102" spans="1:54" x14ac:dyDescent="0.25">
      <c r="C102" s="921"/>
      <c r="D102" s="52"/>
      <c r="E102" s="526" t="s">
        <v>844</v>
      </c>
      <c r="G102" s="917">
        <f>VLOOKUP(E102,'2122 Band Values'!$A$5:$BE$25,57,(FALSE))</f>
        <v>16085.825977239108</v>
      </c>
      <c r="H102" s="53"/>
      <c r="I102" s="847"/>
      <c r="J102" s="53"/>
      <c r="K102" s="53"/>
      <c r="L102" s="53"/>
      <c r="M102" s="53"/>
      <c r="N102" s="53"/>
      <c r="O102" s="53"/>
      <c r="P102" s="53"/>
      <c r="Q102" s="53"/>
    </row>
    <row r="103" spans="1:54" x14ac:dyDescent="0.25">
      <c r="C103" s="921"/>
      <c r="D103" s="52"/>
      <c r="G103" s="917"/>
      <c r="H103" s="53"/>
      <c r="I103" s="847"/>
      <c r="J103" s="53"/>
      <c r="K103" s="53"/>
      <c r="L103" s="53"/>
      <c r="M103" s="53"/>
      <c r="N103" s="53"/>
      <c r="O103" s="53"/>
      <c r="P103" s="53"/>
      <c r="Q103" s="53"/>
    </row>
    <row r="104" spans="1:54" x14ac:dyDescent="0.25">
      <c r="C104" s="921"/>
      <c r="D104" s="52"/>
      <c r="E104" s="526" t="s">
        <v>845</v>
      </c>
      <c r="G104" s="917">
        <f>VLOOKUP(E104,'2122 Band Values'!$A$5:$BE$25,57,(FALSE))</f>
        <v>22876.188537117905</v>
      </c>
      <c r="H104" s="53"/>
      <c r="I104" s="847"/>
      <c r="J104" s="53"/>
      <c r="K104" s="53"/>
      <c r="L104" s="53"/>
      <c r="M104" s="53"/>
      <c r="N104" s="53"/>
      <c r="O104" s="53"/>
      <c r="P104" s="53"/>
      <c r="Q104" s="53"/>
    </row>
    <row r="105" spans="1:54" ht="14" x14ac:dyDescent="0.3">
      <c r="B105" s="55"/>
      <c r="C105" s="811"/>
      <c r="D105" s="57"/>
      <c r="E105" s="58"/>
      <c r="G105" s="917"/>
      <c r="H105" s="66"/>
      <c r="I105" s="847"/>
      <c r="J105" s="53"/>
      <c r="K105" s="66"/>
      <c r="L105" s="66"/>
      <c r="M105" s="66"/>
      <c r="N105" s="66"/>
      <c r="O105" s="66"/>
      <c r="P105" s="66"/>
      <c r="Q105" s="66"/>
    </row>
    <row r="106" spans="1:54" ht="14" x14ac:dyDescent="0.3">
      <c r="B106" s="59"/>
      <c r="C106" s="811"/>
      <c r="E106" s="526" t="s">
        <v>1226</v>
      </c>
      <c r="G106" s="917">
        <f>VLOOKUP(E106,'2122 Band Values'!$A$5:$BE$25,57,(FALSE))</f>
        <v>2635</v>
      </c>
      <c r="H106" s="53"/>
      <c r="I106" s="847"/>
      <c r="J106" s="53"/>
      <c r="K106" s="53"/>
      <c r="L106" s="53"/>
      <c r="M106" s="53"/>
      <c r="N106" s="53"/>
      <c r="O106" s="53"/>
      <c r="P106" s="53"/>
      <c r="Q106" s="53"/>
    </row>
    <row r="107" spans="1:54" x14ac:dyDescent="0.25">
      <c r="C107" s="40"/>
      <c r="F107" s="847"/>
      <c r="G107" s="1052"/>
      <c r="I107" s="34"/>
      <c r="J107" s="34"/>
      <c r="AN107" s="1052"/>
      <c r="AO107" s="1052"/>
      <c r="AR107" s="1052"/>
      <c r="AS107" s="1052"/>
      <c r="AT107" s="1052"/>
      <c r="AV107" s="34"/>
      <c r="AW107" s="34"/>
      <c r="AZ107" s="34"/>
      <c r="BA107" s="34"/>
      <c r="BB107" s="34"/>
    </row>
    <row r="108" spans="1:54" x14ac:dyDescent="0.25">
      <c r="C108" s="40"/>
      <c r="F108" s="1052"/>
      <c r="G108" s="1052"/>
      <c r="I108" s="34"/>
      <c r="J108" s="34"/>
      <c r="AN108" s="1052"/>
      <c r="AO108" s="1052"/>
      <c r="AR108" s="1052"/>
      <c r="AS108" s="1052"/>
      <c r="AT108" s="1052"/>
      <c r="AV108" s="34"/>
      <c r="AW108" s="34"/>
      <c r="AZ108" s="34"/>
      <c r="BA108" s="34"/>
      <c r="BB108" s="34"/>
    </row>
    <row r="109" spans="1:54" ht="12.75" customHeight="1" x14ac:dyDescent="0.25">
      <c r="C109" s="40"/>
      <c r="F109" s="1052"/>
      <c r="G109" s="1052"/>
      <c r="I109" s="34"/>
      <c r="J109" s="34"/>
      <c r="AN109" s="1052"/>
      <c r="AO109" s="1052"/>
      <c r="AR109" s="1052"/>
      <c r="AS109" s="1052"/>
      <c r="AT109" s="1052"/>
      <c r="AV109" s="34"/>
      <c r="AW109" s="34"/>
      <c r="AZ109" s="34"/>
      <c r="BA109" s="34"/>
      <c r="BB109" s="34"/>
    </row>
    <row r="110" spans="1:54" ht="12.75" customHeight="1" x14ac:dyDescent="0.3">
      <c r="C110" s="40"/>
      <c r="D110" s="1896" t="s">
        <v>397</v>
      </c>
      <c r="E110" s="1897"/>
      <c r="F110" s="1898"/>
      <c r="G110" s="1896" t="s">
        <v>185</v>
      </c>
      <c r="H110" s="1897"/>
      <c r="I110" s="1898"/>
      <c r="J110" s="390" t="s">
        <v>399</v>
      </c>
      <c r="K110" s="1896" t="s">
        <v>397</v>
      </c>
      <c r="L110" s="1897"/>
      <c r="M110" s="1898"/>
      <c r="N110" s="1896" t="s">
        <v>185</v>
      </c>
      <c r="O110" s="1897"/>
      <c r="P110" s="1898"/>
      <c r="Q110" s="390" t="s">
        <v>399</v>
      </c>
      <c r="R110" s="391" t="s">
        <v>399</v>
      </c>
      <c r="S110" s="979"/>
      <c r="T110" s="393"/>
      <c r="AI110" s="1891" t="s">
        <v>467</v>
      </c>
      <c r="AL110" s="1052"/>
      <c r="AM110" s="1052"/>
      <c r="AP110" s="1052"/>
      <c r="AQ110" s="1052"/>
      <c r="AR110" s="1052"/>
      <c r="AV110" s="34"/>
      <c r="AW110" s="34"/>
      <c r="AZ110" s="34"/>
      <c r="BA110" s="34"/>
      <c r="BB110" s="34"/>
    </row>
    <row r="111" spans="1:54" ht="41.25" customHeight="1" x14ac:dyDescent="0.3">
      <c r="A111" s="388" t="s">
        <v>201</v>
      </c>
      <c r="B111" s="389" t="s">
        <v>66</v>
      </c>
      <c r="C111" s="39" t="s">
        <v>51</v>
      </c>
      <c r="D111" s="1060" t="str">
        <f t="shared" ref="D111:D129" si="20">L5</f>
        <v>Pre-16 Funding (Apr-Aug)</v>
      </c>
      <c r="E111" s="1059" t="str">
        <f t="shared" ref="E111:E129" si="21">L49</f>
        <v>Pre-16 Funding (Sept-Mar)</v>
      </c>
      <c r="F111" s="1053" t="s">
        <v>394</v>
      </c>
      <c r="G111" s="1059" t="str">
        <f t="shared" ref="G111:G129" si="22">L27</f>
        <v>Post-16 Funding (Apr-Jul)</v>
      </c>
      <c r="H111" s="1060" t="str">
        <f t="shared" ref="H111:H129" si="23">L71</f>
        <v>Post-16 Funding (Aug-Mar)</v>
      </c>
      <c r="I111" s="1053" t="s">
        <v>395</v>
      </c>
      <c r="J111" s="1053" t="s">
        <v>295</v>
      </c>
      <c r="K111" s="1060" t="str">
        <f t="shared" ref="K111:K129" si="24">M5</f>
        <v>Additionality Funding (Apr-Aug)</v>
      </c>
      <c r="L111" s="1060" t="str">
        <f t="shared" ref="L111:L129" si="25">M49</f>
        <v>Additionality Funding (Sept-Mar)</v>
      </c>
      <c r="M111" s="1053" t="s">
        <v>396</v>
      </c>
      <c r="N111" s="1060" t="str">
        <f t="shared" ref="N111:N129" si="26">M27</f>
        <v>Additionality Funding (Apr-Jul)</v>
      </c>
      <c r="O111" s="1059" t="str">
        <f t="shared" ref="O111:O129" si="27">M71</f>
        <v>Additionality Funding (Aug-Mar)</v>
      </c>
      <c r="P111" s="1053" t="s">
        <v>396</v>
      </c>
      <c r="Q111" s="1053" t="s">
        <v>401</v>
      </c>
      <c r="R111" s="1053" t="s">
        <v>103</v>
      </c>
      <c r="S111" s="980" t="s">
        <v>398</v>
      </c>
      <c r="T111" s="157" t="s">
        <v>261</v>
      </c>
      <c r="U111" s="541" t="s">
        <v>909</v>
      </c>
      <c r="V111" s="1060" t="s">
        <v>328</v>
      </c>
      <c r="W111" s="1060" t="s">
        <v>330</v>
      </c>
      <c r="X111" s="1053" t="s">
        <v>331</v>
      </c>
      <c r="Y111" s="690" t="s">
        <v>103</v>
      </c>
      <c r="Z111" s="1060" t="s">
        <v>310</v>
      </c>
      <c r="AA111" s="1060" t="s">
        <v>335</v>
      </c>
      <c r="AB111" s="1060" t="s">
        <v>343</v>
      </c>
      <c r="AC111" s="1053" t="s">
        <v>465</v>
      </c>
      <c r="AD111" s="1060" t="s">
        <v>342</v>
      </c>
      <c r="AE111" s="1060" t="s">
        <v>344</v>
      </c>
      <c r="AF111" s="1053" t="s">
        <v>466</v>
      </c>
      <c r="AG111" s="1053" t="s">
        <v>345</v>
      </c>
      <c r="AH111" s="389"/>
      <c r="AI111" s="1892"/>
      <c r="AL111" s="173" t="s">
        <v>1223</v>
      </c>
      <c r="AM111" s="1519" t="s">
        <v>893</v>
      </c>
      <c r="AN111" s="1519" t="s">
        <v>939</v>
      </c>
      <c r="AO111" s="1520"/>
      <c r="AP111" s="1521" t="s">
        <v>955</v>
      </c>
      <c r="AQ111" s="1519" t="s">
        <v>956</v>
      </c>
      <c r="AR111" s="1522" t="s">
        <v>939</v>
      </c>
      <c r="AV111" s="34"/>
      <c r="AW111" s="34"/>
      <c r="AZ111" s="34"/>
      <c r="BA111" s="34"/>
      <c r="BB111" s="34"/>
    </row>
    <row r="112" spans="1:54" ht="13" x14ac:dyDescent="0.3">
      <c r="A112" s="185">
        <v>9257010</v>
      </c>
      <c r="B112" s="38" t="s">
        <v>67</v>
      </c>
      <c r="C112" s="39">
        <v>4</v>
      </c>
      <c r="D112" s="1061">
        <f t="shared" si="20"/>
        <v>326909.60230054241</v>
      </c>
      <c r="E112" s="1061">
        <f t="shared" si="21"/>
        <v>710182.92913566111</v>
      </c>
      <c r="F112" s="156">
        <f>SUM(D112:E112)</f>
        <v>1037092.5314362035</v>
      </c>
      <c r="G112" s="1061">
        <f t="shared" si="22"/>
        <v>31563.685739362718</v>
      </c>
      <c r="H112" s="1061">
        <f t="shared" si="23"/>
        <v>90181.959255322028</v>
      </c>
      <c r="I112" s="156">
        <f>SUM(G112:H112)</f>
        <v>121745.64499468474</v>
      </c>
      <c r="J112" s="156">
        <f>F112+I112</f>
        <v>1158838.1764308882</v>
      </c>
      <c r="K112" s="1061">
        <f t="shared" si="24"/>
        <v>6064.6825396825398</v>
      </c>
      <c r="L112" s="1061">
        <f t="shared" si="25"/>
        <v>13175.000000000002</v>
      </c>
      <c r="M112" s="156">
        <f>SUM(K112:L112)</f>
        <v>19239.682539682541</v>
      </c>
      <c r="N112" s="1061">
        <f t="shared" si="26"/>
        <v>585.55555555555543</v>
      </c>
      <c r="O112" s="1061">
        <f t="shared" si="27"/>
        <v>1673.0158730158728</v>
      </c>
      <c r="P112" s="156">
        <f>SUM(N112:O112)</f>
        <v>2258.5714285714284</v>
      </c>
      <c r="Q112" s="156">
        <f>M112+P112</f>
        <v>21498.253968253968</v>
      </c>
      <c r="R112" s="156">
        <f t="shared" ref="R112:R129" si="28">F112+I112+M112+P112</f>
        <v>1180336.4303991422</v>
      </c>
      <c r="S112" s="334">
        <f>(K6*(5/12))+(K50*(7/12))+(K28*(4/12))+(K72*(8/12))</f>
        <v>85.666666666666671</v>
      </c>
      <c r="T112" s="1061">
        <f>R112/S112</f>
        <v>13778.246269250687</v>
      </c>
      <c r="U112" s="36"/>
      <c r="V112" s="94">
        <f>O6+O50</f>
        <v>766666.66666666674</v>
      </c>
      <c r="W112" s="1061">
        <f>O28+O72</f>
        <v>89999.999999999985</v>
      </c>
      <c r="X112" s="1061">
        <f>V112+W112</f>
        <v>856666.66666666674</v>
      </c>
      <c r="Y112" s="1061">
        <f>VLOOKUP(A112,'2122 Funding Detail'!$A$4:$Y$21,18,FALSE)</f>
        <v>1737106.0663593882</v>
      </c>
      <c r="Z112" s="1061">
        <f>Y112-X112</f>
        <v>880439.39969272143</v>
      </c>
      <c r="AA112" s="1061">
        <f t="shared" ref="AA112:AA129" si="29">P6</f>
        <v>248372.98240358874</v>
      </c>
      <c r="AB112" s="1061">
        <f t="shared" ref="AB112:AB129" si="30">P50</f>
        <v>539568.89280779613</v>
      </c>
      <c r="AC112" s="1061">
        <f>AA112+AB112</f>
        <v>787941.87521138485</v>
      </c>
      <c r="AD112" s="1061">
        <f t="shared" ref="AD112:AD129" si="31">P28</f>
        <v>23980.8396803465</v>
      </c>
      <c r="AE112" s="1061">
        <f t="shared" ref="AE112:AE129" si="32">P72</f>
        <v>68516.684800989999</v>
      </c>
      <c r="AF112" s="1061">
        <f>AD112+AE112</f>
        <v>92497.524481336499</v>
      </c>
      <c r="AG112" s="1061">
        <f>AC112+AF112</f>
        <v>880439.39969272132</v>
      </c>
      <c r="AH112" s="134"/>
      <c r="AI112" s="726">
        <f>X112+AC112+AF112</f>
        <v>1737106.0663593882</v>
      </c>
      <c r="AJ112" s="926" t="s">
        <v>556</v>
      </c>
      <c r="AK112" s="626"/>
      <c r="AL112" s="80">
        <f>SUM(R6,R28,R50,R72)</f>
        <v>279960.97400187148</v>
      </c>
      <c r="AM112" s="414">
        <f>SUM('1920 Band Calculations'!R6,'1920 Band Calculations'!R28,'1920 Band Calculations'!R50,'1920 Band Calculations'!R72)</f>
        <v>154743.89373670361</v>
      </c>
      <c r="AN112" s="414">
        <f>AL112-AM112</f>
        <v>125217.08026516787</v>
      </c>
      <c r="AO112" s="1520"/>
      <c r="AP112" s="1523">
        <f>'2021 Funding Detail'!M4-'1920 Funding Detail'!M4</f>
        <v>3.9166666666666572</v>
      </c>
      <c r="AQ112" s="1523">
        <f>'2021 Band Moderations'!R51</f>
        <v>2</v>
      </c>
      <c r="AR112" s="1523">
        <f t="shared" ref="AR112:AR128" si="33">AP112-AQ112</f>
        <v>1.9166666666666572</v>
      </c>
      <c r="AV112" s="34"/>
      <c r="AW112" s="34"/>
      <c r="AZ112" s="34"/>
      <c r="BA112" s="34"/>
      <c r="BB112" s="34"/>
    </row>
    <row r="113" spans="1:54" ht="13" x14ac:dyDescent="0.3">
      <c r="A113" s="185">
        <v>9257005</v>
      </c>
      <c r="B113" s="38" t="s">
        <v>68</v>
      </c>
      <c r="C113" s="39">
        <v>4</v>
      </c>
      <c r="D113" s="1061">
        <f t="shared" si="20"/>
        <v>265639.03958644101</v>
      </c>
      <c r="E113" s="1061">
        <f t="shared" si="21"/>
        <v>406979.0568758304</v>
      </c>
      <c r="F113" s="156">
        <f t="shared" ref="F113:F129" si="34">SUM(D113:E113)</f>
        <v>672618.09646227141</v>
      </c>
      <c r="G113" s="1061">
        <f t="shared" si="22"/>
        <v>104250.79289430138</v>
      </c>
      <c r="H113" s="1061">
        <f t="shared" si="23"/>
        <v>224540.16931080297</v>
      </c>
      <c r="I113" s="156">
        <f t="shared" ref="I113:I129" si="35">SUM(G113:H113)</f>
        <v>328790.96220510436</v>
      </c>
      <c r="J113" s="156">
        <f t="shared" ref="J113:J128" si="36">F113+I113</f>
        <v>1001409.0586673757</v>
      </c>
      <c r="K113" s="1061">
        <f t="shared" si="24"/>
        <v>3636.8489583333335</v>
      </c>
      <c r="L113" s="1061">
        <f t="shared" si="25"/>
        <v>5571.9270833333339</v>
      </c>
      <c r="M113" s="156">
        <f t="shared" ref="M113:M129" si="37">SUM(K113:L113)</f>
        <v>9208.7760416666679</v>
      </c>
      <c r="N113" s="1061">
        <f t="shared" si="26"/>
        <v>1427.2916666666665</v>
      </c>
      <c r="O113" s="1061">
        <f t="shared" si="27"/>
        <v>3074.1666666666665</v>
      </c>
      <c r="P113" s="156">
        <f t="shared" ref="P113:P129" si="38">SUM(N113:O113)</f>
        <v>4501.458333333333</v>
      </c>
      <c r="Q113" s="156">
        <f t="shared" ref="Q113:Q129" si="39">M113+P113</f>
        <v>13710.234375</v>
      </c>
      <c r="R113" s="156">
        <f t="shared" si="28"/>
        <v>1015119.2930423757</v>
      </c>
      <c r="S113" s="334">
        <f t="shared" ref="S113:S129" si="40">(K7*(5/12))+(K51*(7/12))+(K29*(4/12))+(K73*(8/12))</f>
        <v>83.25</v>
      </c>
      <c r="T113" s="1061">
        <f t="shared" ref="T113:T129" si="41">R113/S113</f>
        <v>12193.625141650158</v>
      </c>
      <c r="U113" s="36"/>
      <c r="V113" s="94">
        <f t="shared" ref="V113:V129" si="42">O7+O51</f>
        <v>559166.66666666674</v>
      </c>
      <c r="W113" s="1061">
        <f t="shared" ref="W113:W129" si="43">O29+O73</f>
        <v>273333.33333333331</v>
      </c>
      <c r="X113" s="1061">
        <f t="shared" ref="X113:X129" si="44">V113+W113</f>
        <v>832500</v>
      </c>
      <c r="Y113" s="1513">
        <f>VLOOKUP(A113,'2122 Funding Detail'!$A$4:$Y$21,18,FALSE)</f>
        <v>1496549.102121766</v>
      </c>
      <c r="Z113" s="1061">
        <f t="shared" ref="Z113:Z129" si="45">Y113-X113</f>
        <v>664049.10212176596</v>
      </c>
      <c r="AA113" s="1061">
        <f t="shared" si="29"/>
        <v>176149.16122349148</v>
      </c>
      <c r="AB113" s="1061">
        <f t="shared" si="30"/>
        <v>269873.80927070766</v>
      </c>
      <c r="AC113" s="1061">
        <f t="shared" ref="AC113:AC129" si="46">AA113+AB113</f>
        <v>446022.97049419914</v>
      </c>
      <c r="AD113" s="1061">
        <f t="shared" si="31"/>
        <v>69130.236857521173</v>
      </c>
      <c r="AE113" s="1061">
        <f t="shared" si="32"/>
        <v>148895.89477004562</v>
      </c>
      <c r="AF113" s="1061">
        <f t="shared" ref="AF113:AF129" si="47">AD113+AE113</f>
        <v>218026.13162756679</v>
      </c>
      <c r="AG113" s="1061">
        <f t="shared" ref="AG113:AG129" si="48">AC113+AF113</f>
        <v>664049.10212176596</v>
      </c>
      <c r="AH113" s="134"/>
      <c r="AI113" s="726">
        <f t="shared" ref="AI113:AI129" si="49">X113+AC113+AF113</f>
        <v>1496549.102121766</v>
      </c>
      <c r="AJ113" s="926" t="s">
        <v>556</v>
      </c>
      <c r="AK113" s="626"/>
      <c r="AL113" s="80">
        <f t="shared" ref="AL113:AL129" si="50">SUM(R7,R29,R51,R73)</f>
        <v>119027.6684821916</v>
      </c>
      <c r="AM113" s="414">
        <f>SUM('1920 Band Calculations'!R7,'1920 Band Calculations'!R29,'1920 Band Calculations'!R51,'1920 Band Calculations'!R73)</f>
        <v>133707.485907725</v>
      </c>
      <c r="AN113" s="414">
        <f t="shared" ref="AN113:AN129" si="51">AL113-AM113</f>
        <v>-14679.817425533402</v>
      </c>
      <c r="AO113" s="1520"/>
      <c r="AP113" s="1523">
        <f>'2021 Funding Detail'!M5-'1920 Funding Detail'!M5</f>
        <v>4.3333333333333286</v>
      </c>
      <c r="AQ113" s="1523">
        <f>'2021 Band Moderations'!R52</f>
        <v>-2</v>
      </c>
      <c r="AR113" s="1523">
        <f t="shared" si="33"/>
        <v>6.3333333333333286</v>
      </c>
      <c r="AV113" s="34"/>
      <c r="AW113" s="34"/>
      <c r="AZ113" s="34"/>
      <c r="BA113" s="34"/>
      <c r="BB113" s="34"/>
    </row>
    <row r="114" spans="1:54" ht="13" x14ac:dyDescent="0.3">
      <c r="A114" s="185">
        <v>9257025</v>
      </c>
      <c r="B114" s="38" t="s">
        <v>69</v>
      </c>
      <c r="C114" s="39">
        <v>4</v>
      </c>
      <c r="D114" s="1061">
        <f t="shared" si="20"/>
        <v>258197.02956478385</v>
      </c>
      <c r="E114" s="1061">
        <f t="shared" si="21"/>
        <v>348565.98991245835</v>
      </c>
      <c r="F114" s="156">
        <f t="shared" si="34"/>
        <v>606763.01947724214</v>
      </c>
      <c r="G114" s="1061">
        <f t="shared" si="22"/>
        <v>73770.579875652533</v>
      </c>
      <c r="H114" s="1061">
        <f t="shared" si="23"/>
        <v>177049.39170156608</v>
      </c>
      <c r="I114" s="156">
        <f t="shared" si="35"/>
        <v>250819.97157721862</v>
      </c>
      <c r="J114" s="156">
        <f t="shared" si="36"/>
        <v>857582.99105446076</v>
      </c>
      <c r="K114" s="1061">
        <f t="shared" si="24"/>
        <v>2395.4545454545455</v>
      </c>
      <c r="L114" s="1061">
        <f t="shared" si="25"/>
        <v>3233.8636363636369</v>
      </c>
      <c r="M114" s="156">
        <f t="shared" si="37"/>
        <v>5629.318181818182</v>
      </c>
      <c r="N114" s="1061">
        <f t="shared" si="26"/>
        <v>684.41558441558448</v>
      </c>
      <c r="O114" s="1061">
        <f t="shared" si="27"/>
        <v>1642.5974025974024</v>
      </c>
      <c r="P114" s="156">
        <f t="shared" si="38"/>
        <v>2327.0129870129867</v>
      </c>
      <c r="Q114" s="156">
        <f t="shared" si="39"/>
        <v>7956.3311688311687</v>
      </c>
      <c r="R114" s="156">
        <f t="shared" si="28"/>
        <v>865539.32222329197</v>
      </c>
      <c r="S114" s="334">
        <f t="shared" si="40"/>
        <v>77.5</v>
      </c>
      <c r="T114" s="1061">
        <f t="shared" si="41"/>
        <v>11168.24931901022</v>
      </c>
      <c r="U114" s="36"/>
      <c r="V114" s="94">
        <f t="shared" si="42"/>
        <v>548333.33333333337</v>
      </c>
      <c r="W114" s="1061">
        <f t="shared" si="43"/>
        <v>226666.66666666666</v>
      </c>
      <c r="X114" s="1061">
        <f t="shared" si="44"/>
        <v>775000</v>
      </c>
      <c r="Y114" s="1513">
        <f>VLOOKUP(A114,'2122 Funding Detail'!$A$4:$Y$21,18,FALSE)</f>
        <v>1365089.6538288677</v>
      </c>
      <c r="Z114" s="1061">
        <f t="shared" si="45"/>
        <v>590089.65382886771</v>
      </c>
      <c r="AA114" s="1061">
        <f t="shared" si="29"/>
        <v>177661.40115277734</v>
      </c>
      <c r="AB114" s="1061">
        <f t="shared" si="30"/>
        <v>239842.89155624944</v>
      </c>
      <c r="AC114" s="1061">
        <f t="shared" si="46"/>
        <v>417504.29270902678</v>
      </c>
      <c r="AD114" s="1061">
        <f t="shared" si="31"/>
        <v>50760.400329364958</v>
      </c>
      <c r="AE114" s="1061">
        <f t="shared" si="32"/>
        <v>121824.96079047589</v>
      </c>
      <c r="AF114" s="1061">
        <f t="shared" si="47"/>
        <v>172585.36111984085</v>
      </c>
      <c r="AG114" s="1061">
        <f t="shared" si="48"/>
        <v>590089.65382886759</v>
      </c>
      <c r="AH114" s="134"/>
      <c r="AI114" s="726">
        <f t="shared" si="49"/>
        <v>1365089.6538288675</v>
      </c>
      <c r="AJ114" s="926" t="s">
        <v>556</v>
      </c>
      <c r="AK114" s="626"/>
      <c r="AL114" s="80">
        <f t="shared" si="50"/>
        <v>92098.940863721436</v>
      </c>
      <c r="AM114" s="414">
        <f>SUM('1920 Band Calculations'!R8,'1920 Band Calculations'!R30,'1920 Band Calculations'!R52,'1920 Band Calculations'!R74)</f>
        <v>65180.497965256167</v>
      </c>
      <c r="AN114" s="414">
        <f t="shared" si="51"/>
        <v>26918.44289846527</v>
      </c>
      <c r="AO114" s="1520"/>
      <c r="AP114" s="1523">
        <f>'2021 Funding Detail'!M6-'1920 Funding Detail'!M6</f>
        <v>3.9166666666666572</v>
      </c>
      <c r="AQ114" s="1523">
        <f>'2021 Band Moderations'!R53</f>
        <v>1</v>
      </c>
      <c r="AR114" s="1523">
        <f t="shared" si="33"/>
        <v>2.9166666666666572</v>
      </c>
      <c r="AV114" s="34"/>
      <c r="AW114" s="34"/>
      <c r="AZ114" s="34"/>
      <c r="BA114" s="34"/>
      <c r="BB114" s="34"/>
    </row>
    <row r="115" spans="1:54" ht="13" x14ac:dyDescent="0.3">
      <c r="A115" s="185">
        <v>9257011</v>
      </c>
      <c r="B115" s="38" t="s">
        <v>70</v>
      </c>
      <c r="C115" s="39">
        <v>4</v>
      </c>
      <c r="D115" s="1061">
        <f t="shared" si="20"/>
        <v>266918.27122850198</v>
      </c>
      <c r="E115" s="1061">
        <f t="shared" si="21"/>
        <v>373685.57971990277</v>
      </c>
      <c r="F115" s="156">
        <f t="shared" si="34"/>
        <v>640603.85094840475</v>
      </c>
      <c r="G115" s="1061">
        <f t="shared" si="22"/>
        <v>34165.538717248251</v>
      </c>
      <c r="H115" s="1061">
        <f t="shared" si="23"/>
        <v>68331.077434496503</v>
      </c>
      <c r="I115" s="156">
        <f t="shared" si="35"/>
        <v>102496.61615174476</v>
      </c>
      <c r="J115" s="156">
        <f t="shared" si="36"/>
        <v>743100.46710014949</v>
      </c>
      <c r="K115" s="1061">
        <f t="shared" si="24"/>
        <v>1035.7704402515724</v>
      </c>
      <c r="L115" s="1061">
        <f t="shared" si="25"/>
        <v>1450.0786163522014</v>
      </c>
      <c r="M115" s="156">
        <f t="shared" si="37"/>
        <v>2485.8490566037735</v>
      </c>
      <c r="N115" s="1061">
        <f t="shared" si="26"/>
        <v>132.57861635220124</v>
      </c>
      <c r="O115" s="1061">
        <f t="shared" si="27"/>
        <v>265.15723270440247</v>
      </c>
      <c r="P115" s="156">
        <f t="shared" si="38"/>
        <v>397.73584905660368</v>
      </c>
      <c r="Q115" s="156">
        <f t="shared" si="39"/>
        <v>2883.5849056603774</v>
      </c>
      <c r="R115" s="156">
        <f t="shared" si="28"/>
        <v>745984.05200580985</v>
      </c>
      <c r="S115" s="334">
        <f t="shared" si="40"/>
        <v>58</v>
      </c>
      <c r="T115" s="1061">
        <f t="shared" si="41"/>
        <v>12861.79400010017</v>
      </c>
      <c r="U115" s="36"/>
      <c r="V115" s="94">
        <f t="shared" si="42"/>
        <v>500000</v>
      </c>
      <c r="W115" s="1061">
        <f t="shared" si="43"/>
        <v>80000</v>
      </c>
      <c r="X115" s="1061">
        <f t="shared" si="44"/>
        <v>580000</v>
      </c>
      <c r="Y115" s="1513">
        <f>VLOOKUP(A115,'2122 Funding Detail'!$A$4:$Y$21,18,FALSE)</f>
        <v>1194256.4520058099</v>
      </c>
      <c r="Z115" s="1061">
        <f t="shared" si="45"/>
        <v>614256.45200580987</v>
      </c>
      <c r="AA115" s="1061">
        <f t="shared" si="29"/>
        <v>220638.09339289152</v>
      </c>
      <c r="AB115" s="1061">
        <f t="shared" si="30"/>
        <v>308893.3307500481</v>
      </c>
      <c r="AC115" s="1061">
        <f t="shared" si="46"/>
        <v>529531.42414293962</v>
      </c>
      <c r="AD115" s="1061">
        <f t="shared" si="31"/>
        <v>28241.675954290113</v>
      </c>
      <c r="AE115" s="1061">
        <f t="shared" si="32"/>
        <v>56483.351908580225</v>
      </c>
      <c r="AF115" s="1061">
        <f t="shared" si="47"/>
        <v>84725.027862870338</v>
      </c>
      <c r="AG115" s="1061">
        <f t="shared" si="48"/>
        <v>614256.45200580999</v>
      </c>
      <c r="AH115" s="134"/>
      <c r="AI115" s="726">
        <f t="shared" si="49"/>
        <v>1194256.4520058099</v>
      </c>
      <c r="AJ115" s="926" t="s">
        <v>556</v>
      </c>
      <c r="AK115" s="626"/>
      <c r="AL115" s="80">
        <f t="shared" si="50"/>
        <v>150205.91718711381</v>
      </c>
      <c r="AM115" s="414">
        <f>SUM('1920 Band Calculations'!R9,'1920 Band Calculations'!R31,'1920 Band Calculations'!R53,'1920 Band Calculations'!R75)</f>
        <v>120750.20859926101</v>
      </c>
      <c r="AN115" s="414">
        <f t="shared" si="51"/>
        <v>29455.708587852801</v>
      </c>
      <c r="AO115" s="1520"/>
      <c r="AP115" s="1523">
        <f>'2021 Funding Detail'!M7-'1920 Funding Detail'!M7</f>
        <v>-1.1666666666666643</v>
      </c>
      <c r="AQ115" s="1523">
        <f>'2021 Band Moderations'!R54</f>
        <v>0</v>
      </c>
      <c r="AR115" s="1523">
        <f t="shared" si="33"/>
        <v>-1.1666666666666643</v>
      </c>
      <c r="AV115" s="34"/>
      <c r="AW115" s="34"/>
      <c r="AZ115" s="34"/>
      <c r="BA115" s="34"/>
      <c r="BB115" s="34"/>
    </row>
    <row r="116" spans="1:54" ht="13" x14ac:dyDescent="0.3">
      <c r="A116" s="185">
        <v>9257024</v>
      </c>
      <c r="B116" s="38" t="s">
        <v>71</v>
      </c>
      <c r="C116" s="39">
        <v>3</v>
      </c>
      <c r="D116" s="1061">
        <f t="shared" si="20"/>
        <v>341858.48517962609</v>
      </c>
      <c r="E116" s="1061">
        <f t="shared" si="21"/>
        <v>485439.0489550691</v>
      </c>
      <c r="F116" s="156">
        <f t="shared" si="34"/>
        <v>827297.53413469519</v>
      </c>
      <c r="G116" s="1061">
        <f t="shared" si="22"/>
        <v>54697.357628740181</v>
      </c>
      <c r="H116" s="1061">
        <f t="shared" si="23"/>
        <v>101580.80702480319</v>
      </c>
      <c r="I116" s="156">
        <f t="shared" si="35"/>
        <v>156278.16465354338</v>
      </c>
      <c r="J116" s="156">
        <f t="shared" si="36"/>
        <v>983575.69878823857</v>
      </c>
      <c r="K116" s="1061">
        <f t="shared" si="24"/>
        <v>925.95381526104427</v>
      </c>
      <c r="L116" s="1061">
        <f t="shared" si="25"/>
        <v>1314.8544176706828</v>
      </c>
      <c r="M116" s="156">
        <f t="shared" si="37"/>
        <v>2240.8082329317272</v>
      </c>
      <c r="N116" s="1061">
        <f t="shared" si="26"/>
        <v>148.15261044176708</v>
      </c>
      <c r="O116" s="1061">
        <f t="shared" si="27"/>
        <v>275.14056224899599</v>
      </c>
      <c r="P116" s="156">
        <f t="shared" si="38"/>
        <v>423.29317269076307</v>
      </c>
      <c r="Q116" s="156">
        <f t="shared" si="39"/>
        <v>2664.1014056224903</v>
      </c>
      <c r="R116" s="156">
        <f t="shared" si="28"/>
        <v>986239.80019386113</v>
      </c>
      <c r="S116" s="334">
        <f t="shared" si="40"/>
        <v>83.916666666666686</v>
      </c>
      <c r="T116" s="1061">
        <f t="shared" si="41"/>
        <v>11752.609336967558</v>
      </c>
      <c r="U116" s="36"/>
      <c r="V116" s="94">
        <f t="shared" si="42"/>
        <v>705833.33333333337</v>
      </c>
      <c r="W116" s="1061">
        <f t="shared" si="43"/>
        <v>133333.33333333331</v>
      </c>
      <c r="X116" s="1061">
        <f t="shared" si="44"/>
        <v>839166.66666666674</v>
      </c>
      <c r="Y116" s="1513">
        <f>VLOOKUP(A116,'2122 Funding Detail'!$A$4:$Y$21,18,FALSE)</f>
        <v>1487567.2986802158</v>
      </c>
      <c r="Z116" s="1061">
        <f t="shared" si="45"/>
        <v>648400.6320135491</v>
      </c>
      <c r="AA116" s="1061">
        <f t="shared" si="29"/>
        <v>225362.6824277479</v>
      </c>
      <c r="AB116" s="1061">
        <f t="shared" si="30"/>
        <v>320015.00904740195</v>
      </c>
      <c r="AC116" s="1061">
        <f t="shared" si="46"/>
        <v>545377.69147514983</v>
      </c>
      <c r="AD116" s="1061">
        <f t="shared" si="31"/>
        <v>36058.029188439665</v>
      </c>
      <c r="AE116" s="1061">
        <f t="shared" si="32"/>
        <v>66964.911349959366</v>
      </c>
      <c r="AF116" s="1061">
        <f t="shared" si="47"/>
        <v>103022.94053839904</v>
      </c>
      <c r="AG116" s="1061">
        <f t="shared" si="48"/>
        <v>648400.63201354886</v>
      </c>
      <c r="AH116" s="134"/>
      <c r="AI116" s="726">
        <f t="shared" si="49"/>
        <v>1487567.2986802156</v>
      </c>
      <c r="AJ116" s="926" t="s">
        <v>556</v>
      </c>
      <c r="AK116" s="626"/>
      <c r="AL116" s="80">
        <f t="shared" si="50"/>
        <v>208159.53485130478</v>
      </c>
      <c r="AM116" s="414">
        <f>SUM('1920 Band Calculations'!R10,'1920 Band Calculations'!R32,'1920 Band Calculations'!R54,'1920 Band Calculations'!R76)</f>
        <v>222610.83826613796</v>
      </c>
      <c r="AN116" s="414">
        <f t="shared" si="51"/>
        <v>-14451.303414833179</v>
      </c>
      <c r="AO116" s="1520"/>
      <c r="AP116" s="1523">
        <f>'2021 Funding Detail'!M8-'1920 Funding Detail'!M8</f>
        <v>1.9999999999999858</v>
      </c>
      <c r="AQ116" s="1523">
        <f>'2021 Band Moderations'!R55</f>
        <v>-2</v>
      </c>
      <c r="AR116" s="1523">
        <f t="shared" si="33"/>
        <v>3.9999999999999858</v>
      </c>
      <c r="AV116" s="34"/>
      <c r="AW116" s="34"/>
      <c r="AZ116" s="34"/>
      <c r="BA116" s="34"/>
      <c r="BB116" s="34"/>
    </row>
    <row r="117" spans="1:54" ht="13" x14ac:dyDescent="0.3">
      <c r="A117" s="185">
        <v>9257031</v>
      </c>
      <c r="B117" s="38" t="s">
        <v>98</v>
      </c>
      <c r="C117" s="39">
        <v>4</v>
      </c>
      <c r="D117" s="1061">
        <f t="shared" si="20"/>
        <v>401972.05167783931</v>
      </c>
      <c r="E117" s="1061">
        <f t="shared" si="21"/>
        <v>569795.38325333723</v>
      </c>
      <c r="F117" s="156">
        <f t="shared" si="34"/>
        <v>971767.43493117648</v>
      </c>
      <c r="G117" s="1061">
        <f t="shared" si="22"/>
        <v>0</v>
      </c>
      <c r="H117" s="1061">
        <f t="shared" si="23"/>
        <v>0</v>
      </c>
      <c r="I117" s="156">
        <f t="shared" si="35"/>
        <v>0</v>
      </c>
      <c r="J117" s="156">
        <f t="shared" si="36"/>
        <v>971767.43493117648</v>
      </c>
      <c r="K117" s="1061">
        <f t="shared" si="24"/>
        <v>87833.333333333343</v>
      </c>
      <c r="L117" s="1061">
        <f t="shared" si="25"/>
        <v>124503.75000000001</v>
      </c>
      <c r="M117" s="156">
        <f t="shared" si="37"/>
        <v>212337.08333333337</v>
      </c>
      <c r="N117" s="1061">
        <f t="shared" si="26"/>
        <v>0</v>
      </c>
      <c r="O117" s="1061">
        <f t="shared" si="27"/>
        <v>0</v>
      </c>
      <c r="P117" s="156">
        <f t="shared" si="38"/>
        <v>0</v>
      </c>
      <c r="Q117" s="156">
        <f t="shared" si="39"/>
        <v>212337.08333333337</v>
      </c>
      <c r="R117" s="156">
        <f t="shared" si="28"/>
        <v>1184104.5182645097</v>
      </c>
      <c r="S117" s="334">
        <f t="shared" si="40"/>
        <v>80.583333333333343</v>
      </c>
      <c r="T117" s="1061">
        <f t="shared" si="41"/>
        <v>14694.161550335177</v>
      </c>
      <c r="U117" s="36"/>
      <c r="V117" s="94">
        <f t="shared" si="42"/>
        <v>805833.33333333337</v>
      </c>
      <c r="W117" s="1061">
        <f t="shared" si="43"/>
        <v>0</v>
      </c>
      <c r="X117" s="1061">
        <f t="shared" si="44"/>
        <v>805833.33333333337</v>
      </c>
      <c r="Y117" s="1513">
        <f>VLOOKUP(A117,'2122 Funding Detail'!$A$4:$Y$21,18,FALSE)</f>
        <v>1668000.205271652</v>
      </c>
      <c r="Z117" s="1061">
        <f t="shared" si="45"/>
        <v>862166.8719383186</v>
      </c>
      <c r="AA117" s="1061">
        <f t="shared" si="29"/>
        <v>356635.72779247916</v>
      </c>
      <c r="AB117" s="1061">
        <f t="shared" si="30"/>
        <v>505531.14414583921</v>
      </c>
      <c r="AC117" s="1061">
        <f t="shared" si="46"/>
        <v>862166.87193831836</v>
      </c>
      <c r="AD117" s="1061">
        <f t="shared" si="31"/>
        <v>0</v>
      </c>
      <c r="AE117" s="1061">
        <f t="shared" si="32"/>
        <v>0</v>
      </c>
      <c r="AF117" s="1061">
        <f t="shared" si="47"/>
        <v>0</v>
      </c>
      <c r="AG117" s="1061">
        <f t="shared" si="48"/>
        <v>862166.87193831836</v>
      </c>
      <c r="AH117" s="134"/>
      <c r="AI117" s="726">
        <f t="shared" si="49"/>
        <v>1668000.2052716517</v>
      </c>
      <c r="AJ117" s="926" t="s">
        <v>556</v>
      </c>
      <c r="AK117" s="626"/>
      <c r="AL117" s="80">
        <f t="shared" si="50"/>
        <v>0</v>
      </c>
      <c r="AM117" s="414">
        <f>SUM('1920 Band Calculations'!R11,'1920 Band Calculations'!R33,'1920 Band Calculations'!R55,'1920 Band Calculations'!R77)</f>
        <v>0</v>
      </c>
      <c r="AN117" s="414">
        <f t="shared" si="51"/>
        <v>0</v>
      </c>
      <c r="AO117" s="1520"/>
      <c r="AP117" s="1523">
        <f>'2021 Funding Detail'!M17-'1920 Funding Detail'!M17</f>
        <v>4.1666666666666714</v>
      </c>
      <c r="AQ117" s="1523">
        <f>'2021 Band Moderations'!R56</f>
        <v>0</v>
      </c>
      <c r="AR117" s="1523">
        <f t="shared" si="33"/>
        <v>4.1666666666666714</v>
      </c>
      <c r="AV117" s="34"/>
      <c r="AW117" s="34"/>
      <c r="AZ117" s="34"/>
      <c r="BA117" s="34"/>
      <c r="BB117" s="34"/>
    </row>
    <row r="118" spans="1:54" ht="13" x14ac:dyDescent="0.3">
      <c r="A118" s="185">
        <v>9257033</v>
      </c>
      <c r="B118" s="38" t="s">
        <v>72</v>
      </c>
      <c r="C118" s="39">
        <v>3</v>
      </c>
      <c r="D118" s="1061">
        <f t="shared" si="20"/>
        <v>385989.25868627999</v>
      </c>
      <c r="E118" s="1061">
        <f t="shared" si="21"/>
        <v>534926.52819957177</v>
      </c>
      <c r="F118" s="156">
        <f t="shared" si="34"/>
        <v>920915.78688585176</v>
      </c>
      <c r="G118" s="1061">
        <f t="shared" si="22"/>
        <v>0</v>
      </c>
      <c r="H118" s="1061">
        <f t="shared" si="23"/>
        <v>0</v>
      </c>
      <c r="I118" s="156">
        <f t="shared" si="35"/>
        <v>0</v>
      </c>
      <c r="J118" s="156">
        <f t="shared" si="36"/>
        <v>920915.78688585176</v>
      </c>
      <c r="K118" s="1061">
        <f t="shared" si="24"/>
        <v>6864.8684210526326</v>
      </c>
      <c r="L118" s="1061">
        <f t="shared" si="25"/>
        <v>9513.7368421052652</v>
      </c>
      <c r="M118" s="156">
        <f t="shared" si="37"/>
        <v>16378.605263157897</v>
      </c>
      <c r="N118" s="1061">
        <f t="shared" si="26"/>
        <v>0</v>
      </c>
      <c r="O118" s="1061">
        <f t="shared" si="27"/>
        <v>0</v>
      </c>
      <c r="P118" s="156">
        <f t="shared" si="38"/>
        <v>0</v>
      </c>
      <c r="Q118" s="156">
        <f t="shared" si="39"/>
        <v>16378.605263157897</v>
      </c>
      <c r="R118" s="156">
        <f t="shared" si="28"/>
        <v>937294.39214900963</v>
      </c>
      <c r="S118" s="334">
        <f t="shared" si="40"/>
        <v>98.416666666666671</v>
      </c>
      <c r="T118" s="1061">
        <f t="shared" si="41"/>
        <v>9523.7364147232129</v>
      </c>
      <c r="U118" s="36"/>
      <c r="V118" s="94">
        <f t="shared" si="42"/>
        <v>984166.66666666674</v>
      </c>
      <c r="W118" s="1061">
        <f t="shared" si="43"/>
        <v>0</v>
      </c>
      <c r="X118" s="1061">
        <f t="shared" si="44"/>
        <v>984166.66666666674</v>
      </c>
      <c r="Y118" s="1513">
        <f>VLOOKUP(A118,'2122 Funding Detail'!$A$4:$Y$21,18,FALSE)</f>
        <v>1429288.0421490096</v>
      </c>
      <c r="Z118" s="1061">
        <f t="shared" si="45"/>
        <v>445121.3754823429</v>
      </c>
      <c r="AA118" s="1061">
        <f t="shared" si="29"/>
        <v>186566.53756457215</v>
      </c>
      <c r="AB118" s="1061">
        <f t="shared" si="30"/>
        <v>258554.83791777072</v>
      </c>
      <c r="AC118" s="1061">
        <f t="shared" si="46"/>
        <v>445121.3754823429</v>
      </c>
      <c r="AD118" s="1061">
        <f t="shared" si="31"/>
        <v>0</v>
      </c>
      <c r="AE118" s="1061">
        <f t="shared" si="32"/>
        <v>0</v>
      </c>
      <c r="AF118" s="1061">
        <f t="shared" si="47"/>
        <v>0</v>
      </c>
      <c r="AG118" s="1061">
        <f t="shared" si="48"/>
        <v>445121.3754823429</v>
      </c>
      <c r="AH118" s="134"/>
      <c r="AI118" s="726">
        <f t="shared" si="49"/>
        <v>1429288.0421490096</v>
      </c>
      <c r="AJ118" s="926" t="s">
        <v>556</v>
      </c>
      <c r="AK118" s="626"/>
      <c r="AL118" s="80">
        <f t="shared" si="50"/>
        <v>0</v>
      </c>
      <c r="AM118" s="414">
        <f>SUM('1920 Band Calculations'!R12,'1920 Band Calculations'!R34,'1920 Band Calculations'!R56,'1920 Band Calculations'!R78)</f>
        <v>0</v>
      </c>
      <c r="AN118" s="414">
        <f t="shared" si="51"/>
        <v>0</v>
      </c>
      <c r="AO118" s="1520"/>
      <c r="AP118" s="1523">
        <f>'2021 Funding Detail'!M10-'1920 Funding Detail'!M10</f>
        <v>3.3333333333333428</v>
      </c>
      <c r="AQ118" s="1523">
        <f>'2021 Band Moderations'!R57</f>
        <v>0</v>
      </c>
      <c r="AR118" s="1523">
        <f t="shared" si="33"/>
        <v>3.3333333333333428</v>
      </c>
      <c r="AV118" s="34"/>
      <c r="AW118" s="34"/>
      <c r="AZ118" s="34"/>
      <c r="BA118" s="34"/>
      <c r="BB118" s="34"/>
    </row>
    <row r="119" spans="1:54" ht="13" x14ac:dyDescent="0.3">
      <c r="A119" s="185">
        <v>9257008</v>
      </c>
      <c r="B119" s="38" t="s">
        <v>73</v>
      </c>
      <c r="C119" s="39">
        <v>4</v>
      </c>
      <c r="D119" s="1061">
        <f t="shared" si="20"/>
        <v>395671.877203841</v>
      </c>
      <c r="E119" s="1061">
        <f t="shared" si="21"/>
        <v>559593.08347400383</v>
      </c>
      <c r="F119" s="156">
        <f t="shared" si="34"/>
        <v>955264.96067784482</v>
      </c>
      <c r="G119" s="1061">
        <f t="shared" si="22"/>
        <v>0</v>
      </c>
      <c r="H119" s="1061">
        <f t="shared" si="23"/>
        <v>0</v>
      </c>
      <c r="I119" s="156">
        <f t="shared" si="35"/>
        <v>0</v>
      </c>
      <c r="J119" s="156">
        <f t="shared" si="36"/>
        <v>955264.96067784482</v>
      </c>
      <c r="K119" s="1061">
        <f t="shared" si="24"/>
        <v>8694.6127946127945</v>
      </c>
      <c r="L119" s="1061">
        <f t="shared" si="25"/>
        <v>12296.666666666668</v>
      </c>
      <c r="M119" s="156">
        <f t="shared" si="37"/>
        <v>20991.279461279461</v>
      </c>
      <c r="N119" s="1061">
        <f t="shared" si="26"/>
        <v>0</v>
      </c>
      <c r="O119" s="1061">
        <f t="shared" si="27"/>
        <v>0</v>
      </c>
      <c r="P119" s="156">
        <f t="shared" si="38"/>
        <v>0</v>
      </c>
      <c r="Q119" s="156">
        <f t="shared" si="39"/>
        <v>20991.279461279461</v>
      </c>
      <c r="R119" s="156">
        <f t="shared" si="28"/>
        <v>976256.24013912433</v>
      </c>
      <c r="S119" s="334">
        <f t="shared" si="40"/>
        <v>98.583333333333343</v>
      </c>
      <c r="T119" s="1061">
        <f t="shared" si="41"/>
        <v>9902.8528162886651</v>
      </c>
      <c r="U119" s="36"/>
      <c r="V119" s="94">
        <f t="shared" si="42"/>
        <v>985833.33333333349</v>
      </c>
      <c r="W119" s="1061">
        <f t="shared" si="43"/>
        <v>0</v>
      </c>
      <c r="X119" s="1061">
        <f t="shared" si="44"/>
        <v>985833.33333333349</v>
      </c>
      <c r="Y119" s="1513">
        <f>VLOOKUP(A119,'2122 Funding Detail'!$A$4:$Y$21,18,FALSE)</f>
        <v>1460619.4401391244</v>
      </c>
      <c r="Z119" s="1061">
        <f t="shared" si="45"/>
        <v>474786.10680579091</v>
      </c>
      <c r="AA119" s="1061">
        <f t="shared" si="29"/>
        <v>196656.96731600809</v>
      </c>
      <c r="AB119" s="1061">
        <f t="shared" si="30"/>
        <v>278129.13948978286</v>
      </c>
      <c r="AC119" s="1061">
        <f t="shared" si="46"/>
        <v>474786.10680579091</v>
      </c>
      <c r="AD119" s="1061">
        <f t="shared" si="31"/>
        <v>0</v>
      </c>
      <c r="AE119" s="1061">
        <f t="shared" si="32"/>
        <v>0</v>
      </c>
      <c r="AF119" s="1061">
        <f t="shared" si="47"/>
        <v>0</v>
      </c>
      <c r="AG119" s="1061">
        <f t="shared" si="48"/>
        <v>474786.10680579091</v>
      </c>
      <c r="AH119" s="134"/>
      <c r="AI119" s="726">
        <f t="shared" si="49"/>
        <v>1460619.4401391244</v>
      </c>
      <c r="AJ119" s="926" t="s">
        <v>556</v>
      </c>
      <c r="AK119" s="626"/>
      <c r="AL119" s="80">
        <f t="shared" si="50"/>
        <v>22779.908282332057</v>
      </c>
      <c r="AM119" s="414">
        <f>SUM('1920 Band Calculations'!R13,'1920 Band Calculations'!R35,'1920 Band Calculations'!R57,'1920 Band Calculations'!R79)</f>
        <v>0</v>
      </c>
      <c r="AN119" s="414">
        <f t="shared" si="51"/>
        <v>22779.908282332057</v>
      </c>
      <c r="AO119" s="1520"/>
      <c r="AP119" s="1523">
        <f>'2021 Funding Detail'!M9-'1920 Funding Detail'!M9</f>
        <v>1.75</v>
      </c>
      <c r="AQ119" s="1523">
        <f>'2021 Band Moderations'!R58</f>
        <v>0</v>
      </c>
      <c r="AR119" s="1523">
        <f t="shared" si="33"/>
        <v>1.75</v>
      </c>
      <c r="AV119" s="34"/>
      <c r="AW119" s="34"/>
      <c r="AZ119" s="34"/>
      <c r="BA119" s="34"/>
      <c r="BB119" s="34"/>
    </row>
    <row r="120" spans="1:54" ht="13" x14ac:dyDescent="0.3">
      <c r="A120" s="185">
        <v>9257034</v>
      </c>
      <c r="B120" s="38" t="s">
        <v>74</v>
      </c>
      <c r="C120" s="39">
        <v>5</v>
      </c>
      <c r="D120" s="1061">
        <f t="shared" si="20"/>
        <v>345886.69406695175</v>
      </c>
      <c r="E120" s="1061">
        <f t="shared" si="21"/>
        <v>453332.34796860069</v>
      </c>
      <c r="F120" s="156">
        <f t="shared" si="34"/>
        <v>799219.04203555244</v>
      </c>
      <c r="G120" s="1061">
        <f t="shared" si="22"/>
        <v>100086.3625385222</v>
      </c>
      <c r="H120" s="1061">
        <f t="shared" si="23"/>
        <v>188397.85889604181</v>
      </c>
      <c r="I120" s="156">
        <f t="shared" si="35"/>
        <v>288484.22143456398</v>
      </c>
      <c r="J120" s="156">
        <f t="shared" si="36"/>
        <v>1087703.2634701165</v>
      </c>
      <c r="K120" s="1061">
        <f t="shared" si="24"/>
        <v>14594.528619528619</v>
      </c>
      <c r="L120" s="1061">
        <f t="shared" si="25"/>
        <v>19128.14814814815</v>
      </c>
      <c r="M120" s="156">
        <f t="shared" si="37"/>
        <v>33722.67676767677</v>
      </c>
      <c r="N120" s="1061">
        <f t="shared" si="26"/>
        <v>4223.0976430976425</v>
      </c>
      <c r="O120" s="1061">
        <f t="shared" si="27"/>
        <v>7949.3602693602679</v>
      </c>
      <c r="P120" s="156">
        <f t="shared" si="38"/>
        <v>12172.45791245791</v>
      </c>
      <c r="Q120" s="156">
        <f t="shared" si="39"/>
        <v>45895.134680134681</v>
      </c>
      <c r="R120" s="156">
        <f t="shared" si="28"/>
        <v>1133598.3981502512</v>
      </c>
      <c r="S120" s="334">
        <f t="shared" si="40"/>
        <v>123.16666666666666</v>
      </c>
      <c r="T120" s="1061">
        <f t="shared" si="41"/>
        <v>9203.7758983782242</v>
      </c>
      <c r="U120" s="36"/>
      <c r="V120" s="94">
        <f t="shared" si="42"/>
        <v>905000</v>
      </c>
      <c r="W120" s="1061">
        <f t="shared" si="43"/>
        <v>326666.66666666663</v>
      </c>
      <c r="X120" s="1061">
        <f t="shared" si="44"/>
        <v>1231666.6666666665</v>
      </c>
      <c r="Y120" s="1513">
        <f>VLOOKUP(A120,'2122 Funding Detail'!$A$4:$Y$21,18,FALSE)</f>
        <v>1710252.6326618223</v>
      </c>
      <c r="Z120" s="1061">
        <f t="shared" si="45"/>
        <v>478585.96599515574</v>
      </c>
      <c r="AA120" s="1061">
        <f t="shared" si="29"/>
        <v>152189.04196057047</v>
      </c>
      <c r="AB120" s="1061">
        <f t="shared" si="30"/>
        <v>199464.78691002424</v>
      </c>
      <c r="AC120" s="1061">
        <f t="shared" si="46"/>
        <v>351653.82887059473</v>
      </c>
      <c r="AD120" s="1061">
        <f t="shared" si="31"/>
        <v>44037.680226888479</v>
      </c>
      <c r="AE120" s="1061">
        <f t="shared" si="32"/>
        <v>82894.456897672426</v>
      </c>
      <c r="AF120" s="1061">
        <f t="shared" si="47"/>
        <v>126932.1371245609</v>
      </c>
      <c r="AG120" s="1061">
        <f t="shared" si="48"/>
        <v>478585.96599515562</v>
      </c>
      <c r="AH120" s="134"/>
      <c r="AI120" s="726">
        <f t="shared" si="49"/>
        <v>1710252.6326618223</v>
      </c>
      <c r="AJ120" s="926" t="s">
        <v>556</v>
      </c>
      <c r="AK120" s="626"/>
      <c r="AL120" s="80">
        <f t="shared" si="50"/>
        <v>28460.443314697197</v>
      </c>
      <c r="AM120" s="414">
        <f>SUM('1920 Band Calculations'!R14,'1920 Band Calculations'!R36,'1920 Band Calculations'!R58,'1920 Band Calculations'!R80)</f>
        <v>23434.031478687801</v>
      </c>
      <c r="AN120" s="414">
        <f t="shared" si="51"/>
        <v>5026.4118360093962</v>
      </c>
      <c r="AO120" s="1520"/>
      <c r="AP120" s="1523">
        <f>'2021 Funding Detail'!M23-'1920 Funding Detail'!M23</f>
        <v>7.8333333333333144</v>
      </c>
      <c r="AQ120" s="1523">
        <f>'2021 Band Moderations'!R59</f>
        <v>0</v>
      </c>
      <c r="AR120" s="1523">
        <f t="shared" si="33"/>
        <v>7.8333333333333144</v>
      </c>
      <c r="AV120" s="34"/>
      <c r="AW120" s="34"/>
      <c r="AZ120" s="34"/>
      <c r="BA120" s="34"/>
      <c r="BB120" s="34"/>
    </row>
    <row r="121" spans="1:54" ht="13" x14ac:dyDescent="0.3">
      <c r="A121" s="185">
        <v>9257002</v>
      </c>
      <c r="B121" s="38" t="s">
        <v>75</v>
      </c>
      <c r="C121" s="39">
        <v>5</v>
      </c>
      <c r="D121" s="1061">
        <f t="shared" si="20"/>
        <v>549796.39572404581</v>
      </c>
      <c r="E121" s="1061">
        <f t="shared" si="21"/>
        <v>774846.38704042183</v>
      </c>
      <c r="F121" s="156">
        <f t="shared" si="34"/>
        <v>1324642.7827644676</v>
      </c>
      <c r="G121" s="1061">
        <f t="shared" si="22"/>
        <v>0</v>
      </c>
      <c r="H121" s="1061">
        <f t="shared" si="23"/>
        <v>0</v>
      </c>
      <c r="I121" s="156">
        <f t="shared" si="35"/>
        <v>0</v>
      </c>
      <c r="J121" s="156">
        <f t="shared" si="36"/>
        <v>1324642.7827644676</v>
      </c>
      <c r="K121" s="1061">
        <f t="shared" si="24"/>
        <v>21023.936170212764</v>
      </c>
      <c r="L121" s="1061">
        <f t="shared" si="25"/>
        <v>29629.734042553191</v>
      </c>
      <c r="M121" s="156">
        <f t="shared" si="37"/>
        <v>50653.670212765952</v>
      </c>
      <c r="N121" s="1061">
        <f t="shared" si="26"/>
        <v>0</v>
      </c>
      <c r="O121" s="1061">
        <f t="shared" si="27"/>
        <v>0</v>
      </c>
      <c r="P121" s="156">
        <f t="shared" si="38"/>
        <v>0</v>
      </c>
      <c r="Q121" s="156">
        <f t="shared" si="39"/>
        <v>50653.670212765952</v>
      </c>
      <c r="R121" s="156">
        <f t="shared" si="28"/>
        <v>1375296.4529772336</v>
      </c>
      <c r="S121" s="334">
        <f t="shared" si="40"/>
        <v>150.58333333333334</v>
      </c>
      <c r="T121" s="1061">
        <f t="shared" si="41"/>
        <v>9133.1253103081362</v>
      </c>
      <c r="U121" s="36"/>
      <c r="V121" s="94">
        <f t="shared" si="42"/>
        <v>1505833.3333333335</v>
      </c>
      <c r="W121" s="1061">
        <f t="shared" si="43"/>
        <v>0</v>
      </c>
      <c r="X121" s="1061">
        <f t="shared" si="44"/>
        <v>1505833.3333333335</v>
      </c>
      <c r="Y121" s="1513">
        <f>VLOOKUP(A121,'2122 Funding Detail'!$A$4:$Y$21,18,FALSE)</f>
        <v>1934148.1529772335</v>
      </c>
      <c r="Z121" s="1061">
        <f t="shared" si="45"/>
        <v>428314.81964390003</v>
      </c>
      <c r="AA121" s="1061">
        <f t="shared" si="29"/>
        <v>177773.16808684281</v>
      </c>
      <c r="AB121" s="1061">
        <f t="shared" si="30"/>
        <v>250541.65155705716</v>
      </c>
      <c r="AC121" s="1061">
        <f t="shared" si="46"/>
        <v>428314.81964389997</v>
      </c>
      <c r="AD121" s="1061">
        <f t="shared" si="31"/>
        <v>0</v>
      </c>
      <c r="AE121" s="1061">
        <f t="shared" si="32"/>
        <v>0</v>
      </c>
      <c r="AF121" s="1061">
        <f t="shared" si="47"/>
        <v>0</v>
      </c>
      <c r="AG121" s="1061">
        <f t="shared" si="48"/>
        <v>428314.81964389997</v>
      </c>
      <c r="AH121" s="134"/>
      <c r="AI121" s="726">
        <f t="shared" si="49"/>
        <v>1934148.1529772335</v>
      </c>
      <c r="AJ121" s="926" t="s">
        <v>556</v>
      </c>
      <c r="AK121" s="626"/>
      <c r="AL121" s="80">
        <f t="shared" si="50"/>
        <v>24431.012226106413</v>
      </c>
      <c r="AM121" s="414">
        <f>SUM('1920 Band Calculations'!R15,'1920 Band Calculations'!R37,'1920 Band Calculations'!R59,'1920 Band Calculations'!R81)</f>
        <v>22603.948241494982</v>
      </c>
      <c r="AN121" s="414">
        <f t="shared" si="51"/>
        <v>1827.0639846114318</v>
      </c>
      <c r="AO121" s="1520"/>
      <c r="AP121" s="1523">
        <f>'2021 Funding Detail'!M10-'1920 Funding Detail'!M10</f>
        <v>3.3333333333333428</v>
      </c>
      <c r="AQ121" s="1523">
        <f>'2021 Band Moderations'!R60</f>
        <v>1</v>
      </c>
      <c r="AR121" s="1523">
        <f t="shared" si="33"/>
        <v>2.3333333333333428</v>
      </c>
      <c r="AV121" s="34"/>
      <c r="AW121" s="34"/>
      <c r="AZ121" s="34"/>
      <c r="BA121" s="34"/>
      <c r="BB121" s="34"/>
    </row>
    <row r="122" spans="1:54" ht="13" x14ac:dyDescent="0.3">
      <c r="A122" s="185">
        <v>9257009</v>
      </c>
      <c r="B122" s="38" t="s">
        <v>76</v>
      </c>
      <c r="C122" s="39">
        <v>4</v>
      </c>
      <c r="D122" s="1061">
        <f t="shared" si="20"/>
        <v>475688.38170002209</v>
      </c>
      <c r="E122" s="1061">
        <f t="shared" si="21"/>
        <v>665963.73438003089</v>
      </c>
      <c r="F122" s="156">
        <f t="shared" si="34"/>
        <v>1141652.1160800529</v>
      </c>
      <c r="G122" s="1061">
        <f t="shared" si="22"/>
        <v>0</v>
      </c>
      <c r="H122" s="1061">
        <f t="shared" si="23"/>
        <v>0</v>
      </c>
      <c r="I122" s="156">
        <f t="shared" si="35"/>
        <v>0</v>
      </c>
      <c r="J122" s="156">
        <f t="shared" si="36"/>
        <v>1141652.1160800529</v>
      </c>
      <c r="K122" s="1061">
        <f t="shared" si="24"/>
        <v>10750.8</v>
      </c>
      <c r="L122" s="1061">
        <f t="shared" si="25"/>
        <v>15051.12</v>
      </c>
      <c r="M122" s="156">
        <f t="shared" si="37"/>
        <v>25801.919999999998</v>
      </c>
      <c r="N122" s="1061">
        <f t="shared" si="26"/>
        <v>0</v>
      </c>
      <c r="O122" s="1061">
        <f t="shared" si="27"/>
        <v>0</v>
      </c>
      <c r="P122" s="156">
        <f t="shared" si="38"/>
        <v>0</v>
      </c>
      <c r="Q122" s="156">
        <f t="shared" si="39"/>
        <v>25801.919999999998</v>
      </c>
      <c r="R122" s="156">
        <f t="shared" si="28"/>
        <v>1167454.0360800528</v>
      </c>
      <c r="S122" s="334">
        <f t="shared" si="40"/>
        <v>136</v>
      </c>
      <c r="T122" s="1061">
        <f t="shared" si="41"/>
        <v>8584.2208535297996</v>
      </c>
      <c r="U122" s="36"/>
      <c r="V122" s="94">
        <f t="shared" si="42"/>
        <v>1360000</v>
      </c>
      <c r="W122" s="1061">
        <f t="shared" si="43"/>
        <v>0</v>
      </c>
      <c r="X122" s="1061">
        <f t="shared" si="44"/>
        <v>1360000</v>
      </c>
      <c r="Y122" s="1513">
        <f>VLOOKUP(A122,'2122 Funding Detail'!$A$4:$Y$21,18,FALSE)</f>
        <v>1754604.2727705778</v>
      </c>
      <c r="Z122" s="1061">
        <f t="shared" si="45"/>
        <v>394604.27277057781</v>
      </c>
      <c r="AA122" s="1061">
        <f t="shared" si="29"/>
        <v>164418.44698774078</v>
      </c>
      <c r="AB122" s="1061">
        <f t="shared" si="30"/>
        <v>230185.82578283714</v>
      </c>
      <c r="AC122" s="1061">
        <f t="shared" si="46"/>
        <v>394604.27277057793</v>
      </c>
      <c r="AD122" s="1061">
        <f t="shared" si="31"/>
        <v>0</v>
      </c>
      <c r="AE122" s="1061">
        <f t="shared" si="32"/>
        <v>0</v>
      </c>
      <c r="AF122" s="1061">
        <f t="shared" si="47"/>
        <v>0</v>
      </c>
      <c r="AG122" s="1061">
        <f t="shared" si="48"/>
        <v>394604.27277057793</v>
      </c>
      <c r="AH122" s="134"/>
      <c r="AI122" s="726">
        <f t="shared" si="49"/>
        <v>1754604.272770578</v>
      </c>
      <c r="AJ122" s="926" t="s">
        <v>556</v>
      </c>
      <c r="AK122" s="626"/>
      <c r="AL122" s="80">
        <f t="shared" si="50"/>
        <v>0</v>
      </c>
      <c r="AM122" s="414">
        <f>SUM('1920 Band Calculations'!R16,'1920 Band Calculations'!R38,'1920 Band Calculations'!R60,'1920 Band Calculations'!R82)</f>
        <v>0</v>
      </c>
      <c r="AN122" s="414">
        <f t="shared" si="51"/>
        <v>0</v>
      </c>
      <c r="AO122" s="1520"/>
      <c r="AP122" s="1523">
        <f>'2021 Funding Detail'!M11-'1920 Funding Detail'!M11</f>
        <v>1.4166666666666572</v>
      </c>
      <c r="AQ122" s="1523">
        <f>'2021 Band Moderations'!R61</f>
        <v>0</v>
      </c>
      <c r="AR122" s="1523">
        <f t="shared" si="33"/>
        <v>1.4166666666666572</v>
      </c>
      <c r="AV122" s="34"/>
      <c r="AW122" s="34"/>
      <c r="AZ122" s="34"/>
      <c r="BA122" s="34"/>
      <c r="BB122" s="34"/>
    </row>
    <row r="123" spans="1:54" ht="13" x14ac:dyDescent="0.3">
      <c r="A123" s="185">
        <v>9257029</v>
      </c>
      <c r="B123" s="915" t="s">
        <v>848</v>
      </c>
      <c r="C123" s="39">
        <v>3</v>
      </c>
      <c r="D123" s="1061">
        <f t="shared" si="20"/>
        <v>351725.54521810939</v>
      </c>
      <c r="E123" s="1061">
        <f t="shared" si="21"/>
        <v>548691.85054025066</v>
      </c>
      <c r="F123" s="156">
        <f t="shared" si="34"/>
        <v>900417.39575836004</v>
      </c>
      <c r="G123" s="1061">
        <f t="shared" si="22"/>
        <v>0</v>
      </c>
      <c r="H123" s="1061">
        <f t="shared" si="23"/>
        <v>0</v>
      </c>
      <c r="I123" s="156">
        <f t="shared" si="35"/>
        <v>0</v>
      </c>
      <c r="J123" s="156">
        <f t="shared" si="36"/>
        <v>900417.39575836004</v>
      </c>
      <c r="K123" s="1061">
        <f t="shared" si="24"/>
        <v>76854.166666666672</v>
      </c>
      <c r="L123" s="1061">
        <f t="shared" si="25"/>
        <v>119892.50000000001</v>
      </c>
      <c r="M123" s="156">
        <f t="shared" si="37"/>
        <v>196746.66666666669</v>
      </c>
      <c r="N123" s="1061">
        <f t="shared" si="26"/>
        <v>0</v>
      </c>
      <c r="O123" s="1061">
        <f t="shared" si="27"/>
        <v>0</v>
      </c>
      <c r="P123" s="156">
        <f t="shared" si="38"/>
        <v>0</v>
      </c>
      <c r="Q123" s="156">
        <f t="shared" si="39"/>
        <v>196746.66666666669</v>
      </c>
      <c r="R123" s="156">
        <f t="shared" si="28"/>
        <v>1097164.0624250267</v>
      </c>
      <c r="S123" s="334">
        <f t="shared" si="40"/>
        <v>74.666666666666671</v>
      </c>
      <c r="T123" s="1061">
        <f t="shared" si="41"/>
        <v>14694.161550335177</v>
      </c>
      <c r="U123" s="36"/>
      <c r="V123" s="94">
        <f t="shared" si="42"/>
        <v>746666.66666666674</v>
      </c>
      <c r="W123" s="1061">
        <f t="shared" si="43"/>
        <v>0</v>
      </c>
      <c r="X123" s="1061">
        <f t="shared" si="44"/>
        <v>746666.66666666674</v>
      </c>
      <c r="Y123" s="1513">
        <f>VLOOKUP(A123,'2122 Funding Detail'!$A$4:$Y$21,18,FALSE)</f>
        <v>1547456.3787706883</v>
      </c>
      <c r="Z123" s="1061">
        <f t="shared" si="45"/>
        <v>800789.71210402157</v>
      </c>
      <c r="AA123" s="1061">
        <f t="shared" si="29"/>
        <v>312808.48129063338</v>
      </c>
      <c r="AB123" s="1061">
        <f t="shared" si="30"/>
        <v>487981.23081338807</v>
      </c>
      <c r="AC123" s="1061">
        <f t="shared" si="46"/>
        <v>800789.71210402146</v>
      </c>
      <c r="AD123" s="1061">
        <f t="shared" si="31"/>
        <v>0</v>
      </c>
      <c r="AE123" s="1061">
        <f t="shared" si="32"/>
        <v>0</v>
      </c>
      <c r="AF123" s="1061">
        <f t="shared" si="47"/>
        <v>0</v>
      </c>
      <c r="AG123" s="1061">
        <f t="shared" si="48"/>
        <v>800789.71210402146</v>
      </c>
      <c r="AH123" s="134"/>
      <c r="AI123" s="726">
        <f t="shared" si="49"/>
        <v>1547456.3787706881</v>
      </c>
      <c r="AJ123" s="926" t="s">
        <v>556</v>
      </c>
      <c r="AK123" s="626"/>
      <c r="AL123" s="80">
        <f t="shared" si="50"/>
        <v>0</v>
      </c>
      <c r="AM123" s="414">
        <f>SUM('1920 Band Calculations'!R17,'1920 Band Calculations'!R39,'1920 Band Calculations'!R61,'1920 Band Calculations'!R83)</f>
        <v>0</v>
      </c>
      <c r="AN123" s="414">
        <f t="shared" si="51"/>
        <v>0</v>
      </c>
      <c r="AO123" s="1520"/>
      <c r="AP123" s="1523">
        <f>'2021 Funding Detail'!M18-'1920 Funding Detail'!M18</f>
        <v>12.416666666666664</v>
      </c>
      <c r="AQ123" s="1523">
        <f>'2021 Band Moderations'!R62</f>
        <v>0</v>
      </c>
      <c r="AR123" s="1523">
        <f t="shared" si="33"/>
        <v>12.416666666666664</v>
      </c>
      <c r="AV123" s="34"/>
      <c r="AW123" s="34"/>
      <c r="AZ123" s="34"/>
      <c r="BA123" s="34"/>
      <c r="BB123" s="34"/>
    </row>
    <row r="124" spans="1:54" ht="13" x14ac:dyDescent="0.3">
      <c r="A124" s="185">
        <v>9257032</v>
      </c>
      <c r="B124" s="915" t="s">
        <v>934</v>
      </c>
      <c r="C124" s="39">
        <v>4</v>
      </c>
      <c r="D124" s="1061">
        <f t="shared" si="20"/>
        <v>412021.35296978528</v>
      </c>
      <c r="E124" s="1061">
        <f t="shared" si="21"/>
        <v>731589.13405366754</v>
      </c>
      <c r="F124" s="156">
        <f t="shared" si="34"/>
        <v>1143610.4870234528</v>
      </c>
      <c r="G124" s="1061">
        <f t="shared" si="22"/>
        <v>0</v>
      </c>
      <c r="H124" s="1061">
        <f t="shared" si="23"/>
        <v>0</v>
      </c>
      <c r="I124" s="156">
        <f t="shared" si="35"/>
        <v>0</v>
      </c>
      <c r="J124" s="156">
        <f t="shared" si="36"/>
        <v>1143610.4870234528</v>
      </c>
      <c r="K124" s="1061">
        <f t="shared" si="24"/>
        <v>90029.166666666672</v>
      </c>
      <c r="L124" s="1061">
        <f t="shared" si="25"/>
        <v>159856.66666666669</v>
      </c>
      <c r="M124" s="156">
        <f t="shared" si="37"/>
        <v>249885.83333333337</v>
      </c>
      <c r="N124" s="1061">
        <f t="shared" si="26"/>
        <v>0</v>
      </c>
      <c r="O124" s="1061">
        <f t="shared" si="27"/>
        <v>0</v>
      </c>
      <c r="P124" s="156">
        <f t="shared" si="38"/>
        <v>0</v>
      </c>
      <c r="Q124" s="156">
        <f t="shared" si="39"/>
        <v>249885.83333333337</v>
      </c>
      <c r="R124" s="156">
        <f t="shared" si="28"/>
        <v>1393496.3203567863</v>
      </c>
      <c r="S124" s="334">
        <f t="shared" si="40"/>
        <v>94.833333333333343</v>
      </c>
      <c r="T124" s="1061">
        <f t="shared" si="41"/>
        <v>14694.161550335179</v>
      </c>
      <c r="U124" s="36"/>
      <c r="V124" s="94">
        <f t="shared" si="42"/>
        <v>948333.33333333349</v>
      </c>
      <c r="W124" s="1061">
        <f t="shared" si="43"/>
        <v>0</v>
      </c>
      <c r="X124" s="1061">
        <f t="shared" si="44"/>
        <v>948333.33333333349</v>
      </c>
      <c r="Y124" s="1513">
        <f>VLOOKUP(A124,'2122 Funding Detail'!$A$4:$Y$21,18,FALSE)</f>
        <v>1874658.5788347009</v>
      </c>
      <c r="Z124" s="1061">
        <f t="shared" si="45"/>
        <v>926325.24550136738</v>
      </c>
      <c r="AA124" s="1061">
        <f t="shared" si="29"/>
        <v>333737.56648116041</v>
      </c>
      <c r="AB124" s="1061">
        <f t="shared" si="30"/>
        <v>592587.67902020668</v>
      </c>
      <c r="AC124" s="1061">
        <f t="shared" si="46"/>
        <v>926325.24550136714</v>
      </c>
      <c r="AD124" s="1061">
        <f t="shared" si="31"/>
        <v>0</v>
      </c>
      <c r="AE124" s="1061">
        <f t="shared" si="32"/>
        <v>0</v>
      </c>
      <c r="AF124" s="1061">
        <f t="shared" si="47"/>
        <v>0</v>
      </c>
      <c r="AG124" s="1061">
        <f t="shared" si="48"/>
        <v>926325.24550136714</v>
      </c>
      <c r="AH124" s="134"/>
      <c r="AI124" s="726">
        <f t="shared" si="49"/>
        <v>1874658.5788347006</v>
      </c>
      <c r="AJ124" s="926" t="s">
        <v>556</v>
      </c>
      <c r="AK124" s="626"/>
      <c r="AL124" s="80">
        <f t="shared" si="50"/>
        <v>0</v>
      </c>
      <c r="AM124" s="414">
        <f>SUM('1920 Band Calculations'!R18,'1920 Band Calculations'!R40,'1920 Band Calculations'!R62,'1920 Band Calculations'!R84)</f>
        <v>0</v>
      </c>
      <c r="AN124" s="414">
        <f t="shared" si="51"/>
        <v>0</v>
      </c>
      <c r="AO124" s="1520"/>
      <c r="AP124" s="1523">
        <f>'2021 Funding Detail'!M19-'1920 Funding Detail'!M19</f>
        <v>6</v>
      </c>
      <c r="AQ124" s="1523">
        <f>'2021 Band Moderations'!R63</f>
        <v>0</v>
      </c>
      <c r="AR124" s="1523">
        <f t="shared" si="33"/>
        <v>6</v>
      </c>
      <c r="AV124" s="34"/>
      <c r="AW124" s="34"/>
      <c r="AZ124" s="34"/>
      <c r="BA124" s="34"/>
      <c r="BB124" s="34"/>
    </row>
    <row r="125" spans="1:54" ht="13" x14ac:dyDescent="0.3">
      <c r="A125" s="185">
        <v>9257030</v>
      </c>
      <c r="B125" s="915" t="s">
        <v>933</v>
      </c>
      <c r="C125" s="39">
        <v>4</v>
      </c>
      <c r="D125" s="1061">
        <f t="shared" si="20"/>
        <v>376848.79844797438</v>
      </c>
      <c r="E125" s="1061">
        <f t="shared" si="21"/>
        <v>506484.78511407756</v>
      </c>
      <c r="F125" s="156">
        <f t="shared" si="34"/>
        <v>883333.58356205188</v>
      </c>
      <c r="G125" s="1061">
        <f t="shared" si="22"/>
        <v>0</v>
      </c>
      <c r="H125" s="1061">
        <f t="shared" si="23"/>
        <v>0</v>
      </c>
      <c r="I125" s="156">
        <f t="shared" si="35"/>
        <v>0</v>
      </c>
      <c r="J125" s="156">
        <f t="shared" si="36"/>
        <v>883333.58356205188</v>
      </c>
      <c r="K125" s="1061">
        <f t="shared" si="24"/>
        <v>82343.75</v>
      </c>
      <c r="L125" s="1061">
        <f t="shared" si="25"/>
        <v>110670</v>
      </c>
      <c r="M125" s="156">
        <f t="shared" si="37"/>
        <v>193013.75</v>
      </c>
      <c r="N125" s="1061">
        <f t="shared" si="26"/>
        <v>0</v>
      </c>
      <c r="O125" s="1061">
        <f t="shared" si="27"/>
        <v>0</v>
      </c>
      <c r="P125" s="156">
        <f t="shared" si="38"/>
        <v>0</v>
      </c>
      <c r="Q125" s="156">
        <f t="shared" si="39"/>
        <v>193013.75</v>
      </c>
      <c r="R125" s="156">
        <f t="shared" si="28"/>
        <v>1076347.3335620519</v>
      </c>
      <c r="S125" s="334">
        <f t="shared" si="40"/>
        <v>73.25</v>
      </c>
      <c r="T125" s="1061">
        <f t="shared" si="41"/>
        <v>14694.161550335179</v>
      </c>
      <c r="U125" s="36"/>
      <c r="V125" s="94">
        <f t="shared" si="42"/>
        <v>732500</v>
      </c>
      <c r="W125" s="1061">
        <f t="shared" si="43"/>
        <v>0</v>
      </c>
      <c r="X125" s="1061">
        <f t="shared" si="44"/>
        <v>732500</v>
      </c>
      <c r="Y125" s="1513">
        <f>VLOOKUP(A125,'2122 Funding Detail'!$A$4:$Y$21,18,FALSE)</f>
        <v>1553577.088864696</v>
      </c>
      <c r="Z125" s="1061">
        <f t="shared" si="45"/>
        <v>821077.08886469598</v>
      </c>
      <c r="AA125" s="1061">
        <f t="shared" si="29"/>
        <v>350288.86043715704</v>
      </c>
      <c r="AB125" s="1061">
        <f t="shared" si="30"/>
        <v>470788.22842753911</v>
      </c>
      <c r="AC125" s="1061">
        <f t="shared" si="46"/>
        <v>821077.08886469621</v>
      </c>
      <c r="AD125" s="1061">
        <f t="shared" si="31"/>
        <v>0</v>
      </c>
      <c r="AE125" s="1061">
        <f t="shared" si="32"/>
        <v>0</v>
      </c>
      <c r="AF125" s="1061">
        <f t="shared" si="47"/>
        <v>0</v>
      </c>
      <c r="AG125" s="1061">
        <f t="shared" si="48"/>
        <v>821077.08886469621</v>
      </c>
      <c r="AH125" s="134"/>
      <c r="AI125" s="726">
        <f t="shared" si="49"/>
        <v>1553577.0888646962</v>
      </c>
      <c r="AJ125" s="926" t="s">
        <v>556</v>
      </c>
      <c r="AK125" s="626"/>
      <c r="AL125" s="80">
        <f t="shared" si="50"/>
        <v>0</v>
      </c>
      <c r="AM125" s="414">
        <f>SUM('1920 Band Calculations'!R19,'1920 Band Calculations'!R41,'1920 Band Calculations'!R63,'1920 Band Calculations'!R85)</f>
        <v>0</v>
      </c>
      <c r="AN125" s="414">
        <f t="shared" si="51"/>
        <v>0</v>
      </c>
      <c r="AO125" s="1520"/>
      <c r="AP125" s="1523">
        <f>'2021 Funding Detail'!M20-'1920 Funding Detail'!M20</f>
        <v>2.25</v>
      </c>
      <c r="AQ125" s="1523">
        <f>'2021 Band Moderations'!R64</f>
        <v>0</v>
      </c>
      <c r="AR125" s="1523">
        <f t="shared" si="33"/>
        <v>2.25</v>
      </c>
      <c r="AV125" s="34"/>
      <c r="AW125" s="34"/>
      <c r="AZ125" s="34"/>
      <c r="BA125" s="34"/>
      <c r="BB125" s="34"/>
    </row>
    <row r="126" spans="1:54" ht="13" x14ac:dyDescent="0.3">
      <c r="A126" s="185">
        <v>9257028</v>
      </c>
      <c r="B126" s="38" t="s">
        <v>77</v>
      </c>
      <c r="C126" s="39">
        <v>5</v>
      </c>
      <c r="D126" s="1061">
        <f t="shared" si="20"/>
        <v>451383.42724272283</v>
      </c>
      <c r="E126" s="1061">
        <f t="shared" si="21"/>
        <v>812490.16903690109</v>
      </c>
      <c r="F126" s="156">
        <f t="shared" si="34"/>
        <v>1263873.5962796239</v>
      </c>
      <c r="G126" s="1061">
        <f t="shared" si="22"/>
        <v>31745.647630257423</v>
      </c>
      <c r="H126" s="1061">
        <f t="shared" si="23"/>
        <v>39682.059537821784</v>
      </c>
      <c r="I126" s="156">
        <f t="shared" si="35"/>
        <v>71427.707168079214</v>
      </c>
      <c r="J126" s="156">
        <f t="shared" si="36"/>
        <v>1335301.3034477031</v>
      </c>
      <c r="K126" s="1061">
        <f t="shared" si="24"/>
        <v>7913.6963696369639</v>
      </c>
      <c r="L126" s="1061">
        <f t="shared" si="25"/>
        <v>14244.653465346533</v>
      </c>
      <c r="M126" s="156">
        <f t="shared" si="37"/>
        <v>22158.349834983499</v>
      </c>
      <c r="N126" s="1061">
        <f t="shared" si="26"/>
        <v>556.56765676567647</v>
      </c>
      <c r="O126" s="1061">
        <f t="shared" si="27"/>
        <v>695.70957095709559</v>
      </c>
      <c r="P126" s="156">
        <f t="shared" si="38"/>
        <v>1252.2772277227721</v>
      </c>
      <c r="Q126" s="156">
        <f t="shared" si="39"/>
        <v>23410.627062706269</v>
      </c>
      <c r="R126" s="156">
        <f t="shared" si="28"/>
        <v>1358711.9305104094</v>
      </c>
      <c r="S126" s="334">
        <f t="shared" si="40"/>
        <v>112.16666666666667</v>
      </c>
      <c r="T126" s="1061">
        <f t="shared" si="41"/>
        <v>12113.330732633664</v>
      </c>
      <c r="U126" s="36"/>
      <c r="V126" s="94">
        <f t="shared" si="42"/>
        <v>1061666.6666666667</v>
      </c>
      <c r="W126" s="1061">
        <f t="shared" si="43"/>
        <v>59999.999999999993</v>
      </c>
      <c r="X126" s="1061">
        <f t="shared" si="44"/>
        <v>1121666.6666666667</v>
      </c>
      <c r="Y126" s="1513">
        <f>VLOOKUP(A126,'2122 Funding Detail'!$A$4:$Y$21,18,FALSE)</f>
        <v>1913075.1305104094</v>
      </c>
      <c r="Z126" s="1061">
        <f t="shared" si="45"/>
        <v>791408.46384374262</v>
      </c>
      <c r="AA126" s="1061">
        <f t="shared" si="29"/>
        <v>267526.6352517851</v>
      </c>
      <c r="AB126" s="1061">
        <f t="shared" si="30"/>
        <v>481547.9434532132</v>
      </c>
      <c r="AC126" s="1061">
        <f t="shared" si="46"/>
        <v>749074.57870499836</v>
      </c>
      <c r="AD126" s="1061">
        <f t="shared" si="31"/>
        <v>18815.060061664011</v>
      </c>
      <c r="AE126" s="1061">
        <f t="shared" si="32"/>
        <v>23518.825077080015</v>
      </c>
      <c r="AF126" s="1061">
        <f t="shared" si="47"/>
        <v>42333.885138744023</v>
      </c>
      <c r="AG126" s="1061">
        <f t="shared" si="48"/>
        <v>791408.46384374239</v>
      </c>
      <c r="AH126" s="134"/>
      <c r="AI126" s="726">
        <f t="shared" si="49"/>
        <v>1913075.1305104091</v>
      </c>
      <c r="AJ126" s="926" t="s">
        <v>556</v>
      </c>
      <c r="AK126" s="626"/>
      <c r="AL126" s="80">
        <f t="shared" si="50"/>
        <v>279459.44511597994</v>
      </c>
      <c r="AM126" s="414">
        <f>SUM('1920 Band Calculations'!R20,'1920 Band Calculations'!R42,'1920 Band Calculations'!R64,'1920 Band Calculations'!R86)</f>
        <v>261776.17157900496</v>
      </c>
      <c r="AN126" s="414">
        <f t="shared" si="51"/>
        <v>17683.273536974972</v>
      </c>
      <c r="AO126" s="1520"/>
      <c r="AP126" s="1523">
        <f>'2021 Funding Detail'!M12-'1920 Funding Detail'!M12</f>
        <v>9.9166666666666572</v>
      </c>
      <c r="AQ126" s="1523">
        <f>'2021 Band Moderations'!R65</f>
        <v>0</v>
      </c>
      <c r="AR126" s="1523">
        <f t="shared" si="33"/>
        <v>9.9166666666666572</v>
      </c>
      <c r="AV126" s="34"/>
      <c r="AW126" s="34"/>
      <c r="AZ126" s="34"/>
      <c r="BA126" s="34"/>
      <c r="BB126" s="34"/>
    </row>
    <row r="127" spans="1:54" ht="13" x14ac:dyDescent="0.3">
      <c r="A127" s="185">
        <v>9257021</v>
      </c>
      <c r="B127" s="38" t="s">
        <v>78</v>
      </c>
      <c r="C127" s="39">
        <v>5</v>
      </c>
      <c r="D127" s="1061">
        <f t="shared" si="20"/>
        <v>651294.16361984739</v>
      </c>
      <c r="E127" s="1061">
        <f t="shared" si="21"/>
        <v>928290.35609913187</v>
      </c>
      <c r="F127" s="156">
        <f t="shared" si="34"/>
        <v>1579584.5197189793</v>
      </c>
      <c r="G127" s="1061">
        <f t="shared" si="22"/>
        <v>0</v>
      </c>
      <c r="H127" s="1061">
        <f t="shared" si="23"/>
        <v>0</v>
      </c>
      <c r="I127" s="156">
        <f t="shared" si="35"/>
        <v>0</v>
      </c>
      <c r="J127" s="156">
        <f t="shared" si="36"/>
        <v>1579584.5197189793</v>
      </c>
      <c r="K127" s="1061">
        <f t="shared" si="24"/>
        <v>14446.976626016261</v>
      </c>
      <c r="L127" s="1061">
        <f t="shared" si="25"/>
        <v>20591.293191056913</v>
      </c>
      <c r="M127" s="156">
        <f t="shared" si="37"/>
        <v>35038.269817073175</v>
      </c>
      <c r="N127" s="1061">
        <f t="shared" si="26"/>
        <v>0</v>
      </c>
      <c r="O127" s="1061">
        <f t="shared" si="27"/>
        <v>0</v>
      </c>
      <c r="P127" s="156">
        <f t="shared" si="38"/>
        <v>0</v>
      </c>
      <c r="Q127" s="156">
        <f t="shared" si="39"/>
        <v>35038.269817073175</v>
      </c>
      <c r="R127" s="156">
        <f t="shared" si="28"/>
        <v>1614622.7895360524</v>
      </c>
      <c r="S127" s="334">
        <f t="shared" si="40"/>
        <v>167.75</v>
      </c>
      <c r="T127" s="1061">
        <f t="shared" si="41"/>
        <v>9625.1731119883898</v>
      </c>
      <c r="U127" s="36"/>
      <c r="V127" s="94">
        <f t="shared" si="42"/>
        <v>1677500</v>
      </c>
      <c r="W127" s="1061">
        <f t="shared" si="43"/>
        <v>0</v>
      </c>
      <c r="X127" s="1061">
        <f t="shared" si="44"/>
        <v>1677500</v>
      </c>
      <c r="Y127" s="1513">
        <f>VLOOKUP(A127,'2122 Funding Detail'!$A$4:$Y$21,18,FALSE)</f>
        <v>2238144.7625439442</v>
      </c>
      <c r="Z127" s="1061">
        <f t="shared" si="45"/>
        <v>560644.76254394418</v>
      </c>
      <c r="AA127" s="1061">
        <f t="shared" si="29"/>
        <v>231165.00393019064</v>
      </c>
      <c r="AB127" s="1061">
        <f t="shared" si="30"/>
        <v>329479.7586137536</v>
      </c>
      <c r="AC127" s="1061">
        <f t="shared" si="46"/>
        <v>560644.76254394418</v>
      </c>
      <c r="AD127" s="1061">
        <f t="shared" si="31"/>
        <v>0</v>
      </c>
      <c r="AE127" s="1061">
        <f t="shared" si="32"/>
        <v>0</v>
      </c>
      <c r="AF127" s="1061">
        <f t="shared" si="47"/>
        <v>0</v>
      </c>
      <c r="AG127" s="1061">
        <f t="shared" si="48"/>
        <v>560644.76254394418</v>
      </c>
      <c r="AH127" s="134"/>
      <c r="AI127" s="726">
        <f t="shared" si="49"/>
        <v>2238144.7625439442</v>
      </c>
      <c r="AJ127" s="926" t="s">
        <v>556</v>
      </c>
      <c r="AK127" s="626"/>
      <c r="AL127" s="80">
        <f t="shared" si="50"/>
        <v>46798.544232945467</v>
      </c>
      <c r="AM127" s="414">
        <f>SUM('1920 Band Calculations'!R21,'1920 Band Calculations'!R43,'1920 Band Calculations'!R65,'1920 Band Calculations'!R87)</f>
        <v>22107.42859712529</v>
      </c>
      <c r="AN127" s="414">
        <f t="shared" si="51"/>
        <v>24691.115635820177</v>
      </c>
      <c r="AO127" s="1520"/>
      <c r="AP127" s="1523">
        <f>'2021 Funding Detail'!M13-'1920 Funding Detail'!M13</f>
        <v>5.25</v>
      </c>
      <c r="AQ127" s="1523">
        <f>'2021 Band Moderations'!R66</f>
        <v>1</v>
      </c>
      <c r="AR127" s="1523">
        <f t="shared" si="33"/>
        <v>4.25</v>
      </c>
      <c r="AV127" s="34"/>
      <c r="AW127" s="34"/>
      <c r="AZ127" s="34"/>
      <c r="BA127" s="34"/>
      <c r="BB127" s="34"/>
    </row>
    <row r="128" spans="1:54" ht="13" x14ac:dyDescent="0.3">
      <c r="A128" s="131">
        <v>9257015</v>
      </c>
      <c r="B128" s="38" t="s">
        <v>55</v>
      </c>
      <c r="C128" s="39">
        <v>6</v>
      </c>
      <c r="D128" s="1061">
        <f t="shared" si="20"/>
        <v>879308.52772979927</v>
      </c>
      <c r="E128" s="1061">
        <f t="shared" si="21"/>
        <v>1225536.2605234075</v>
      </c>
      <c r="F128" s="156">
        <f t="shared" si="34"/>
        <v>2104844.7882532068</v>
      </c>
      <c r="G128" s="1061">
        <f t="shared" si="22"/>
        <v>25123.100792279969</v>
      </c>
      <c r="H128" s="1061">
        <f t="shared" si="23"/>
        <v>18842.325594209979</v>
      </c>
      <c r="I128" s="156">
        <f t="shared" si="35"/>
        <v>43965.426386489948</v>
      </c>
      <c r="J128" s="156">
        <f t="shared" si="36"/>
        <v>2148810.2146396968</v>
      </c>
      <c r="K128" s="1061">
        <f t="shared" si="24"/>
        <v>4352.8023598820064</v>
      </c>
      <c r="L128" s="1061">
        <f t="shared" si="25"/>
        <v>6066.7182890855456</v>
      </c>
      <c r="M128" s="156">
        <f t="shared" si="37"/>
        <v>10419.520648967551</v>
      </c>
      <c r="N128" s="1061">
        <f t="shared" si="26"/>
        <v>124.36578171091446</v>
      </c>
      <c r="O128" s="1061">
        <f t="shared" si="27"/>
        <v>93.274336283185846</v>
      </c>
      <c r="P128" s="156">
        <f t="shared" si="38"/>
        <v>217.64011799410031</v>
      </c>
      <c r="Q128" s="156">
        <f t="shared" si="39"/>
        <v>10637.160766961651</v>
      </c>
      <c r="R128" s="156">
        <f t="shared" si="28"/>
        <v>2159447.3754066583</v>
      </c>
      <c r="S128" s="334">
        <f t="shared" si="40"/>
        <v>228.08333333333334</v>
      </c>
      <c r="T128" s="1061">
        <f t="shared" si="41"/>
        <v>9467.7999652465824</v>
      </c>
      <c r="U128" s="36"/>
      <c r="V128" s="94">
        <f t="shared" si="42"/>
        <v>2234166.666666667</v>
      </c>
      <c r="W128" s="1061">
        <f t="shared" si="43"/>
        <v>46666.666666666664</v>
      </c>
      <c r="X128" s="1061">
        <f t="shared" si="44"/>
        <v>2280833.3333333335</v>
      </c>
      <c r="Y128" s="1513">
        <f>VLOOKUP(A128,'2122 Funding Detail'!$A$4:$Y$21,18,FALSE)</f>
        <v>2850992.1754066581</v>
      </c>
      <c r="Z128" s="1061">
        <f t="shared" si="45"/>
        <v>570158.8420733246</v>
      </c>
      <c r="AA128" s="1061">
        <f t="shared" si="29"/>
        <v>233313.0811553247</v>
      </c>
      <c r="AB128" s="1061">
        <f t="shared" si="30"/>
        <v>325180.10686023376</v>
      </c>
      <c r="AC128" s="1061">
        <f t="shared" si="46"/>
        <v>558493.18801555852</v>
      </c>
      <c r="AD128" s="1061">
        <f t="shared" si="31"/>
        <v>6666.0880330092768</v>
      </c>
      <c r="AE128" s="1061">
        <f t="shared" si="32"/>
        <v>4999.5660247569576</v>
      </c>
      <c r="AF128" s="1061">
        <f t="shared" si="47"/>
        <v>11665.654057766234</v>
      </c>
      <c r="AG128" s="1061">
        <f t="shared" si="48"/>
        <v>570158.84207332472</v>
      </c>
      <c r="AH128" s="134"/>
      <c r="AI128" s="726">
        <f t="shared" si="49"/>
        <v>2850992.1754066581</v>
      </c>
      <c r="AJ128" s="926" t="s">
        <v>556</v>
      </c>
      <c r="AK128" s="626"/>
      <c r="AL128" s="80">
        <f t="shared" si="50"/>
        <v>69261.203568685509</v>
      </c>
      <c r="AM128" s="414">
        <f>SUM('1920 Band Calculations'!R22,'1920 Band Calculations'!R44,'1920 Band Calculations'!R66,'1920 Band Calculations'!R88)</f>
        <v>45215.482530625093</v>
      </c>
      <c r="AN128" s="414">
        <f t="shared" si="51"/>
        <v>24045.721038060416</v>
      </c>
      <c r="AO128" s="1520"/>
      <c r="AP128" s="1523">
        <f>'2021 Funding Detail'!M14-'1920 Funding Detail'!M14</f>
        <v>-4.5833333333333144</v>
      </c>
      <c r="AQ128" s="1523">
        <f>'2021 Band Moderations'!R67</f>
        <v>1</v>
      </c>
      <c r="AR128" s="1523">
        <f t="shared" si="33"/>
        <v>-5.5833333333333144</v>
      </c>
      <c r="AV128" s="34"/>
      <c r="AW128" s="34"/>
      <c r="AZ128" s="34"/>
      <c r="BA128" s="34"/>
      <c r="BB128" s="34"/>
    </row>
    <row r="129" spans="1:54" ht="13" x14ac:dyDescent="0.3">
      <c r="A129" s="185">
        <v>9257016</v>
      </c>
      <c r="B129" s="38" t="s">
        <v>80</v>
      </c>
      <c r="C129" s="39">
        <v>6</v>
      </c>
      <c r="D129" s="1061">
        <f t="shared" si="20"/>
        <v>638067.17189250793</v>
      </c>
      <c r="E129" s="1061">
        <f t="shared" si="21"/>
        <v>852689.76607453323</v>
      </c>
      <c r="F129" s="156">
        <f t="shared" si="34"/>
        <v>1490756.937967041</v>
      </c>
      <c r="G129" s="1061">
        <f t="shared" si="22"/>
        <v>218102.9605741663</v>
      </c>
      <c r="H129" s="1061">
        <f t="shared" si="23"/>
        <v>547577.64569684304</v>
      </c>
      <c r="I129" s="156">
        <f t="shared" si="35"/>
        <v>765680.60627100931</v>
      </c>
      <c r="J129" s="156">
        <f>F129+I129</f>
        <v>2256437.5442380505</v>
      </c>
      <c r="K129" s="1061">
        <f t="shared" si="24"/>
        <v>750.12939958592131</v>
      </c>
      <c r="L129" s="1061">
        <f t="shared" si="25"/>
        <v>1002.4456521739131</v>
      </c>
      <c r="M129" s="156">
        <f t="shared" si="37"/>
        <v>1752.5750517598344</v>
      </c>
      <c r="N129" s="1061">
        <f t="shared" si="26"/>
        <v>256.40786749482402</v>
      </c>
      <c r="O129" s="1061">
        <f t="shared" si="27"/>
        <v>643.74741200828146</v>
      </c>
      <c r="P129" s="156">
        <f t="shared" si="38"/>
        <v>900.15527950310548</v>
      </c>
      <c r="Q129" s="156">
        <f t="shared" si="39"/>
        <v>2652.7303312629401</v>
      </c>
      <c r="R129" s="156">
        <f t="shared" si="28"/>
        <v>2259090.2745693135</v>
      </c>
      <c r="S129" s="334">
        <f t="shared" si="40"/>
        <v>162.08333333333334</v>
      </c>
      <c r="T129" s="1061">
        <f t="shared" si="41"/>
        <v>13937.832028191136</v>
      </c>
      <c r="U129" s="36"/>
      <c r="V129" s="94">
        <f t="shared" si="42"/>
        <v>1070833.3333333335</v>
      </c>
      <c r="W129" s="1061">
        <f t="shared" si="43"/>
        <v>550000</v>
      </c>
      <c r="X129" s="1061">
        <f t="shared" si="44"/>
        <v>1620833.3333333335</v>
      </c>
      <c r="Y129" s="1513">
        <f>VLOOKUP(A129,'2122 Funding Detail'!$A$4:$Y$21,18,FALSE)</f>
        <v>2950635.0745693133</v>
      </c>
      <c r="Z129" s="1061">
        <f t="shared" si="45"/>
        <v>1329801.7412359798</v>
      </c>
      <c r="AA129" s="1061">
        <f t="shared" si="29"/>
        <v>376036.48209757777</v>
      </c>
      <c r="AB129" s="1061">
        <f t="shared" si="30"/>
        <v>502521.4806213085</v>
      </c>
      <c r="AC129" s="1061">
        <f t="shared" si="46"/>
        <v>878557.96271888632</v>
      </c>
      <c r="AD129" s="1061">
        <f t="shared" si="31"/>
        <v>128536.10660789932</v>
      </c>
      <c r="AE129" s="1061">
        <f t="shared" si="32"/>
        <v>322707.67190919403</v>
      </c>
      <c r="AF129" s="1061">
        <f t="shared" si="47"/>
        <v>451243.77851709333</v>
      </c>
      <c r="AG129" s="1061">
        <f t="shared" si="48"/>
        <v>1329801.7412359796</v>
      </c>
      <c r="AH129" s="134"/>
      <c r="AI129" s="726">
        <f t="shared" si="49"/>
        <v>2950635.0745693133</v>
      </c>
      <c r="AJ129" s="926" t="s">
        <v>556</v>
      </c>
      <c r="AK129" s="626"/>
      <c r="AL129" s="80">
        <f t="shared" si="50"/>
        <v>783023.98962712591</v>
      </c>
      <c r="AM129" s="414">
        <f>SUM('1920 Band Calculations'!R23,'1920 Band Calculations'!R45,'1920 Band Calculations'!R67,'1920 Band Calculations'!R89)</f>
        <v>794222.80929219606</v>
      </c>
      <c r="AN129" s="414">
        <f t="shared" si="51"/>
        <v>-11198.819665070157</v>
      </c>
      <c r="AO129" s="1520"/>
      <c r="AP129" s="1523">
        <f>'2021 Funding Detail'!M15-'1920 Funding Detail'!M15</f>
        <v>11.916666666666657</v>
      </c>
      <c r="AQ129" s="1523">
        <f>'2021 Band Moderations'!R68</f>
        <v>-1</v>
      </c>
      <c r="AR129" s="1523">
        <f>AP129-AQ129</f>
        <v>12.916666666666657</v>
      </c>
      <c r="AV129" s="34"/>
      <c r="AW129" s="34"/>
      <c r="AZ129" s="34"/>
      <c r="BA129" s="34"/>
      <c r="BB129" s="34"/>
    </row>
    <row r="130" spans="1:54" x14ac:dyDescent="0.25">
      <c r="C130" s="40"/>
      <c r="F130" s="1052"/>
      <c r="G130" s="1052"/>
      <c r="I130" s="34"/>
      <c r="J130" s="34"/>
      <c r="AL130" s="79"/>
      <c r="AM130" s="414"/>
      <c r="AN130" s="1520"/>
      <c r="AO130" s="1520"/>
      <c r="AP130" s="1520"/>
      <c r="AQ130" s="1520"/>
      <c r="AR130" s="1520"/>
      <c r="AV130" s="34"/>
      <c r="AW130" s="34"/>
      <c r="AZ130" s="34"/>
      <c r="BA130" s="34"/>
      <c r="BB130" s="34"/>
    </row>
    <row r="131" spans="1:54" ht="13" thickBot="1" x14ac:dyDescent="0.3">
      <c r="C131" s="40"/>
      <c r="D131" s="70">
        <f t="shared" ref="D131:P131" si="52">SUM(D112:D129)</f>
        <v>7775176.0740396203</v>
      </c>
      <c r="E131" s="70">
        <f t="shared" si="52"/>
        <v>11489082.390356857</v>
      </c>
      <c r="F131" s="70">
        <f t="shared" si="52"/>
        <v>19264258.464396477</v>
      </c>
      <c r="G131" s="70">
        <f t="shared" si="52"/>
        <v>673506.02639053098</v>
      </c>
      <c r="H131" s="70">
        <f t="shared" si="52"/>
        <v>1456183.2944519073</v>
      </c>
      <c r="I131" s="70">
        <f t="shared" si="52"/>
        <v>2129689.3208424384</v>
      </c>
      <c r="J131" s="70">
        <f>SUM(J112:J129)</f>
        <v>21393947.785238918</v>
      </c>
      <c r="K131" s="70">
        <f t="shared" si="52"/>
        <v>440511.47772617772</v>
      </c>
      <c r="L131" s="70">
        <f t="shared" si="52"/>
        <v>667193.15671752288</v>
      </c>
      <c r="M131" s="70">
        <f t="shared" si="52"/>
        <v>1107704.6344437003</v>
      </c>
      <c r="N131" s="70">
        <f t="shared" si="52"/>
        <v>8138.4329825008317</v>
      </c>
      <c r="O131" s="70">
        <f t="shared" si="52"/>
        <v>16312.169325842169</v>
      </c>
      <c r="P131" s="70">
        <f t="shared" si="52"/>
        <v>24450.602308343001</v>
      </c>
      <c r="Q131" s="70">
        <f>SUM(Q112:Q129)</f>
        <v>1132155.2367520435</v>
      </c>
      <c r="R131" s="70">
        <f>SUM(R112:R129)</f>
        <v>22526103.021990959</v>
      </c>
      <c r="S131" s="981">
        <f>SUM(S112:S129)</f>
        <v>1988.5</v>
      </c>
      <c r="T131" s="70">
        <f>AVERAGE(T112:T129)</f>
        <v>11779.056522200404</v>
      </c>
      <c r="V131" s="730">
        <f>SUM(V112:V129)</f>
        <v>18098333.333333332</v>
      </c>
      <c r="W131" s="730">
        <f t="shared" ref="W131:AI131" si="53">SUM(W112:W129)</f>
        <v>1786666.6666666667</v>
      </c>
      <c r="X131" s="729">
        <f t="shared" si="53"/>
        <v>19885000</v>
      </c>
      <c r="Y131" s="729">
        <f t="shared" si="53"/>
        <v>32166020.508465875</v>
      </c>
      <c r="Z131" s="729">
        <f t="shared" si="53"/>
        <v>12281020.508465879</v>
      </c>
      <c r="AA131" s="729">
        <f t="shared" si="53"/>
        <v>4387300.3209525403</v>
      </c>
      <c r="AB131" s="729">
        <f t="shared" si="53"/>
        <v>6590687.7470451575</v>
      </c>
      <c r="AC131" s="729">
        <f t="shared" si="53"/>
        <v>10977988.067997698</v>
      </c>
      <c r="AD131" s="729">
        <f t="shared" si="53"/>
        <v>406226.11693942349</v>
      </c>
      <c r="AE131" s="729">
        <f t="shared" si="53"/>
        <v>896806.32352875452</v>
      </c>
      <c r="AF131" s="729">
        <f t="shared" si="53"/>
        <v>1303032.4404681779</v>
      </c>
      <c r="AG131" s="729">
        <f t="shared" si="53"/>
        <v>12281020.508465875</v>
      </c>
      <c r="AH131" s="642"/>
      <c r="AI131" s="729">
        <f t="shared" si="53"/>
        <v>32166020.508465875</v>
      </c>
      <c r="AJ131" s="625" t="s">
        <v>556</v>
      </c>
      <c r="AL131" s="80">
        <f>SUM(AL112:AL130)</f>
        <v>2103667.5817540754</v>
      </c>
      <c r="AM131" s="414">
        <f>SUM(AM112:AM130)</f>
        <v>1866352.7961942179</v>
      </c>
      <c r="AN131" s="414">
        <f>SUM(AN112:AN130)</f>
        <v>237314.78555985761</v>
      </c>
      <c r="AO131" s="1520"/>
      <c r="AP131" s="1520"/>
      <c r="AQ131" s="1520"/>
      <c r="AR131" s="1520"/>
      <c r="AV131" s="34"/>
      <c r="AW131" s="34"/>
      <c r="AZ131" s="34"/>
      <c r="BA131" s="34"/>
      <c r="BB131" s="34"/>
    </row>
    <row r="132" spans="1:54" x14ac:dyDescent="0.25">
      <c r="C132" s="40"/>
      <c r="F132" s="1052"/>
      <c r="G132" s="1052"/>
      <c r="I132" s="34"/>
      <c r="J132" s="34"/>
      <c r="AL132" s="40"/>
      <c r="AM132" s="1520"/>
      <c r="AN132" s="1520"/>
      <c r="AO132" s="1520"/>
      <c r="AP132" s="1520"/>
      <c r="AQ132" s="1520"/>
      <c r="AR132" s="1520"/>
    </row>
    <row r="133" spans="1:54" x14ac:dyDescent="0.25">
      <c r="D133" s="815" t="s">
        <v>556</v>
      </c>
      <c r="E133" s="815" t="s">
        <v>556</v>
      </c>
      <c r="F133" s="815" t="s">
        <v>556</v>
      </c>
      <c r="G133" s="815" t="s">
        <v>556</v>
      </c>
      <c r="H133" s="815" t="s">
        <v>556</v>
      </c>
      <c r="I133" s="815" t="s">
        <v>556</v>
      </c>
      <c r="J133" s="815" t="s">
        <v>556</v>
      </c>
      <c r="K133" s="815" t="s">
        <v>556</v>
      </c>
      <c r="L133" s="815" t="s">
        <v>556</v>
      </c>
      <c r="M133" s="815" t="s">
        <v>556</v>
      </c>
      <c r="N133" s="815" t="s">
        <v>556</v>
      </c>
      <c r="O133" s="815" t="s">
        <v>556</v>
      </c>
      <c r="P133" s="815" t="s">
        <v>556</v>
      </c>
      <c r="Q133" s="815" t="s">
        <v>556</v>
      </c>
      <c r="R133" s="815" t="s">
        <v>556</v>
      </c>
      <c r="S133" s="978"/>
      <c r="T133" s="627"/>
      <c r="V133" s="627"/>
      <c r="W133" s="627"/>
      <c r="X133" s="627"/>
      <c r="Y133" s="627"/>
      <c r="Z133" s="627"/>
      <c r="AA133" s="627"/>
      <c r="AB133" s="627"/>
      <c r="AC133" s="627"/>
      <c r="AD133" s="627"/>
      <c r="AE133" s="627"/>
      <c r="AF133" s="627"/>
      <c r="AG133" s="627"/>
      <c r="AH133" s="627"/>
      <c r="AI133" s="627"/>
      <c r="AL133" s="40"/>
      <c r="AN133" s="625"/>
    </row>
  </sheetData>
  <mergeCells count="9">
    <mergeCell ref="AI110:AI111"/>
    <mergeCell ref="O4:P4"/>
    <mergeCell ref="O26:P26"/>
    <mergeCell ref="O48:P48"/>
    <mergeCell ref="O70:P70"/>
    <mergeCell ref="D110:F110"/>
    <mergeCell ref="G110:I110"/>
    <mergeCell ref="K110:M110"/>
    <mergeCell ref="N110:P110"/>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Y42"/>
  <sheetViews>
    <sheetView workbookViewId="0">
      <pane xSplit="2" topLeftCell="C1" activePane="topRight" state="frozen"/>
      <selection pane="topRight" activeCell="H23" sqref="H23"/>
    </sheetView>
  </sheetViews>
  <sheetFormatPr defaultColWidth="10.26953125" defaultRowHeight="12.5" x14ac:dyDescent="0.25"/>
  <cols>
    <col min="1" max="1" width="10.26953125" style="34"/>
    <col min="2" max="2" width="31.54296875" style="34" customWidth="1"/>
    <col min="3" max="3" width="26.54296875" style="34" customWidth="1"/>
    <col min="4" max="7" width="15.7265625" style="996" customWidth="1"/>
    <col min="8" max="9" width="15.7265625" style="34" customWidth="1"/>
    <col min="10" max="10" width="15.7265625" style="40" customWidth="1"/>
    <col min="11" max="11" width="15.7265625" style="996" customWidth="1"/>
    <col min="12" max="12" width="17.26953125" style="34" customWidth="1"/>
    <col min="13" max="13" width="10.26953125" style="996" customWidth="1"/>
    <col min="14" max="14" width="13.81640625" style="34" customWidth="1"/>
    <col min="15" max="15" width="13" style="996" customWidth="1"/>
    <col min="16" max="16" width="12.1796875" style="996" customWidth="1"/>
    <col min="17" max="17" width="11.26953125" style="34" customWidth="1"/>
    <col min="18" max="23" width="10.26953125" style="34" customWidth="1"/>
    <col min="24" max="25" width="11.1796875" style="34" customWidth="1"/>
    <col min="26" max="26" width="10.26953125" style="34" customWidth="1"/>
    <col min="27" max="27" width="10.26953125" style="42" customWidth="1"/>
    <col min="28" max="28" width="11.81640625" style="996" customWidth="1"/>
    <col min="29" max="29" width="10.26953125" style="996" customWidth="1"/>
    <col min="30" max="31" width="10.26953125" style="34" customWidth="1"/>
    <col min="32" max="32" width="9.81640625" style="996" bestFit="1" customWidth="1"/>
    <col min="33" max="33" width="10.26953125" style="996" customWidth="1"/>
    <col min="34" max="40" width="10.81640625" style="996" customWidth="1"/>
    <col min="41" max="42" width="10.26953125" style="34" customWidth="1"/>
    <col min="43" max="43" width="11" style="34" customWidth="1"/>
    <col min="44" max="46" width="10.26953125" style="34"/>
    <col min="47" max="49" width="14.453125" style="34" bestFit="1" customWidth="1"/>
    <col min="50" max="16384" width="10.26953125" style="34"/>
  </cols>
  <sheetData>
    <row r="1" spans="1:51" ht="17.5" x14ac:dyDescent="0.35">
      <c r="B1" s="919" t="s">
        <v>915</v>
      </c>
      <c r="C1" s="33"/>
      <c r="T1" s="49">
        <v>0</v>
      </c>
      <c r="AA1" s="80"/>
      <c r="AQ1" s="574" t="s">
        <v>644</v>
      </c>
      <c r="AR1" s="574"/>
      <c r="AS1" s="574"/>
    </row>
    <row r="2" spans="1:51" ht="12.65" customHeight="1" x14ac:dyDescent="0.25">
      <c r="B2" s="47"/>
      <c r="C2" s="47"/>
      <c r="M2" s="995"/>
      <c r="R2" s="686"/>
      <c r="S2" s="686"/>
      <c r="T2" s="1977" t="s">
        <v>643</v>
      </c>
      <c r="AO2" s="995"/>
      <c r="AP2" s="1062"/>
      <c r="AQ2" s="1063"/>
      <c r="AR2" s="1063"/>
      <c r="AS2" s="1889" t="s">
        <v>643</v>
      </c>
    </row>
    <row r="3" spans="1:51" ht="39" customHeight="1" x14ac:dyDescent="0.25">
      <c r="A3" s="184" t="s">
        <v>201</v>
      </c>
      <c r="B3" s="36" t="s">
        <v>66</v>
      </c>
      <c r="C3" s="39" t="s">
        <v>51</v>
      </c>
      <c r="D3" s="538" t="s">
        <v>736</v>
      </c>
      <c r="E3" s="141" t="s">
        <v>21</v>
      </c>
      <c r="F3" s="999" t="s">
        <v>64</v>
      </c>
      <c r="G3" s="999" t="s">
        <v>113</v>
      </c>
      <c r="H3" s="1006" t="s">
        <v>450</v>
      </c>
      <c r="I3" s="1006" t="s">
        <v>400</v>
      </c>
      <c r="J3" s="157" t="s">
        <v>173</v>
      </c>
      <c r="K3" s="999" t="s">
        <v>103</v>
      </c>
      <c r="L3" s="1006" t="s">
        <v>297</v>
      </c>
      <c r="M3" s="540" t="s">
        <v>919</v>
      </c>
      <c r="O3" s="1003" t="s">
        <v>954</v>
      </c>
      <c r="P3" s="1003" t="s">
        <v>899</v>
      </c>
      <c r="Q3" s="541" t="s">
        <v>909</v>
      </c>
      <c r="R3" s="1008" t="s">
        <v>641</v>
      </c>
      <c r="S3" s="1008" t="s">
        <v>642</v>
      </c>
      <c r="T3" s="1977"/>
      <c r="U3" s="688" t="s">
        <v>104</v>
      </c>
      <c r="V3" s="688"/>
      <c r="W3" s="689" t="s">
        <v>645</v>
      </c>
      <c r="X3" s="689" t="s">
        <v>646</v>
      </c>
      <c r="Y3" s="689" t="s">
        <v>647</v>
      </c>
      <c r="Z3" s="689" t="s">
        <v>648</v>
      </c>
      <c r="AA3" s="1006" t="s">
        <v>152</v>
      </c>
      <c r="AB3" s="1005" t="s">
        <v>151</v>
      </c>
      <c r="AC3" s="1005" t="s">
        <v>310</v>
      </c>
      <c r="AD3" s="247" t="s">
        <v>311</v>
      </c>
      <c r="AE3" s="1005" t="s">
        <v>455</v>
      </c>
      <c r="AF3" s="1006" t="s">
        <v>238</v>
      </c>
      <c r="AG3" s="695" t="s">
        <v>309</v>
      </c>
      <c r="AH3" s="691" t="s">
        <v>196</v>
      </c>
      <c r="AI3" s="693" t="s">
        <v>649</v>
      </c>
      <c r="AJ3" s="693" t="s">
        <v>524</v>
      </c>
      <c r="AK3" s="692" t="s">
        <v>331</v>
      </c>
      <c r="AL3" s="692" t="s">
        <v>650</v>
      </c>
      <c r="AM3" s="692" t="s">
        <v>651</v>
      </c>
      <c r="AN3" s="692" t="s">
        <v>654</v>
      </c>
      <c r="AO3" s="384"/>
      <c r="AP3" s="384"/>
      <c r="AQ3" s="1064" t="s">
        <v>641</v>
      </c>
      <c r="AR3" s="1064" t="s">
        <v>642</v>
      </c>
      <c r="AS3" s="1889"/>
      <c r="AU3" s="1003" t="s">
        <v>783</v>
      </c>
      <c r="AV3" s="1003" t="s">
        <v>784</v>
      </c>
      <c r="AW3" s="588" t="s">
        <v>800</v>
      </c>
      <c r="AY3" s="1003" t="s">
        <v>907</v>
      </c>
    </row>
    <row r="4" spans="1:51" ht="13" x14ac:dyDescent="0.3">
      <c r="A4" s="185">
        <v>9257010</v>
      </c>
      <c r="B4" s="915" t="s">
        <v>773</v>
      </c>
      <c r="C4" s="861" t="s">
        <v>750</v>
      </c>
      <c r="D4" s="94">
        <v>340000</v>
      </c>
      <c r="E4" s="94">
        <v>105000</v>
      </c>
      <c r="F4" s="1007"/>
      <c r="G4" s="1007"/>
      <c r="H4" s="333">
        <f>VLOOKUP(A4,'2021 Band Calculations'!$A$112:$T$129,10,FALSE)</f>
        <v>766348.93047857203</v>
      </c>
      <c r="I4" s="333">
        <f>VLOOKUP(A4,'2021 Band Calculations'!$A$112:$T$129,17,FALSE)</f>
        <v>10347.864583333334</v>
      </c>
      <c r="J4" s="94">
        <f>VLOOKUP(A4,'2021 FSM Calculation'!$A$4:$D$21,4,FALSE)</f>
        <v>7181.6</v>
      </c>
      <c r="K4" s="1007">
        <f t="shared" ref="K4:K15" si="0">SUM(D4:J4)</f>
        <v>1228878.3950619053</v>
      </c>
      <c r="L4" s="333">
        <f t="shared" ref="L4:L13" si="1">K4-F4</f>
        <v>1228878.3950619053</v>
      </c>
      <c r="M4" s="751">
        <f>VLOOKUP(A4,'2021 Band Calculations'!$A$112:$T$129,19,FALSE)</f>
        <v>62.833333333333329</v>
      </c>
      <c r="O4" s="165">
        <f>M4-(M4*'2021 Band Calculations'!J6)</f>
        <v>53.997395833333329</v>
      </c>
      <c r="P4" s="42">
        <f>'2021 Band Calculations'!AL112</f>
        <v>198921.25863127731</v>
      </c>
      <c r="Q4" s="42">
        <f>(H4+I4-P4)/O4</f>
        <v>10700.062984777487</v>
      </c>
      <c r="R4" s="724">
        <f>L4-D4-E4-P4</f>
        <v>584957.1364306279</v>
      </c>
      <c r="S4" s="724">
        <f>R4/O4</f>
        <v>10833.061991288214</v>
      </c>
      <c r="T4" s="724">
        <f>VLOOKUP(A4,'1920 Funding Detail'!$A$4:$BB$23,43,(FALSE))</f>
        <v>11382.677297146334</v>
      </c>
      <c r="U4" s="42">
        <f>S4-T4</f>
        <v>-549.61530585812034</v>
      </c>
      <c r="V4" s="165">
        <f>IF(O4&gt;'1920 Funding Detail'!O4,'1920 Funding Detail'!O4,('2021 Funding Detail'!O4))</f>
        <v>52.043055555555561</v>
      </c>
      <c r="W4" s="724">
        <f>'202021 MFG Protection'!L8</f>
        <v>17712.140584556619</v>
      </c>
      <c r="X4" s="724">
        <f t="shared" ref="X4:X15" si="2">L4+W4</f>
        <v>1246590.5356464619</v>
      </c>
      <c r="Y4" s="42">
        <f t="shared" ref="Y4:Y15" si="3">M4*10000</f>
        <v>628333.33333333326</v>
      </c>
      <c r="Z4" s="42">
        <f>IF(Y4&gt;X4,(Y4-X4),(0))</f>
        <v>0</v>
      </c>
      <c r="AA4" s="1005">
        <f t="shared" ref="AA4:AA15" si="4">L4/M4</f>
        <v>19557.746340507776</v>
      </c>
      <c r="AB4" s="1005">
        <f t="shared" ref="AB4:AB15" si="5">M4*10000</f>
        <v>628333.33333333326</v>
      </c>
      <c r="AC4" s="1005">
        <f t="shared" ref="AC4:AC15" si="6">AA4-10000</f>
        <v>9557.746340507776</v>
      </c>
      <c r="AD4" s="94">
        <f>VLOOKUP(A4,'1920 Funding Detail'!$A$4:$AK$23,25,FALSE)</f>
        <v>0</v>
      </c>
      <c r="AE4" s="94">
        <f>IF(AC4&gt;AD4,(AC4),(AD4))</f>
        <v>9557.746340507776</v>
      </c>
      <c r="AF4" s="1007">
        <f>10000+AE4</f>
        <v>19557.746340507776</v>
      </c>
      <c r="AG4" s="726">
        <f t="shared" ref="AG4:AG15" si="7">W4+Z4</f>
        <v>17712.140584556619</v>
      </c>
      <c r="AH4" s="727">
        <f t="shared" ref="AH4:AH15" si="8">L4+AG4</f>
        <v>1246590.5356464619</v>
      </c>
      <c r="AI4" s="1010">
        <f>VLOOKUP(A4,'1920 Funding Detail'!$A$4:$AJ$23,30,(FALSE))</f>
        <v>9921.7875701747071</v>
      </c>
      <c r="AJ4" s="549">
        <f>AH4-AI4</f>
        <v>1236668.7480762871</v>
      </c>
      <c r="AK4" s="387">
        <f>M4*10000</f>
        <v>628333.33333333326</v>
      </c>
      <c r="AL4" s="387">
        <f>AH4-AK4</f>
        <v>618257.20231312863</v>
      </c>
      <c r="AM4" s="387">
        <f t="shared" ref="AM4:AM15" si="9">AL4/M4</f>
        <v>9839.6371720922343</v>
      </c>
      <c r="AN4" s="696">
        <f t="shared" ref="AN4:AN15" si="10">AH4/M4</f>
        <v>19839.637172092233</v>
      </c>
      <c r="AO4" s="609"/>
      <c r="AP4" s="609"/>
      <c r="AQ4" s="988">
        <f>SUM(AH4-'2122 Funding Detail'!D4-'2122 Funding Detail'!E4-P4)</f>
        <v>507669.27701518458</v>
      </c>
      <c r="AR4" s="723">
        <f>AQ4/O4</f>
        <v>9401.736309323891</v>
      </c>
      <c r="AS4" s="723">
        <f>AR4*98.5%</f>
        <v>9260.7102646840322</v>
      </c>
      <c r="AU4" s="869">
        <f>(S4-T4)/T4</f>
        <v>-4.8285240063505118E-2</v>
      </c>
      <c r="AV4" s="869">
        <f>'202021 MFG Protection'!N5/'2021 Funding Detail'!T4</f>
        <v>3.1073962326926285E-2</v>
      </c>
      <c r="AW4" s="869">
        <f>IF(AU4&lt;0,(AU4+AV4),(AU4))</f>
        <v>-1.7211277736578833E-2</v>
      </c>
      <c r="AX4" s="873"/>
      <c r="AY4" s="125"/>
    </row>
    <row r="5" spans="1:51" ht="13" x14ac:dyDescent="0.3">
      <c r="A5" s="185">
        <v>9257005</v>
      </c>
      <c r="B5" s="915" t="s">
        <v>774</v>
      </c>
      <c r="C5" s="1014" t="s">
        <v>750</v>
      </c>
      <c r="D5" s="94">
        <v>340000</v>
      </c>
      <c r="E5" s="94">
        <v>105000</v>
      </c>
      <c r="F5" s="1007"/>
      <c r="G5" s="1007"/>
      <c r="H5" s="333">
        <f>VLOOKUP(A5,'2021 Band Calculations'!$A$112:$T$129,10,FALSE)</f>
        <v>869562.19164385577</v>
      </c>
      <c r="I5" s="333">
        <f>VLOOKUP(A5,'2021 Band Calculations'!$A$112:$T$129,17,FALSE)</f>
        <v>13449.479166666666</v>
      </c>
      <c r="J5" s="94">
        <f>VLOOKUP(A5,'2021 FSM Calculation'!$A$4:$D$21,4,FALSE)</f>
        <v>7181.6</v>
      </c>
      <c r="K5" s="1007">
        <f t="shared" si="0"/>
        <v>1335193.2708105226</v>
      </c>
      <c r="L5" s="333">
        <f t="shared" si="1"/>
        <v>1335193.2708105226</v>
      </c>
      <c r="M5" s="751">
        <f>VLOOKUP(A5,'2021 Band Calculations'!$A$112:$T$129,19,FALSE)</f>
        <v>77.583333333333329</v>
      </c>
      <c r="O5" s="165">
        <f>M5-(M5*'2021 Band Calculations'!J7)</f>
        <v>73.5</v>
      </c>
      <c r="P5" s="42">
        <f>'2021 Band Calculations'!AL113</f>
        <v>91927.065586160563</v>
      </c>
      <c r="Q5" s="42">
        <f t="shared" ref="Q5:Q15" si="11">(H5+I5-P5)/O5</f>
        <v>10763.055853392678</v>
      </c>
      <c r="R5" s="724">
        <f t="shared" ref="R5:R15" si="12">L5-D5-E5-P5</f>
        <v>798266.20522436209</v>
      </c>
      <c r="S5" s="724">
        <f t="shared" ref="S5:S23" si="13">R5/O5</f>
        <v>10860.764696930097</v>
      </c>
      <c r="T5" s="724">
        <f>VLOOKUP(A5,'1920 Funding Detail'!$A$4:$BB$23,43,(FALSE))</f>
        <v>11628.385009411222</v>
      </c>
      <c r="U5" s="80">
        <f t="shared" ref="U5:U23" si="14">S5-T5</f>
        <v>-767.62031248112544</v>
      </c>
      <c r="V5" s="165">
        <f>IF(O5&gt;'1920 Funding Detail'!O5,'1920 Funding Detail'!O5,('2021 Funding Detail'!O5))</f>
        <v>67.310810810810807</v>
      </c>
      <c r="W5" s="724">
        <f>'202021 MFG Protection'!L15</f>
        <v>7039.2933593112066</v>
      </c>
      <c r="X5" s="724">
        <f t="shared" si="2"/>
        <v>1342232.5641698339</v>
      </c>
      <c r="Y5" s="42">
        <f t="shared" si="3"/>
        <v>775833.33333333326</v>
      </c>
      <c r="Z5" s="42">
        <f t="shared" ref="Z5:Z23" si="15">IF(Y5&gt;X5,(Y5-X5),(0))</f>
        <v>0</v>
      </c>
      <c r="AA5" s="1005">
        <f t="shared" si="4"/>
        <v>17209.79511248794</v>
      </c>
      <c r="AB5" s="1005">
        <f t="shared" si="5"/>
        <v>775833.33333333326</v>
      </c>
      <c r="AC5" s="1005">
        <f t="shared" si="6"/>
        <v>7209.7951124879401</v>
      </c>
      <c r="AD5" s="94">
        <f>VLOOKUP(A5,'1920 Funding Detail'!$A$4:$AK$23,25,FALSE)</f>
        <v>0</v>
      </c>
      <c r="AE5" s="1007">
        <f>IF(AC5&gt;AD5,(AC5),(AD5))</f>
        <v>7209.7951124879401</v>
      </c>
      <c r="AF5" s="1007">
        <f t="shared" ref="AF5:AF23" si="16">10000+AE5</f>
        <v>17209.79511248794</v>
      </c>
      <c r="AG5" s="726">
        <f t="shared" si="7"/>
        <v>7039.2933593112066</v>
      </c>
      <c r="AH5" s="727">
        <f t="shared" si="8"/>
        <v>1342232.5641698339</v>
      </c>
      <c r="AI5" s="1010">
        <f>VLOOKUP(A5,'1920 Funding Detail'!$A$4:$AJ$23,30,(FALSE))</f>
        <v>8466.0189598644647</v>
      </c>
      <c r="AJ5" s="549">
        <f>AH5-AI5</f>
        <v>1333766.5452099694</v>
      </c>
      <c r="AK5" s="387">
        <f t="shared" ref="AK5:AK15" si="17">M5*10000</f>
        <v>775833.33333333326</v>
      </c>
      <c r="AL5" s="387">
        <f t="shared" ref="AL5:AL15" si="18">AH5-AK5</f>
        <v>566399.23083650065</v>
      </c>
      <c r="AM5" s="387">
        <f t="shared" si="9"/>
        <v>7300.5271428979677</v>
      </c>
      <c r="AN5" s="696">
        <f t="shared" si="10"/>
        <v>17300.527142897969</v>
      </c>
      <c r="AO5" s="609"/>
      <c r="AP5" s="609"/>
      <c r="AQ5" s="988">
        <f>SUM(AH5-'2122 Funding Detail'!D5-'2122 Funding Detail'!E5-P5)</f>
        <v>780305.49858367338</v>
      </c>
      <c r="AR5" s="723">
        <f t="shared" ref="AR5:AR23" si="19">AQ5/O5</f>
        <v>10616.401341274468</v>
      </c>
      <c r="AS5" s="723">
        <f t="shared" ref="AS5:AS23" si="20">AR5*98.5%</f>
        <v>10457.155321155351</v>
      </c>
      <c r="AU5" s="869">
        <f t="shared" ref="AU5:AU15" si="21">(S5-T5)/T5</f>
        <v>-6.601263304060416E-2</v>
      </c>
      <c r="AV5" s="869">
        <f>'202021 MFG Protection'!N12/'2021 Funding Detail'!T5</f>
        <v>1.1227086502185211E-2</v>
      </c>
      <c r="AW5" s="869">
        <f t="shared" ref="AW5:AW23" si="22">IF(AU5&lt;0,(AU5+AV5),(AU5))</f>
        <v>-5.4785546538418953E-2</v>
      </c>
      <c r="AX5" s="873"/>
    </row>
    <row r="6" spans="1:51" ht="13" x14ac:dyDescent="0.3">
      <c r="A6" s="185">
        <v>9257025</v>
      </c>
      <c r="B6" s="915" t="s">
        <v>776</v>
      </c>
      <c r="C6" s="861" t="s">
        <v>750</v>
      </c>
      <c r="D6" s="94">
        <v>340000</v>
      </c>
      <c r="E6" s="94">
        <v>105000</v>
      </c>
      <c r="F6" s="1007"/>
      <c r="G6" s="1007"/>
      <c r="H6" s="333">
        <f>VLOOKUP(A6,'2021 Band Calculations'!$A$112:$T$129,10,FALSE)</f>
        <v>793705.17090371286</v>
      </c>
      <c r="I6" s="333">
        <f>VLOOKUP(A6,'2021 Band Calculations'!$A$112:$T$129,17,FALSE)</f>
        <v>13412.387387387389</v>
      </c>
      <c r="J6" s="94">
        <f>VLOOKUP(A6,'2021 FSM Calculation'!$A$4:$D$21,4,FALSE)</f>
        <v>10323.550000000001</v>
      </c>
      <c r="K6" s="1007">
        <f t="shared" si="0"/>
        <v>1262441.1082911005</v>
      </c>
      <c r="L6" s="333">
        <f t="shared" si="1"/>
        <v>1262441.1082911005</v>
      </c>
      <c r="M6" s="751">
        <f>VLOOKUP(A6,'2021 Band Calculations'!$A$112:$T$129,19,FALSE)</f>
        <v>75.333333333333343</v>
      </c>
      <c r="O6" s="165">
        <f>M6-(M6*'2021 Band Calculations'!J8)</f>
        <v>71.261261261261268</v>
      </c>
      <c r="P6" s="42">
        <f>'2021 Band Calculations'!AL114</f>
        <v>91673.543618189928</v>
      </c>
      <c r="Q6" s="42">
        <f t="shared" si="11"/>
        <v>10039.73269642137</v>
      </c>
      <c r="R6" s="724">
        <f t="shared" si="12"/>
        <v>725767.56467291061</v>
      </c>
      <c r="S6" s="724">
        <f t="shared" si="13"/>
        <v>10184.60172929116</v>
      </c>
      <c r="T6" s="724">
        <f>VLOOKUP(A6,'1920 Funding Detail'!$A$4:$BB$23,43,(FALSE))</f>
        <v>10507.537783550195</v>
      </c>
      <c r="U6" s="80">
        <f t="shared" si="14"/>
        <v>-322.93605425903479</v>
      </c>
      <c r="V6" s="165">
        <f>IF(O6&gt;'1920 Funding Detail'!O6,'1920 Funding Detail'!O6,('2021 Funding Detail'!O6))</f>
        <v>68.521396396396412</v>
      </c>
      <c r="W6" s="724">
        <f>'202021 MFG Protection'!L22</f>
        <v>29257.252566625339</v>
      </c>
      <c r="X6" s="724">
        <f t="shared" si="2"/>
        <v>1291698.3608577258</v>
      </c>
      <c r="Y6" s="42">
        <f t="shared" si="3"/>
        <v>753333.33333333337</v>
      </c>
      <c r="Z6" s="42">
        <f t="shared" si="15"/>
        <v>0</v>
      </c>
      <c r="AA6" s="1005">
        <f t="shared" si="4"/>
        <v>16758.067809173899</v>
      </c>
      <c r="AB6" s="1005">
        <f t="shared" si="5"/>
        <v>753333.33333333337</v>
      </c>
      <c r="AC6" s="1005">
        <f t="shared" si="6"/>
        <v>6758.0678091738991</v>
      </c>
      <c r="AD6" s="94">
        <f>VLOOKUP(A6,'1920 Funding Detail'!$A$4:$AK$23,25,FALSE)</f>
        <v>0</v>
      </c>
      <c r="AE6" s="1007">
        <f t="shared" ref="AE6:AE23" si="23">IF(AC6&gt;AD6,(AC6),(AD6))</f>
        <v>6758.0678091738991</v>
      </c>
      <c r="AF6" s="1007">
        <f t="shared" si="16"/>
        <v>16758.067809173899</v>
      </c>
      <c r="AG6" s="726">
        <f t="shared" si="7"/>
        <v>29257.252566625339</v>
      </c>
      <c r="AH6" s="727">
        <f t="shared" si="8"/>
        <v>1291698.3608577258</v>
      </c>
      <c r="AI6" s="1010">
        <f>VLOOKUP(A6,'1920 Funding Detail'!$A$4:$AJ$23,30,(FALSE))</f>
        <v>6749.6281271963526</v>
      </c>
      <c r="AJ6" s="549">
        <f t="shared" ref="AJ6:AJ23" si="24">AH6-AI6</f>
        <v>1284948.7327305295</v>
      </c>
      <c r="AK6" s="387">
        <f t="shared" si="17"/>
        <v>753333.33333333337</v>
      </c>
      <c r="AL6" s="387">
        <f t="shared" si="18"/>
        <v>538365.02752439247</v>
      </c>
      <c r="AM6" s="387">
        <f t="shared" si="9"/>
        <v>7146.4384184653854</v>
      </c>
      <c r="AN6" s="696">
        <f t="shared" si="10"/>
        <v>17146.438418465386</v>
      </c>
      <c r="AO6" s="609"/>
      <c r="AP6" s="609"/>
      <c r="AQ6" s="988">
        <f>SUM(AH6-'2122 Funding Detail'!D6-'2122 Funding Detail'!E6-P6)</f>
        <v>730024.81723953597</v>
      </c>
      <c r="AR6" s="723">
        <f t="shared" si="19"/>
        <v>10244.343200200819</v>
      </c>
      <c r="AS6" s="723">
        <f t="shared" si="20"/>
        <v>10090.678052197807</v>
      </c>
      <c r="AU6" s="869">
        <f t="shared" si="21"/>
        <v>-3.0733751418395946E-2</v>
      </c>
      <c r="AV6" s="869">
        <f>'202021 MFG Protection'!N19/'2021 Funding Detail'!T6</f>
        <v>4.7179816423200203E-2</v>
      </c>
      <c r="AW6" s="869">
        <f t="shared" si="22"/>
        <v>1.6446065004804257E-2</v>
      </c>
      <c r="AX6" s="873"/>
    </row>
    <row r="7" spans="1:51" ht="13" x14ac:dyDescent="0.3">
      <c r="A7" s="185">
        <v>9257011</v>
      </c>
      <c r="B7" s="38" t="s">
        <v>70</v>
      </c>
      <c r="C7" s="861" t="s">
        <v>750</v>
      </c>
      <c r="D7" s="94">
        <v>340000</v>
      </c>
      <c r="E7" s="94">
        <v>105000</v>
      </c>
      <c r="F7" s="1007"/>
      <c r="G7" s="1007"/>
      <c r="H7" s="333">
        <f>VLOOKUP(A7,'2021 Band Calculations'!$A$112:$T$129,10,FALSE)</f>
        <v>697819.18281502777</v>
      </c>
      <c r="I7" s="333">
        <f>VLOOKUP(A7,'2021 Band Calculations'!$A$112:$T$129,17,FALSE)</f>
        <v>5750.59748427673</v>
      </c>
      <c r="J7" s="94">
        <f>VLOOKUP(A7,'2021 FSM Calculation'!$A$4:$D$21,4,FALSE)</f>
        <v>11221.25</v>
      </c>
      <c r="K7" s="1007">
        <f t="shared" si="0"/>
        <v>1159791.0302993045</v>
      </c>
      <c r="L7" s="333">
        <f t="shared" si="1"/>
        <v>1159791.0302993045</v>
      </c>
      <c r="M7" s="751">
        <f>VLOOKUP(A7,'2021 Band Calculations'!$A$112:$T$129,19,FALSE)</f>
        <v>57.833333333333336</v>
      </c>
      <c r="O7" s="165">
        <f>M7-(M7*'2021 Band Calculations'!J9)</f>
        <v>52.377358490566039</v>
      </c>
      <c r="P7" s="42">
        <f>'2021 Band Calculations'!AL115</f>
        <v>122829.00176510481</v>
      </c>
      <c r="Q7" s="42">
        <f t="shared" si="11"/>
        <v>11087.630137720671</v>
      </c>
      <c r="R7" s="724">
        <f t="shared" si="12"/>
        <v>591962.02853419969</v>
      </c>
      <c r="S7" s="724">
        <f t="shared" si="13"/>
        <v>11301.868700400786</v>
      </c>
      <c r="T7" s="724">
        <f>VLOOKUP(A7,'1920 Funding Detail'!$A$4:$BB$23,43,(FALSE))</f>
        <v>11468.296847869398</v>
      </c>
      <c r="U7" s="42">
        <f t="shared" si="14"/>
        <v>-166.42814746861222</v>
      </c>
      <c r="V7" s="165">
        <f>IF(O7&gt;'1920 Funding Detail'!O7,'1920 Funding Detail'!O7,('2021 Funding Detail'!O7))</f>
        <v>52.377358490566039</v>
      </c>
      <c r="W7" s="724">
        <f>'202021 MFG Protection'!L29</f>
        <v>0</v>
      </c>
      <c r="X7" s="724">
        <f t="shared" si="2"/>
        <v>1159791.0302993045</v>
      </c>
      <c r="Y7" s="42">
        <f t="shared" si="3"/>
        <v>578333.33333333337</v>
      </c>
      <c r="Z7" s="42">
        <f t="shared" si="15"/>
        <v>0</v>
      </c>
      <c r="AA7" s="1005">
        <f t="shared" si="4"/>
        <v>20054.023578662323</v>
      </c>
      <c r="AB7" s="1005">
        <f t="shared" si="5"/>
        <v>578333.33333333337</v>
      </c>
      <c r="AC7" s="1005">
        <f t="shared" si="6"/>
        <v>10054.023578662323</v>
      </c>
      <c r="AD7" s="94">
        <f>VLOOKUP(A7,'1920 Funding Detail'!$A$4:$AK$23,25,FALSE)</f>
        <v>0</v>
      </c>
      <c r="AE7" s="1007">
        <f t="shared" si="23"/>
        <v>10054.023578662323</v>
      </c>
      <c r="AF7" s="1007">
        <f t="shared" si="16"/>
        <v>20054.023578662323</v>
      </c>
      <c r="AG7" s="726">
        <f t="shared" si="7"/>
        <v>0</v>
      </c>
      <c r="AH7" s="727">
        <f t="shared" si="8"/>
        <v>1159791.0302993045</v>
      </c>
      <c r="AI7" s="1010">
        <f>VLOOKUP(A7,'1920 Funding Detail'!$A$4:$AJ$23,30,(FALSE))</f>
        <v>10014.71099358215</v>
      </c>
      <c r="AJ7" s="549">
        <f t="shared" si="24"/>
        <v>1149776.3193057224</v>
      </c>
      <c r="AK7" s="387">
        <f t="shared" si="17"/>
        <v>578333.33333333337</v>
      </c>
      <c r="AL7" s="387">
        <f t="shared" si="18"/>
        <v>581457.69696597115</v>
      </c>
      <c r="AM7" s="387">
        <f t="shared" si="9"/>
        <v>10054.023578662325</v>
      </c>
      <c r="AN7" s="696">
        <f t="shared" si="10"/>
        <v>20054.023578662323</v>
      </c>
      <c r="AO7" s="609"/>
      <c r="AP7" s="609"/>
      <c r="AQ7" s="988">
        <f>SUM(AH7-'2122 Funding Detail'!D7-'2122 Funding Detail'!E7-P7)</f>
        <v>599462.02853419969</v>
      </c>
      <c r="AR7" s="723">
        <f t="shared" si="19"/>
        <v>11445.060343052084</v>
      </c>
      <c r="AS7" s="723">
        <f t="shared" si="20"/>
        <v>11273.384437906303</v>
      </c>
      <c r="AU7" s="869">
        <f t="shared" si="21"/>
        <v>-1.4512019498303408E-2</v>
      </c>
      <c r="AV7" s="869">
        <f>'202021 MFG Protection'!N26/'2021 Funding Detail'!T7</f>
        <v>0</v>
      </c>
      <c r="AW7" s="869">
        <f t="shared" si="22"/>
        <v>-1.4512019498303408E-2</v>
      </c>
      <c r="AX7" s="873"/>
    </row>
    <row r="8" spans="1:51" ht="13" x14ac:dyDescent="0.3">
      <c r="A8" s="185">
        <v>9257024</v>
      </c>
      <c r="B8" s="915" t="s">
        <v>777</v>
      </c>
      <c r="C8" s="861" t="s">
        <v>750</v>
      </c>
      <c r="D8" s="94">
        <v>340000</v>
      </c>
      <c r="E8" s="94">
        <v>105000</v>
      </c>
      <c r="F8" s="1007"/>
      <c r="G8" s="1007"/>
      <c r="H8" s="333">
        <f>VLOOKUP(A8,'2021 Band Calculations'!$A$112:$T$129,10,FALSE)</f>
        <v>898400.3997032356</v>
      </c>
      <c r="I8" s="333">
        <f>VLOOKUP(A8,'2021 Band Calculations'!$A$112:$T$129,17,FALSE)</f>
        <v>5275.2911646586344</v>
      </c>
      <c r="J8" s="94">
        <f>VLOOKUP(A8,'2021 FSM Calculation'!$A$4:$D$21,4,FALSE)</f>
        <v>12118.95</v>
      </c>
      <c r="K8" s="1007">
        <f t="shared" si="0"/>
        <v>1360794.6408678943</v>
      </c>
      <c r="L8" s="333">
        <f t="shared" si="1"/>
        <v>1360794.6408678943</v>
      </c>
      <c r="M8" s="751">
        <f>VLOOKUP(A8,'2021 Band Calculations'!$A$112:$T$129,19,FALSE)</f>
        <v>83.083333333333329</v>
      </c>
      <c r="O8" s="165">
        <f>M8-(M8*'2021 Band Calculations'!J10)</f>
        <v>75.075301204819269</v>
      </c>
      <c r="P8" s="42">
        <f>'2021 Band Calculations'!AL116</f>
        <v>180282.8313536309</v>
      </c>
      <c r="Q8" s="42">
        <f t="shared" si="11"/>
        <v>9635.5638659472606</v>
      </c>
      <c r="R8" s="724">
        <f t="shared" si="12"/>
        <v>735511.80951426341</v>
      </c>
      <c r="S8" s="724">
        <f t="shared" si="13"/>
        <v>9796.9877937306119</v>
      </c>
      <c r="T8" s="724">
        <f>VLOOKUP(A8,'1920 Funding Detail'!$A$4:$BB$23,43,(FALSE))</f>
        <v>10327.200186912147</v>
      </c>
      <c r="U8" s="42">
        <f t="shared" si="14"/>
        <v>-530.21239318153494</v>
      </c>
      <c r="V8" s="165">
        <f>IF(O8&gt;'1920 Funding Detail'!O8,'1920 Funding Detail'!O8,('2021 Funding Detail'!O8))</f>
        <v>71.195121951219519</v>
      </c>
      <c r="W8" s="724">
        <f>'202021 MFG Protection'!L36</f>
        <v>32788.737014962913</v>
      </c>
      <c r="X8" s="724">
        <f t="shared" si="2"/>
        <v>1393583.3778828571</v>
      </c>
      <c r="Y8" s="42">
        <f t="shared" si="3"/>
        <v>830833.33333333326</v>
      </c>
      <c r="Z8" s="42">
        <f t="shared" si="15"/>
        <v>0</v>
      </c>
      <c r="AA8" s="1005">
        <f t="shared" si="4"/>
        <v>16378.671705531326</v>
      </c>
      <c r="AB8" s="1005">
        <f t="shared" si="5"/>
        <v>830833.33333333326</v>
      </c>
      <c r="AC8" s="1005">
        <f t="shared" si="6"/>
        <v>6378.6717055313256</v>
      </c>
      <c r="AD8" s="94">
        <f>VLOOKUP(A8,'1920 Funding Detail'!$A$4:$AK$23,25,FALSE)</f>
        <v>0</v>
      </c>
      <c r="AE8" s="1007">
        <f t="shared" si="23"/>
        <v>6378.6717055313256</v>
      </c>
      <c r="AF8" s="1007">
        <f t="shared" si="16"/>
        <v>16378.671705531326</v>
      </c>
      <c r="AG8" s="726">
        <f t="shared" si="7"/>
        <v>32788.737014962913</v>
      </c>
      <c r="AH8" s="727">
        <f t="shared" si="8"/>
        <v>1393583.3778828571</v>
      </c>
      <c r="AI8" s="1010">
        <f>VLOOKUP(A8,'1920 Funding Detail'!$A$4:$AJ$23,30,(FALSE))</f>
        <v>6891.9845437226613</v>
      </c>
      <c r="AJ8" s="549">
        <f t="shared" si="24"/>
        <v>1386691.3933391345</v>
      </c>
      <c r="AK8" s="387">
        <f t="shared" si="17"/>
        <v>830833.33333333326</v>
      </c>
      <c r="AL8" s="387">
        <f t="shared" si="18"/>
        <v>562750.04454952385</v>
      </c>
      <c r="AM8" s="387">
        <f t="shared" si="9"/>
        <v>6773.3204960825342</v>
      </c>
      <c r="AN8" s="696">
        <f t="shared" si="10"/>
        <v>16773.320496082535</v>
      </c>
      <c r="AO8" s="609"/>
      <c r="AP8" s="609"/>
      <c r="AQ8" s="988">
        <f>SUM(AH8-'2122 Funding Detail'!D8-'2122 Funding Detail'!E8-P8)</f>
        <v>743300.54652922624</v>
      </c>
      <c r="AR8" s="723">
        <f t="shared" si="19"/>
        <v>9900.7334582829753</v>
      </c>
      <c r="AS8" s="723">
        <f t="shared" si="20"/>
        <v>9752.2224564087301</v>
      </c>
      <c r="AU8" s="869">
        <f t="shared" si="21"/>
        <v>-5.1341349405958352E-2</v>
      </c>
      <c r="AV8" s="869">
        <f>'202021 MFG Protection'!N33/'2021 Funding Detail'!T8</f>
        <v>4.5153171962793309E-2</v>
      </c>
      <c r="AW8" s="869">
        <f t="shared" si="22"/>
        <v>-6.1881774431650424E-3</v>
      </c>
      <c r="AX8" s="873"/>
    </row>
    <row r="9" spans="1:51" ht="13" x14ac:dyDescent="0.3">
      <c r="A9" s="185">
        <v>9257008</v>
      </c>
      <c r="B9" s="915" t="s">
        <v>87</v>
      </c>
      <c r="C9" s="861" t="s">
        <v>750</v>
      </c>
      <c r="D9" s="94">
        <v>340000</v>
      </c>
      <c r="E9" s="94">
        <v>105000</v>
      </c>
      <c r="F9" s="1007"/>
      <c r="G9" s="1007"/>
      <c r="H9" s="333">
        <f>VLOOKUP(A9,'2021 Band Calculations'!$A$112:$T$129,10,FALSE)</f>
        <v>901299.16236721608</v>
      </c>
      <c r="I9" s="333">
        <f>VLOOKUP(A9,'2021 Band Calculations'!$A$112:$T$129,17,FALSE)</f>
        <v>21025.670103092787</v>
      </c>
      <c r="J9" s="94">
        <f>VLOOKUP(A9,'2021 FSM Calculation'!$A$4:$D$21,4,FALSE)</f>
        <v>14812.050000000001</v>
      </c>
      <c r="K9" s="1007">
        <f t="shared" si="0"/>
        <v>1382136.8824703088</v>
      </c>
      <c r="L9" s="333">
        <f t="shared" si="1"/>
        <v>1382136.8824703088</v>
      </c>
      <c r="M9" s="751">
        <f>VLOOKUP(A9,'2021 Band Calculations'!$A$112:$T$129,19,FALSE)</f>
        <v>96.75</v>
      </c>
      <c r="O9" s="165">
        <f>M9-(M9*'2021 Band Calculations'!J13)</f>
        <v>96.75</v>
      </c>
      <c r="P9" s="42">
        <f>'2021 Band Calculations'!AL119</f>
        <v>0</v>
      </c>
      <c r="Q9" s="42">
        <f t="shared" si="11"/>
        <v>9533.0732038274818</v>
      </c>
      <c r="R9" s="724">
        <f t="shared" si="12"/>
        <v>937136.8824703088</v>
      </c>
      <c r="S9" s="724">
        <f t="shared" si="13"/>
        <v>9686.169327858488</v>
      </c>
      <c r="T9" s="724">
        <f>VLOOKUP(A9,'1920 Funding Detail'!$A$4:$BB$23,43,(FALSE))</f>
        <v>9572.3028929142383</v>
      </c>
      <c r="U9" s="42">
        <f t="shared" si="14"/>
        <v>113.8664349442497</v>
      </c>
      <c r="V9" s="165">
        <f>IF(O9&gt;'1920 Funding Detail'!O9,'1920 Funding Detail'!O9,('2021 Funding Detail'!O9))</f>
        <v>95</v>
      </c>
      <c r="W9" s="724">
        <f>IF(U9&lt;0,((U9*V9)*-1),(0))</f>
        <v>0</v>
      </c>
      <c r="X9" s="724">
        <f t="shared" si="2"/>
        <v>1382136.8824703088</v>
      </c>
      <c r="Y9" s="42">
        <f t="shared" si="3"/>
        <v>967500</v>
      </c>
      <c r="Z9" s="42">
        <f t="shared" si="15"/>
        <v>0</v>
      </c>
      <c r="AA9" s="1005">
        <f t="shared" si="4"/>
        <v>14285.652531992855</v>
      </c>
      <c r="AB9" s="1005">
        <f t="shared" si="5"/>
        <v>967500</v>
      </c>
      <c r="AC9" s="1005">
        <f t="shared" si="6"/>
        <v>4285.6525319928551</v>
      </c>
      <c r="AD9" s="94">
        <f>VLOOKUP(A9,'1920 Funding Detail'!$A$4:$AK$23,25,FALSE)</f>
        <v>0</v>
      </c>
      <c r="AE9" s="1007">
        <f t="shared" si="23"/>
        <v>4285.6525319928551</v>
      </c>
      <c r="AF9" s="1007">
        <f t="shared" si="16"/>
        <v>14285.652531992855</v>
      </c>
      <c r="AG9" s="726">
        <f t="shared" si="7"/>
        <v>0</v>
      </c>
      <c r="AH9" s="727">
        <f t="shared" si="8"/>
        <v>1382136.8824703088</v>
      </c>
      <c r="AI9" s="1010">
        <f>VLOOKUP(A9,'1920 Funding Detail'!$A$4:$AJ$23,30,(FALSE))</f>
        <v>4256.5134192300266</v>
      </c>
      <c r="AJ9" s="549">
        <f t="shared" si="24"/>
        <v>1377880.3690510788</v>
      </c>
      <c r="AK9" s="387">
        <f t="shared" si="17"/>
        <v>967500</v>
      </c>
      <c r="AL9" s="387">
        <f t="shared" si="18"/>
        <v>414636.8824703088</v>
      </c>
      <c r="AM9" s="387">
        <f t="shared" si="9"/>
        <v>4285.652531992856</v>
      </c>
      <c r="AN9" s="696">
        <f t="shared" si="10"/>
        <v>14285.652531992855</v>
      </c>
      <c r="AO9" s="609"/>
      <c r="AP9" s="609"/>
      <c r="AQ9" s="988">
        <f>SUM(AH9-'2122 Funding Detail'!D11-'2122 Funding Detail'!E11-P9)</f>
        <v>912136.8824703088</v>
      </c>
      <c r="AR9" s="723">
        <f t="shared" si="19"/>
        <v>9427.7713950419511</v>
      </c>
      <c r="AS9" s="723">
        <f t="shared" si="20"/>
        <v>9286.3548241163226</v>
      </c>
      <c r="AU9" s="869">
        <f t="shared" si="21"/>
        <v>1.1895406593175997E-2</v>
      </c>
      <c r="AV9" s="869">
        <f>'202021 MFG Protection'!N54/'2021 Funding Detail'!T9</f>
        <v>0</v>
      </c>
      <c r="AW9" s="869">
        <f t="shared" si="22"/>
        <v>1.1895406593175997E-2</v>
      </c>
      <c r="AX9" s="873"/>
    </row>
    <row r="10" spans="1:51" ht="13" x14ac:dyDescent="0.3">
      <c r="A10" s="185">
        <v>9257002</v>
      </c>
      <c r="B10" s="915" t="s">
        <v>775</v>
      </c>
      <c r="C10" s="861" t="s">
        <v>751</v>
      </c>
      <c r="D10" s="94">
        <v>385000</v>
      </c>
      <c r="E10" s="94">
        <v>115000</v>
      </c>
      <c r="F10" s="1007"/>
      <c r="G10" s="1007"/>
      <c r="H10" s="333">
        <f>VLOOKUP(A10,'2021 Band Calculations'!$A$112:$T$129,10,FALSE)</f>
        <v>1243151.9879120709</v>
      </c>
      <c r="I10" s="333">
        <f>VLOOKUP(A10,'2021 Band Calculations'!$A$112:$T$129,17,FALSE)</f>
        <v>60385.416666666672</v>
      </c>
      <c r="J10" s="94">
        <f>VLOOKUP(A10,'2021 FSM Calculation'!$A$4:$D$21,4,FALSE)</f>
        <v>15709.75</v>
      </c>
      <c r="K10" s="1007">
        <f t="shared" si="0"/>
        <v>1819247.1545787377</v>
      </c>
      <c r="L10" s="333">
        <f t="shared" si="1"/>
        <v>1819247.1545787377</v>
      </c>
      <c r="M10" s="751">
        <f>VLOOKUP(A10,'2021 Band Calculations'!$A$112:$T$129,19,FALSE)</f>
        <v>147.91666666666669</v>
      </c>
      <c r="O10" s="165">
        <f>M10-(M10*'2021 Band Calculations'!J15)</f>
        <v>145.83333333333334</v>
      </c>
      <c r="P10" s="42">
        <f>'2021 Band Calculations'!AL121</f>
        <v>46901.564074571717</v>
      </c>
      <c r="Q10" s="42">
        <f t="shared" si="11"/>
        <v>8616.9314777428517</v>
      </c>
      <c r="R10" s="724">
        <f t="shared" si="12"/>
        <v>1272345.590504166</v>
      </c>
      <c r="S10" s="724">
        <f t="shared" si="13"/>
        <v>8724.6554777428519</v>
      </c>
      <c r="T10" s="724">
        <f>VLOOKUP(A10,'1920 Funding Detail'!$A$4:$BB$23,43,(FALSE))</f>
        <v>9171.7488210335523</v>
      </c>
      <c r="U10" s="42">
        <f t="shared" si="14"/>
        <v>-447.09334329070043</v>
      </c>
      <c r="V10" s="165">
        <f>IF(O10&gt;'1920 Funding Detail'!O10,'1920 Funding Detail'!O10,('2021 Funding Detail'!O10))</f>
        <v>143.57928240740742</v>
      </c>
      <c r="W10" s="724">
        <f>'202021 MFG Protection'!L71</f>
        <v>0</v>
      </c>
      <c r="X10" s="724">
        <f t="shared" si="2"/>
        <v>1819247.1545787377</v>
      </c>
      <c r="Y10" s="42">
        <f t="shared" si="3"/>
        <v>1479166.6666666667</v>
      </c>
      <c r="Z10" s="42">
        <f t="shared" si="15"/>
        <v>0</v>
      </c>
      <c r="AA10" s="1005">
        <f t="shared" si="4"/>
        <v>12299.135692926675</v>
      </c>
      <c r="AB10" s="1005">
        <f t="shared" si="5"/>
        <v>1479166.6666666667</v>
      </c>
      <c r="AC10" s="1005">
        <f t="shared" si="6"/>
        <v>2299.1356929266749</v>
      </c>
      <c r="AD10" s="94">
        <f>VLOOKUP(A10,'1920 Funding Detail'!$A$4:$AK$23,25,FALSE)</f>
        <v>0</v>
      </c>
      <c r="AE10" s="1007">
        <f t="shared" si="23"/>
        <v>2299.1356929266749</v>
      </c>
      <c r="AF10" s="1007">
        <f t="shared" si="16"/>
        <v>12299.135692926675</v>
      </c>
      <c r="AG10" s="726">
        <f t="shared" si="7"/>
        <v>0</v>
      </c>
      <c r="AH10" s="727">
        <f t="shared" si="8"/>
        <v>1819247.1545787377</v>
      </c>
      <c r="AI10" s="1010">
        <f>VLOOKUP(A10,'1920 Funding Detail'!$A$4:$AJ$23,30,(FALSE))</f>
        <v>2722.6079242868764</v>
      </c>
      <c r="AJ10" s="549">
        <f t="shared" si="24"/>
        <v>1816524.5466544507</v>
      </c>
      <c r="AK10" s="387">
        <f t="shared" si="17"/>
        <v>1479166.6666666667</v>
      </c>
      <c r="AL10" s="387">
        <f t="shared" si="18"/>
        <v>340080.48791207094</v>
      </c>
      <c r="AM10" s="387">
        <f t="shared" si="9"/>
        <v>2299.1356929266763</v>
      </c>
      <c r="AN10" s="696">
        <f t="shared" si="10"/>
        <v>12299.135692926675</v>
      </c>
      <c r="AO10" s="609"/>
      <c r="AP10" s="609"/>
      <c r="AQ10" s="988">
        <f>SUM(AH10-'2122 Funding Detail'!D13-'2122 Funding Detail'!E13-P10)</f>
        <v>1232345.590504166</v>
      </c>
      <c r="AR10" s="723">
        <f t="shared" si="19"/>
        <v>8450.3697634571381</v>
      </c>
      <c r="AS10" s="723">
        <f t="shared" si="20"/>
        <v>8323.6142170052808</v>
      </c>
      <c r="AU10" s="869">
        <f t="shared" si="21"/>
        <v>-4.8746793225015302E-2</v>
      </c>
      <c r="AV10" s="869">
        <f>'202021 MFG Protection'!N68/'2021 Funding Detail'!T10</f>
        <v>0</v>
      </c>
      <c r="AW10" s="869">
        <f t="shared" si="22"/>
        <v>-4.8746793225015302E-2</v>
      </c>
      <c r="AX10" s="873"/>
    </row>
    <row r="11" spans="1:51" ht="13" x14ac:dyDescent="0.3">
      <c r="A11" s="185">
        <v>9257009</v>
      </c>
      <c r="B11" s="915" t="s">
        <v>411</v>
      </c>
      <c r="C11" s="861" t="s">
        <v>751</v>
      </c>
      <c r="D11" s="94">
        <v>385000</v>
      </c>
      <c r="E11" s="94">
        <v>115000</v>
      </c>
      <c r="F11" s="1007"/>
      <c r="G11" s="1007"/>
      <c r="H11" s="333">
        <f>VLOOKUP(A11,'2021 Band Calculations'!$A$112:$T$129,10,FALSE)</f>
        <v>1124142.8964747144</v>
      </c>
      <c r="I11" s="333">
        <f>VLOOKUP(A11,'2021 Band Calculations'!$A$112:$T$129,17,FALSE)</f>
        <v>30464.208656330753</v>
      </c>
      <c r="J11" s="94">
        <f>VLOOKUP(A11,'2021 FSM Calculation'!$A$4:$D$21,4,FALSE)</f>
        <v>12118.95</v>
      </c>
      <c r="K11" s="1007">
        <f t="shared" si="0"/>
        <v>1666726.0551310452</v>
      </c>
      <c r="L11" s="333">
        <f t="shared" si="1"/>
        <v>1666726.0551310452</v>
      </c>
      <c r="M11" s="751">
        <f>VLOOKUP(A11,'2021 Band Calculations'!$A$112:$T$129,19,FALSE)</f>
        <v>135.58333333333334</v>
      </c>
      <c r="O11" s="165">
        <f>M11-(M11*'2021 Band Calculations'!J16)</f>
        <v>135.58333333333334</v>
      </c>
      <c r="P11" s="42">
        <f>'2021 Band Calculations'!AL122</f>
        <v>0</v>
      </c>
      <c r="Q11" s="42">
        <f t="shared" si="11"/>
        <v>8515.8483476168058</v>
      </c>
      <c r="R11" s="724">
        <f t="shared" si="12"/>
        <v>1166726.0551310452</v>
      </c>
      <c r="S11" s="724">
        <f t="shared" si="13"/>
        <v>8605.2321214336462</v>
      </c>
      <c r="T11" s="724">
        <f>VLOOKUP(A11,'1920 Funding Detail'!$A$4:$BB$23,43,(FALSE))</f>
        <v>9704.7517502975679</v>
      </c>
      <c r="U11" s="42">
        <f t="shared" si="14"/>
        <v>-1099.5196288639218</v>
      </c>
      <c r="V11" s="165">
        <f>IF(O11&gt;'1920 Funding Detail'!O11,'1920 Funding Detail'!O11,('2021 Funding Detail'!O11))</f>
        <v>134.16666666666669</v>
      </c>
      <c r="W11" s="724">
        <f>'202021 MFG Protection'!L78</f>
        <v>77363.354881829611</v>
      </c>
      <c r="X11" s="724">
        <f t="shared" si="2"/>
        <v>1744089.4100128748</v>
      </c>
      <c r="Y11" s="42">
        <f t="shared" si="3"/>
        <v>1355833.3333333335</v>
      </c>
      <c r="Z11" s="42">
        <f t="shared" si="15"/>
        <v>0</v>
      </c>
      <c r="AA11" s="1005">
        <f t="shared" si="4"/>
        <v>12293.001021249256</v>
      </c>
      <c r="AB11" s="1005">
        <f t="shared" si="5"/>
        <v>1355833.3333333335</v>
      </c>
      <c r="AC11" s="1005">
        <f t="shared" si="6"/>
        <v>2293.0010212492562</v>
      </c>
      <c r="AD11" s="94">
        <f>VLOOKUP(A11,'1920 Funding Detail'!$A$4:$AK$23,25,FALSE)</f>
        <v>0</v>
      </c>
      <c r="AE11" s="1007">
        <f t="shared" si="23"/>
        <v>2293.0010212492562</v>
      </c>
      <c r="AF11" s="1007">
        <f t="shared" si="16"/>
        <v>12293.001021249256</v>
      </c>
      <c r="AG11" s="726">
        <f t="shared" si="7"/>
        <v>77363.354881829611</v>
      </c>
      <c r="AH11" s="727">
        <f t="shared" si="8"/>
        <v>1744089.4100128748</v>
      </c>
      <c r="AI11" s="1010">
        <f>VLOOKUP(A11,'1920 Funding Detail'!$A$4:$AJ$23,30,(FALSE))</f>
        <v>2811.2670107508184</v>
      </c>
      <c r="AJ11" s="549">
        <f>AH11-AI11</f>
        <v>1741278.143002124</v>
      </c>
      <c r="AK11" s="387">
        <f t="shared" si="17"/>
        <v>1355833.3333333335</v>
      </c>
      <c r="AL11" s="387">
        <f t="shared" si="18"/>
        <v>388256.07667954126</v>
      </c>
      <c r="AM11" s="387">
        <f t="shared" si="9"/>
        <v>2863.5973694864751</v>
      </c>
      <c r="AN11" s="696">
        <f t="shared" si="10"/>
        <v>12863.597369486475</v>
      </c>
      <c r="AO11" s="609"/>
      <c r="AP11" s="609"/>
      <c r="AQ11" s="988">
        <f>SUM(AH11-'2122 Funding Detail'!D14-'2122 Funding Detail'!E14-P11)</f>
        <v>1239089.4100128748</v>
      </c>
      <c r="AR11" s="723">
        <f t="shared" si="19"/>
        <v>9138.9507806727088</v>
      </c>
      <c r="AS11" s="723">
        <f t="shared" si="20"/>
        <v>9001.8665189626172</v>
      </c>
      <c r="AU11" s="869">
        <f t="shared" si="21"/>
        <v>-0.11329703810612242</v>
      </c>
      <c r="AV11" s="869">
        <f>'202021 MFG Protection'!N75/'2021 Funding Detail'!T11</f>
        <v>6.3906097758955463E-2</v>
      </c>
      <c r="AW11" s="869">
        <f t="shared" si="22"/>
        <v>-4.9390940347166956E-2</v>
      </c>
      <c r="AX11" s="873"/>
    </row>
    <row r="12" spans="1:51" ht="13" x14ac:dyDescent="0.3">
      <c r="A12" s="185">
        <v>9257028</v>
      </c>
      <c r="B12" s="915" t="s">
        <v>77</v>
      </c>
      <c r="C12" s="1014" t="s">
        <v>751</v>
      </c>
      <c r="D12" s="94">
        <v>385000</v>
      </c>
      <c r="E12" s="94">
        <v>115000</v>
      </c>
      <c r="F12" s="1007"/>
      <c r="G12" s="1007"/>
      <c r="H12" s="333">
        <f>VLOOKUP(A12,'2021 Band Calculations'!$A$112:$T$129,10,FALSE)</f>
        <v>1094030.7896330541</v>
      </c>
      <c r="I12" s="333">
        <f>VLOOKUP(A12,'2021 Band Calculations'!$A$112:$T$129,17,FALSE)</f>
        <v>10345.842105263158</v>
      </c>
      <c r="J12" s="94">
        <f>VLOOKUP(A12,'2021 FSM Calculation'!$A$4:$D$21,4,FALSE)</f>
        <v>9425.85</v>
      </c>
      <c r="K12" s="1007">
        <f t="shared" si="0"/>
        <v>1613802.4817383173</v>
      </c>
      <c r="L12" s="333">
        <f t="shared" si="1"/>
        <v>1613802.4817383173</v>
      </c>
      <c r="M12" s="751">
        <f>VLOOKUP(A12,'2021 Band Calculations'!$A$112:$T$129,19,FALSE)</f>
        <v>93.25</v>
      </c>
      <c r="O12" s="165">
        <f>M12-(M12*'2021 Band Calculations'!J20)</f>
        <v>81.471052631578942</v>
      </c>
      <c r="P12" s="42">
        <f>'2021 Band Calculations'!AL126</f>
        <v>265176.50627088384</v>
      </c>
      <c r="Q12" s="42">
        <f t="shared" si="11"/>
        <v>10300.592644388536</v>
      </c>
      <c r="R12" s="724">
        <f t="shared" si="12"/>
        <v>848625.97546743345</v>
      </c>
      <c r="S12" s="724">
        <f t="shared" si="13"/>
        <v>10416.288338693908</v>
      </c>
      <c r="T12" s="724">
        <f>VLOOKUP(A12,'1920 Funding Detail'!$A$4:$BB$23,43,(FALSE))</f>
        <v>10909.667485178938</v>
      </c>
      <c r="U12" s="42">
        <f t="shared" si="14"/>
        <v>-493.3791464850292</v>
      </c>
      <c r="V12" s="165">
        <f>IF(O12&gt;'1920 Funding Detail'!O12,'1920 Funding Detail'!O12,('2021 Funding Detail'!O12))</f>
        <v>71.705426356589157</v>
      </c>
      <c r="W12" s="724">
        <f>'202021 MFG Protection'!L106</f>
        <v>0</v>
      </c>
      <c r="X12" s="724">
        <f t="shared" si="2"/>
        <v>1613802.4817383173</v>
      </c>
      <c r="Y12" s="42">
        <f t="shared" si="3"/>
        <v>932500</v>
      </c>
      <c r="Z12" s="42">
        <f t="shared" si="15"/>
        <v>0</v>
      </c>
      <c r="AA12" s="1005">
        <f t="shared" si="4"/>
        <v>17306.192833654877</v>
      </c>
      <c r="AB12" s="1005">
        <f t="shared" si="5"/>
        <v>932500</v>
      </c>
      <c r="AC12" s="1005">
        <f t="shared" si="6"/>
        <v>7306.1928336548772</v>
      </c>
      <c r="AD12" s="94">
        <f>VLOOKUP(A12,'1920 Funding Detail'!$A$4:$AK$23,25,FALSE)</f>
        <v>0</v>
      </c>
      <c r="AE12" s="1007">
        <f t="shared" si="23"/>
        <v>7306.1928336548772</v>
      </c>
      <c r="AF12" s="1007">
        <f t="shared" si="16"/>
        <v>17306.192833654877</v>
      </c>
      <c r="AG12" s="726">
        <f t="shared" si="7"/>
        <v>0</v>
      </c>
      <c r="AH12" s="727">
        <f t="shared" si="8"/>
        <v>1613802.4817383173</v>
      </c>
      <c r="AI12" s="1010">
        <f>VLOOKUP(A12,'1920 Funding Detail'!$A$4:$AJ$23,30,(FALSE))</f>
        <v>8528.702360148538</v>
      </c>
      <c r="AJ12" s="549">
        <f t="shared" si="24"/>
        <v>1605273.7793781688</v>
      </c>
      <c r="AK12" s="387">
        <f t="shared" si="17"/>
        <v>932500</v>
      </c>
      <c r="AL12" s="387">
        <f t="shared" si="18"/>
        <v>681302.48173831729</v>
      </c>
      <c r="AM12" s="387">
        <f t="shared" si="9"/>
        <v>7306.1928336548772</v>
      </c>
      <c r="AN12" s="696">
        <f t="shared" si="10"/>
        <v>17306.192833654877</v>
      </c>
      <c r="AO12" s="609"/>
      <c r="AP12" s="609"/>
      <c r="AQ12" s="988">
        <f>SUM(AH12-'2122 Funding Detail'!D18-'2122 Funding Detail'!E18-P12)</f>
        <v>808625.97546743345</v>
      </c>
      <c r="AR12" s="723">
        <f t="shared" si="19"/>
        <v>9925.3164080759943</v>
      </c>
      <c r="AS12" s="723">
        <f t="shared" si="20"/>
        <v>9776.4366619548546</v>
      </c>
      <c r="AU12" s="869">
        <f t="shared" si="21"/>
        <v>-4.5224031544068358E-2</v>
      </c>
      <c r="AV12" s="869">
        <f>SUM('202021 MFG Protection'!N103/'2021 Funding Detail'!T12)</f>
        <v>0</v>
      </c>
      <c r="AW12" s="869">
        <f t="shared" si="22"/>
        <v>-4.5224031544068358E-2</v>
      </c>
      <c r="AX12" s="873"/>
    </row>
    <row r="13" spans="1:51" ht="13" x14ac:dyDescent="0.3">
      <c r="A13" s="185">
        <v>9257021</v>
      </c>
      <c r="B13" s="915" t="s">
        <v>778</v>
      </c>
      <c r="C13" s="861" t="s">
        <v>758</v>
      </c>
      <c r="D13" s="94">
        <v>407500</v>
      </c>
      <c r="E13" s="94">
        <v>120000</v>
      </c>
      <c r="F13" s="1007"/>
      <c r="G13" s="1007"/>
      <c r="H13" s="333">
        <f>VLOOKUP(A13,'2021 Band Calculations'!$A$112:$T$129,10,FALSE)</f>
        <v>1480789.4660544591</v>
      </c>
      <c r="I13" s="333">
        <f>VLOOKUP(A13,'2021 Band Calculations'!$A$112:$T$129,17,FALSE)</f>
        <v>42504.867075664632</v>
      </c>
      <c r="J13" s="94">
        <f>VLOOKUP(A13,'2021 FSM Calculation'!$A$4:$D$21,4,FALSE)</f>
        <v>29175.25</v>
      </c>
      <c r="K13" s="1007">
        <f t="shared" si="0"/>
        <v>2079969.5831301238</v>
      </c>
      <c r="L13" s="333">
        <f t="shared" si="1"/>
        <v>2079969.5831301238</v>
      </c>
      <c r="M13" s="751">
        <f>VLOOKUP(A13,'2021 Band Calculations'!$A$112:$T$129,19,FALSE)</f>
        <v>164.33333333333334</v>
      </c>
      <c r="O13" s="165">
        <f>M13-(M13*'2021 Band Calculations'!J21)</f>
        <v>162.31697341513294</v>
      </c>
      <c r="P13" s="42">
        <f>'2021 Band Calculations'!AL127</f>
        <v>45393.808272419847</v>
      </c>
      <c r="Q13" s="42">
        <f t="shared" si="11"/>
        <v>9105.027612102569</v>
      </c>
      <c r="R13" s="724">
        <f t="shared" si="12"/>
        <v>1507075.7748577041</v>
      </c>
      <c r="S13" s="724">
        <f t="shared" si="13"/>
        <v>9284.7700591563535</v>
      </c>
      <c r="T13" s="724">
        <f>VLOOKUP(A13,'1920 Funding Detail'!$A$4:$BB$23,43,(FALSE))</f>
        <v>9644.3828677192832</v>
      </c>
      <c r="U13" s="42">
        <f t="shared" si="14"/>
        <v>-359.61280856292979</v>
      </c>
      <c r="V13" s="165">
        <f>IF(O13&gt;'1920 Funding Detail'!O13,'1920 Funding Detail'!O13,('2021 Funding Detail'!O13))</f>
        <v>158.10133744855969</v>
      </c>
      <c r="W13" s="724">
        <f>'202021 MFG Protection'!L113</f>
        <v>29747.944095442574</v>
      </c>
      <c r="X13" s="724">
        <f t="shared" si="2"/>
        <v>2109717.5272255666</v>
      </c>
      <c r="Y13" s="42">
        <f t="shared" si="3"/>
        <v>1643333.3333333335</v>
      </c>
      <c r="Z13" s="42">
        <f t="shared" si="15"/>
        <v>0</v>
      </c>
      <c r="AA13" s="1005">
        <f t="shared" si="4"/>
        <v>12657.015718844566</v>
      </c>
      <c r="AB13" s="1005">
        <f t="shared" si="5"/>
        <v>1643333.3333333335</v>
      </c>
      <c r="AC13" s="1005">
        <f t="shared" si="6"/>
        <v>2657.0157188445664</v>
      </c>
      <c r="AD13" s="94">
        <f>VLOOKUP(A13,'1920 Funding Detail'!$A$4:$AK$23,25,FALSE)</f>
        <v>0</v>
      </c>
      <c r="AE13" s="1007">
        <f t="shared" si="23"/>
        <v>2657.0157188445664</v>
      </c>
      <c r="AF13" s="1007">
        <f t="shared" si="16"/>
        <v>12657.015718844566</v>
      </c>
      <c r="AG13" s="726">
        <f t="shared" si="7"/>
        <v>29747.944095442574</v>
      </c>
      <c r="AH13" s="727">
        <f t="shared" si="8"/>
        <v>2109717.5272255666</v>
      </c>
      <c r="AI13" s="1010">
        <f>VLOOKUP(A13,'1920 Funding Detail'!$A$4:$AJ$23,30,(FALSE))</f>
        <v>2846.4521450475222</v>
      </c>
      <c r="AJ13" s="549">
        <f t="shared" si="24"/>
        <v>2106871.0750805191</v>
      </c>
      <c r="AK13" s="387">
        <f t="shared" si="17"/>
        <v>1643333.3333333335</v>
      </c>
      <c r="AL13" s="387">
        <f t="shared" si="18"/>
        <v>466384.19389223307</v>
      </c>
      <c r="AM13" s="387">
        <f t="shared" si="9"/>
        <v>2838.0376910277873</v>
      </c>
      <c r="AN13" s="696">
        <f t="shared" si="10"/>
        <v>12838.037691027788</v>
      </c>
      <c r="AO13" s="609"/>
      <c r="AP13" s="609"/>
      <c r="AQ13" s="988">
        <f>SUM(AH13-'2122 Funding Detail'!D19-'2122 Funding Detail'!E19-P13)</f>
        <v>1479323.7189531466</v>
      </c>
      <c r="AR13" s="723">
        <f t="shared" si="19"/>
        <v>9113.7956051565216</v>
      </c>
      <c r="AS13" s="723">
        <f t="shared" si="20"/>
        <v>8977.0886710791729</v>
      </c>
      <c r="AU13" s="869">
        <f t="shared" si="21"/>
        <v>-3.7287280429999306E-2</v>
      </c>
      <c r="AV13" s="869">
        <f>'202021 MFG Protection'!N110/'2021 Funding Detail'!T13</f>
        <v>2.0160699854038597E-2</v>
      </c>
      <c r="AW13" s="869">
        <f t="shared" si="22"/>
        <v>-1.7126580575960709E-2</v>
      </c>
      <c r="AX13" s="873"/>
    </row>
    <row r="14" spans="1:51" s="40" customFormat="1" ht="12.75" customHeight="1" x14ac:dyDescent="0.3">
      <c r="A14" s="131">
        <v>9257015</v>
      </c>
      <c r="B14" s="38" t="s">
        <v>55</v>
      </c>
      <c r="C14" s="861" t="s">
        <v>759</v>
      </c>
      <c r="D14" s="94">
        <v>452500</v>
      </c>
      <c r="E14" s="94">
        <v>130000</v>
      </c>
      <c r="F14" s="94"/>
      <c r="G14" s="925">
        <v>0</v>
      </c>
      <c r="H14" s="333">
        <f>VLOOKUP(A14,'2021 Band Calculations'!$A$112:$T$129,10,FALSE)</f>
        <v>2020340.8670849968</v>
      </c>
      <c r="I14" s="333">
        <f>VLOOKUP(A14,'2021 Band Calculations'!$A$112:$T$129,17,FALSE)</f>
        <v>15906.540948275862</v>
      </c>
      <c r="J14" s="94">
        <f>VLOOKUP(A14,'2021 FSM Calculation'!$A$4:$D$21,4,FALSE)</f>
        <v>35908</v>
      </c>
      <c r="K14" s="94">
        <f t="shared" si="0"/>
        <v>2654655.4080332727</v>
      </c>
      <c r="L14" s="333">
        <f>K14-F14-G14</f>
        <v>2654655.4080332727</v>
      </c>
      <c r="M14" s="751">
        <f>VLOOKUP(A14,'2021 Band Calculations'!$A$112:$T$129,19,FALSE)</f>
        <v>233.41666666666671</v>
      </c>
      <c r="O14" s="165">
        <f>M14-(M14*'2021 Band Calculations'!J22)</f>
        <v>230.39834770114948</v>
      </c>
      <c r="P14" s="80">
        <f>'2021 Band Calculations'!AL128</f>
        <v>67950.662572176923</v>
      </c>
      <c r="Q14" s="42">
        <f t="shared" si="11"/>
        <v>8543.0158900886763</v>
      </c>
      <c r="R14" s="724">
        <f t="shared" si="12"/>
        <v>2004204.7454610958</v>
      </c>
      <c r="S14" s="724">
        <f t="shared" si="13"/>
        <v>8698.8677022144147</v>
      </c>
      <c r="T14" s="724">
        <f>VLOOKUP(A14,'1920 Funding Detail'!$A$4:$BB$23,43,(FALSE))</f>
        <v>8717.9681318862295</v>
      </c>
      <c r="U14" s="42">
        <f t="shared" si="14"/>
        <v>-19.100429671814709</v>
      </c>
      <c r="V14" s="165">
        <f>IF(O14&gt;'1920 Funding Detail'!O14,'1920 Funding Detail'!O14,('2021 Funding Detail'!O14))</f>
        <v>230.39834770114948</v>
      </c>
      <c r="W14" s="724">
        <f>'202021 MFG Protection'!L120</f>
        <v>0</v>
      </c>
      <c r="X14" s="724">
        <f t="shared" si="2"/>
        <v>2654655.4080332727</v>
      </c>
      <c r="Y14" s="80">
        <f t="shared" si="3"/>
        <v>2334166.666666667</v>
      </c>
      <c r="Z14" s="80">
        <f t="shared" si="15"/>
        <v>0</v>
      </c>
      <c r="AA14" s="247">
        <f t="shared" si="4"/>
        <v>11373.0328084253</v>
      </c>
      <c r="AB14" s="247">
        <f t="shared" si="5"/>
        <v>2334166.666666667</v>
      </c>
      <c r="AC14" s="247">
        <f t="shared" si="6"/>
        <v>1373.0328084252997</v>
      </c>
      <c r="AD14" s="94">
        <f>VLOOKUP(A14,'1920 Funding Detail'!$A$4:$AK$23,25,FALSE)</f>
        <v>0</v>
      </c>
      <c r="AE14" s="1007">
        <f t="shared" si="23"/>
        <v>1373.0328084252997</v>
      </c>
      <c r="AF14" s="94">
        <f t="shared" si="16"/>
        <v>11373.0328084253</v>
      </c>
      <c r="AG14" s="726">
        <f t="shared" si="7"/>
        <v>0</v>
      </c>
      <c r="AH14" s="727">
        <f t="shared" si="8"/>
        <v>2654655.4080332727</v>
      </c>
      <c r="AI14" s="1010">
        <f>VLOOKUP(A14,'1920 Funding Detail'!$A$4:$AJ$23,30,(FALSE))</f>
        <v>1281.8587911951745</v>
      </c>
      <c r="AJ14" s="549">
        <f t="shared" si="24"/>
        <v>2653373.5492420774</v>
      </c>
      <c r="AK14" s="387">
        <f t="shared" si="17"/>
        <v>2334166.666666667</v>
      </c>
      <c r="AL14" s="387">
        <f t="shared" si="18"/>
        <v>320488.74136660574</v>
      </c>
      <c r="AM14" s="387">
        <f t="shared" si="9"/>
        <v>1373.032808425301</v>
      </c>
      <c r="AN14" s="696">
        <f t="shared" si="10"/>
        <v>11373.0328084253</v>
      </c>
      <c r="AO14" s="609"/>
      <c r="AP14" s="609"/>
      <c r="AQ14" s="988">
        <f>SUM(AH14-'2122 Funding Detail'!D20-'2122 Funding Detail'!E20-P14)</f>
        <v>1916704.7454610958</v>
      </c>
      <c r="AR14" s="723">
        <f t="shared" si="19"/>
        <v>8319.0906731122068</v>
      </c>
      <c r="AS14" s="723">
        <f t="shared" si="20"/>
        <v>8194.3043130155238</v>
      </c>
      <c r="AU14" s="869">
        <f t="shared" si="21"/>
        <v>-2.1909267598667075E-3</v>
      </c>
      <c r="AV14" s="869">
        <f>'202021 MFG Protection'!N117/'2021 Funding Detail'!T14</f>
        <v>0</v>
      </c>
      <c r="AW14" s="869">
        <f t="shared" si="22"/>
        <v>-2.1909267598667075E-3</v>
      </c>
      <c r="AX14" s="874"/>
    </row>
    <row r="15" spans="1:51" ht="13" x14ac:dyDescent="0.3">
      <c r="A15" s="185">
        <v>9257016</v>
      </c>
      <c r="B15" s="915" t="s">
        <v>80</v>
      </c>
      <c r="C15" s="1014" t="s">
        <v>759</v>
      </c>
      <c r="D15" s="94">
        <v>452500</v>
      </c>
      <c r="E15" s="94">
        <v>130000</v>
      </c>
      <c r="F15" s="1007"/>
      <c r="G15" s="1007"/>
      <c r="H15" s="333">
        <f>VLOOKUP(A15,'2021 Band Calculations'!$A$112:$T$129,10,FALSE)</f>
        <v>1961468.3847430935</v>
      </c>
      <c r="I15" s="333">
        <f>VLOOKUP(A15,'2021 Band Calculations'!$A$112:$T$129,17,FALSE)</f>
        <v>2582.9934210526317</v>
      </c>
      <c r="J15" s="94">
        <f>VLOOKUP(A15,'2021 FSM Calculation'!$A$4:$D$21,4,FALSE)</f>
        <v>19749.400000000001</v>
      </c>
      <c r="K15" s="1007">
        <f t="shared" si="0"/>
        <v>2566300.778164146</v>
      </c>
      <c r="L15" s="333">
        <f>K15-F15</f>
        <v>2566300.778164146</v>
      </c>
      <c r="M15" s="751">
        <f>VLOOKUP(A15,'2021 Band Calculations'!$A$112:$T$129,19,FALSE)</f>
        <v>149</v>
      </c>
      <c r="O15" s="165">
        <f>M15-(M15*'2021 Band Calculations'!J23)</f>
        <v>115.67105263157895</v>
      </c>
      <c r="P15" s="42">
        <f>'2021 Band Calculations'!AL129</f>
        <v>750326.28505825368</v>
      </c>
      <c r="Q15" s="42">
        <f t="shared" si="11"/>
        <v>10492.902636338053</v>
      </c>
      <c r="R15" s="724">
        <f t="shared" si="12"/>
        <v>1233474.4931058923</v>
      </c>
      <c r="S15" s="724">
        <f t="shared" si="13"/>
        <v>10663.64025435648</v>
      </c>
      <c r="T15" s="724">
        <f>VLOOKUP(A15,'1920 Funding Detail'!$A$4:$BB$23,43,(FALSE))</f>
        <v>10877.61404959277</v>
      </c>
      <c r="U15" s="42">
        <f t="shared" si="14"/>
        <v>-213.97379523629024</v>
      </c>
      <c r="V15" s="165">
        <f>IF(O15&gt;'1920 Funding Detail'!O15,'1920 Funding Detail'!O15,('2021 Funding Detail'!O15))</f>
        <v>101.8045343137255</v>
      </c>
      <c r="W15" s="724">
        <f>'202021 MFG Protection'!L127</f>
        <v>0</v>
      </c>
      <c r="X15" s="724">
        <f t="shared" si="2"/>
        <v>2566300.778164146</v>
      </c>
      <c r="Y15" s="42">
        <f t="shared" si="3"/>
        <v>1490000</v>
      </c>
      <c r="Z15" s="42">
        <f t="shared" si="15"/>
        <v>0</v>
      </c>
      <c r="AA15" s="1005">
        <f t="shared" si="4"/>
        <v>17223.495155464068</v>
      </c>
      <c r="AB15" s="1005">
        <f t="shared" si="5"/>
        <v>1490000</v>
      </c>
      <c r="AC15" s="1005">
        <f t="shared" si="6"/>
        <v>7223.4951554640684</v>
      </c>
      <c r="AD15" s="94">
        <f>VLOOKUP(A15,'1920 Funding Detail'!$A$4:$AK$23,25,FALSE)</f>
        <v>0</v>
      </c>
      <c r="AE15" s="1007">
        <f t="shared" si="23"/>
        <v>7223.4951554640684</v>
      </c>
      <c r="AF15" s="1007">
        <f t="shared" si="16"/>
        <v>17223.495155464068</v>
      </c>
      <c r="AG15" s="726">
        <f t="shared" si="7"/>
        <v>0</v>
      </c>
      <c r="AH15" s="727">
        <f t="shared" si="8"/>
        <v>2566300.778164146</v>
      </c>
      <c r="AI15" s="1010">
        <f>VLOOKUP(A15,'1920 Funding Detail'!$A$4:$AJ$23,30,(FALSE))</f>
        <v>8121.1908235046249</v>
      </c>
      <c r="AJ15" s="549">
        <f t="shared" si="24"/>
        <v>2558179.5873406413</v>
      </c>
      <c r="AK15" s="387">
        <f t="shared" si="17"/>
        <v>1490000</v>
      </c>
      <c r="AL15" s="387">
        <f t="shared" si="18"/>
        <v>1076300.778164146</v>
      </c>
      <c r="AM15" s="387">
        <f t="shared" si="9"/>
        <v>7223.4951554640675</v>
      </c>
      <c r="AN15" s="696">
        <f t="shared" si="10"/>
        <v>17223.495155464068</v>
      </c>
      <c r="AO15" s="609"/>
      <c r="AP15" s="609"/>
      <c r="AQ15" s="988">
        <f>SUM(AH15-'2122 Funding Detail'!D21-'2122 Funding Detail'!E21-P15)</f>
        <v>1145974.4931058923</v>
      </c>
      <c r="AR15" s="723">
        <f t="shared" si="19"/>
        <v>9907.1847885391671</v>
      </c>
      <c r="AS15" s="723">
        <f t="shared" si="20"/>
        <v>9758.5770167110786</v>
      </c>
      <c r="AU15" s="869">
        <f t="shared" si="21"/>
        <v>-1.9671022915572267E-2</v>
      </c>
      <c r="AV15" s="869">
        <f>'202021 MFG Protection'!N124/'2021 Funding Detail'!T15</f>
        <v>0</v>
      </c>
      <c r="AW15" s="869">
        <f t="shared" si="22"/>
        <v>-1.9671022915572267E-2</v>
      </c>
      <c r="AX15" s="873"/>
    </row>
    <row r="16" spans="1:51" ht="13" x14ac:dyDescent="0.3">
      <c r="A16" s="185"/>
      <c r="B16" s="38"/>
      <c r="C16" s="131"/>
      <c r="D16" s="94"/>
      <c r="E16" s="94"/>
      <c r="F16" s="1007"/>
      <c r="G16" s="1007"/>
      <c r="H16" s="333"/>
      <c r="I16" s="333"/>
      <c r="J16" s="94"/>
      <c r="K16" s="1007"/>
      <c r="L16" s="333"/>
      <c r="M16" s="751"/>
      <c r="P16" s="42"/>
      <c r="Q16" s="42"/>
      <c r="R16" s="42"/>
      <c r="S16" s="42"/>
      <c r="T16" s="80"/>
      <c r="U16" s="42"/>
      <c r="V16" s="165"/>
      <c r="W16" s="724"/>
      <c r="X16" s="42"/>
      <c r="Y16" s="42"/>
      <c r="Z16" s="42"/>
      <c r="AA16" s="1005"/>
      <c r="AB16" s="1005"/>
      <c r="AC16" s="1005"/>
      <c r="AD16" s="94"/>
      <c r="AE16" s="1007"/>
      <c r="AF16" s="1007"/>
      <c r="AG16" s="1007"/>
      <c r="AH16" s="156"/>
      <c r="AI16" s="1010"/>
      <c r="AJ16" s="549"/>
      <c r="AK16" s="387"/>
      <c r="AL16" s="387"/>
      <c r="AM16" s="387"/>
      <c r="AN16" s="696"/>
      <c r="AO16" s="609"/>
      <c r="AP16" s="61"/>
      <c r="AQ16" s="988"/>
      <c r="AR16" s="723"/>
      <c r="AS16" s="723"/>
      <c r="AU16" s="869"/>
      <c r="AV16" s="869"/>
      <c r="AW16" s="869"/>
      <c r="AX16" s="873"/>
    </row>
    <row r="17" spans="1:51" ht="13" x14ac:dyDescent="0.3">
      <c r="A17" s="185">
        <v>9257031</v>
      </c>
      <c r="B17" s="918" t="s">
        <v>422</v>
      </c>
      <c r="C17" s="861" t="s">
        <v>764</v>
      </c>
      <c r="D17" s="94">
        <v>332500</v>
      </c>
      <c r="E17" s="94">
        <v>80000</v>
      </c>
      <c r="F17" s="94">
        <v>186476</v>
      </c>
      <c r="G17" s="1007"/>
      <c r="H17" s="333">
        <f>VLOOKUP(A17,'2021 Band Calculations'!$A$112:$T$129,10,FALSE)</f>
        <v>877607.54304729425</v>
      </c>
      <c r="I17" s="333">
        <f>VLOOKUP(A17,'2021 Band Calculations'!$A$112:$T$129,17,FALSE)</f>
        <v>205310.41666666669</v>
      </c>
      <c r="J17" s="94">
        <f>VLOOKUP(A17,'2021 FSM Calculation'!$A$4:$D$21,4,FALSE)</f>
        <v>13914.35</v>
      </c>
      <c r="K17" s="1007">
        <f>SUM(D17:J17)</f>
        <v>1695808.3097139611</v>
      </c>
      <c r="L17" s="333">
        <f>K17-F17</f>
        <v>1509332.3097139611</v>
      </c>
      <c r="M17" s="751">
        <f>VLOOKUP(A17,'2021 Band Calculations'!$A$112:$T$129,19,FALSE)</f>
        <v>77.916666666666671</v>
      </c>
      <c r="O17" s="165">
        <f>M17-(M17*'2021 Band Calculations'!J11)</f>
        <v>77.916666666666671</v>
      </c>
      <c r="P17" s="42">
        <f>'2021 Band Calculations'!AL117</f>
        <v>0</v>
      </c>
      <c r="Q17" s="42">
        <f>(H17+I17-P17)/O17</f>
        <v>13898.412317184526</v>
      </c>
      <c r="R17" s="724">
        <f>L17-D17-E17-P17</f>
        <v>1096832.3097139611</v>
      </c>
      <c r="S17" s="724">
        <f t="shared" si="13"/>
        <v>14076.992210232655</v>
      </c>
      <c r="T17" s="724">
        <f>VLOOKUP(A17,'1920 Funding Detail'!$A$4:$BB$23,43,(FALSE))</f>
        <v>14527.623652186257</v>
      </c>
      <c r="U17" s="42">
        <f t="shared" si="14"/>
        <v>-450.63144195360292</v>
      </c>
      <c r="V17" s="165">
        <f>IF(O17&gt;'1920 Funding Detail'!O17,'1920 Funding Detail'!O17,('2021 Funding Detail'!O17))</f>
        <v>73.75</v>
      </c>
      <c r="W17" s="724">
        <f>'202021 MFG Protection'!L43</f>
        <v>33387.685956377958</v>
      </c>
      <c r="X17" s="724">
        <f>L17+W17</f>
        <v>1542719.9956703391</v>
      </c>
      <c r="Y17" s="42">
        <f>M17*10000</f>
        <v>779166.66666666674</v>
      </c>
      <c r="Z17" s="42">
        <f t="shared" si="15"/>
        <v>0</v>
      </c>
      <c r="AA17" s="1049">
        <f>L17/M17</f>
        <v>19371.109857291478</v>
      </c>
      <c r="AB17" s="1005">
        <f>M17*10000</f>
        <v>779166.66666666674</v>
      </c>
      <c r="AC17" s="1005">
        <f>AA17-10000</f>
        <v>9371.109857291478</v>
      </c>
      <c r="AD17" s="94">
        <f>VLOOKUP(A17,'1920 Funding Detail'!$A$4:$AK$23,25,FALSE)</f>
        <v>0</v>
      </c>
      <c r="AE17" s="1007">
        <f t="shared" si="23"/>
        <v>9371.109857291478</v>
      </c>
      <c r="AF17" s="1007">
        <f t="shared" si="16"/>
        <v>19371.109857291478</v>
      </c>
      <c r="AG17" s="726">
        <f>W17+Z17</f>
        <v>33387.685956377958</v>
      </c>
      <c r="AH17" s="727">
        <f>L17+AG17</f>
        <v>1542719.9956703391</v>
      </c>
      <c r="AI17" s="1010">
        <f>VLOOKUP(A17,'1920 Funding Detail'!$A$4:$AJ$23,30,(FALSE))</f>
        <v>9668.1296053201149</v>
      </c>
      <c r="AJ17" s="549">
        <f>AH17-AI17</f>
        <v>1533051.866065019</v>
      </c>
      <c r="AK17" s="387">
        <f>M17*10000</f>
        <v>779166.66666666674</v>
      </c>
      <c r="AL17" s="387">
        <f>AH17-AK17</f>
        <v>763553.32900367235</v>
      </c>
      <c r="AM17" s="387">
        <f>AL17/M17</f>
        <v>9799.6149176941908</v>
      </c>
      <c r="AN17" s="696">
        <f>AH17/M17</f>
        <v>19799.614917694191</v>
      </c>
      <c r="AO17" s="609"/>
      <c r="AP17" s="609"/>
      <c r="AQ17" s="988">
        <f>SUM(AH17-'2122 Funding Detail'!D9-'2122 Funding Detail'!E9-P17)</f>
        <v>1097719.9956703391</v>
      </c>
      <c r="AR17" s="723">
        <f t="shared" si="19"/>
        <v>14088.384971170126</v>
      </c>
      <c r="AS17" s="723">
        <f t="shared" si="20"/>
        <v>13877.059196602573</v>
      </c>
      <c r="AU17" s="869">
        <f>(S17-T17)/T17</f>
        <v>-3.1018936939888827E-2</v>
      </c>
      <c r="AV17" s="869">
        <f>'202021 MFG Protection'!N40/'2021 Funding Detail'!T17</f>
        <v>3.1162315096252089E-2</v>
      </c>
      <c r="AW17" s="869">
        <f t="shared" si="22"/>
        <v>1.4337815636326218E-4</v>
      </c>
      <c r="AX17" s="873"/>
    </row>
    <row r="18" spans="1:51" ht="13" x14ac:dyDescent="0.3">
      <c r="A18" s="185">
        <v>9257029</v>
      </c>
      <c r="B18" s="918" t="s">
        <v>848</v>
      </c>
      <c r="C18" s="1014" t="s">
        <v>764</v>
      </c>
      <c r="D18" s="94">
        <v>332500</v>
      </c>
      <c r="E18" s="94">
        <v>80000</v>
      </c>
      <c r="F18" s="94">
        <v>263773</v>
      </c>
      <c r="G18" s="1007"/>
      <c r="H18" s="333">
        <f>VLOOKUP(A18,'2021 Band Calculations'!$A$112:$T$129,10,FALSE)</f>
        <v>779052.6852719296</v>
      </c>
      <c r="I18" s="333">
        <f>VLOOKUP(A18,'2021 Band Calculations'!$A$112:$T$129,17,FALSE)</f>
        <v>182254.16666666669</v>
      </c>
      <c r="J18" s="94">
        <f>VLOOKUP(A18,'2021 FSM Calculation'!$A$4:$D$21,4,FALSE)</f>
        <v>8528.15</v>
      </c>
      <c r="K18" s="1007">
        <f>SUM(D18:J18)</f>
        <v>1646108.0019385961</v>
      </c>
      <c r="L18" s="333">
        <f>K18-F18</f>
        <v>1382335.0019385961</v>
      </c>
      <c r="M18" s="751">
        <f>VLOOKUP(A18,'2021 Band Calculations'!$A$112:$T$129,19,FALSE)</f>
        <v>69.166666666666671</v>
      </c>
      <c r="O18" s="165">
        <f>M18-(M18*'2021 Band Calculations'!J17)</f>
        <v>69.166666666666671</v>
      </c>
      <c r="P18" s="42">
        <f>'2021 Band Calculations'!AL123</f>
        <v>0</v>
      </c>
      <c r="Q18" s="42">
        <f>(H18+I18-P18)/O18</f>
        <v>13898.412317184522</v>
      </c>
      <c r="R18" s="724">
        <f>L18-D18-E18-P18</f>
        <v>969835.00193859614</v>
      </c>
      <c r="S18" s="724">
        <f t="shared" si="13"/>
        <v>14021.710871401388</v>
      </c>
      <c r="T18" s="724">
        <f>VLOOKUP(A18,'1920 Funding Detail'!$A$4:$BB$23,43,(FALSE))</f>
        <v>14239.174624864454</v>
      </c>
      <c r="U18" s="42">
        <f t="shared" si="14"/>
        <v>-217.46375346306559</v>
      </c>
      <c r="V18" s="165">
        <f>IF(O18&gt;'1920 Funding Detail'!O18,'1920 Funding Detail'!O18,('2021 Funding Detail'!O18))</f>
        <v>56.750000000000007</v>
      </c>
      <c r="W18" s="724">
        <f>'202021 MFG Protection'!L85</f>
        <v>16963.560960835996</v>
      </c>
      <c r="X18" s="724">
        <f>L18+W18</f>
        <v>1399298.5628994321</v>
      </c>
      <c r="Y18" s="42">
        <f>M18*10000</f>
        <v>691666.66666666674</v>
      </c>
      <c r="Z18" s="42">
        <f t="shared" si="15"/>
        <v>0</v>
      </c>
      <c r="AA18" s="1005">
        <f>L18/M18</f>
        <v>19985.566293088137</v>
      </c>
      <c r="AB18" s="1005">
        <f>M18*10000</f>
        <v>691666.66666666674</v>
      </c>
      <c r="AC18" s="1005">
        <f>AA18-10000</f>
        <v>9985.5662930881372</v>
      </c>
      <c r="AD18" s="94">
        <f>VLOOKUP(A18,'1920 Funding Detail'!$A$4:$AK$23,25,FALSE)</f>
        <v>0</v>
      </c>
      <c r="AE18" s="1007">
        <f t="shared" si="23"/>
        <v>9985.5662930881372</v>
      </c>
      <c r="AF18" s="1007">
        <f t="shared" si="16"/>
        <v>19985.566293088137</v>
      </c>
      <c r="AG18" s="726">
        <f>W18+Z18</f>
        <v>16963.560960835996</v>
      </c>
      <c r="AH18" s="727">
        <f>L18+AG18</f>
        <v>1399298.5628994321</v>
      </c>
      <c r="AI18" s="1010">
        <f>VLOOKUP(A18,'1920 Funding Detail'!$A$4:$AJ$23,30,(FALSE))</f>
        <v>11208.979718065581</v>
      </c>
      <c r="AJ18" s="549">
        <f t="shared" si="24"/>
        <v>1388089.5831813666</v>
      </c>
      <c r="AK18" s="387">
        <f>M18*10000</f>
        <v>691666.66666666674</v>
      </c>
      <c r="AL18" s="387">
        <f>AH18-AK18</f>
        <v>707631.8962327654</v>
      </c>
      <c r="AM18" s="387">
        <f>AL18/M18</f>
        <v>10230.822596136366</v>
      </c>
      <c r="AN18" s="696">
        <f>AH18/M18</f>
        <v>20230.822596136368</v>
      </c>
      <c r="AO18" s="609"/>
      <c r="AP18" s="609"/>
      <c r="AQ18" s="988">
        <f>SUM(AH18-'2122 Funding Detail'!D15-'2122 Funding Detail'!E15-P18)</f>
        <v>964298.56289943215</v>
      </c>
      <c r="AR18" s="723">
        <f t="shared" si="19"/>
        <v>13941.665969630343</v>
      </c>
      <c r="AS18" s="723">
        <f t="shared" si="20"/>
        <v>13732.540980085887</v>
      </c>
      <c r="AU18" s="869">
        <f>(S18-T18)/T18</f>
        <v>-1.5272216205799617E-2</v>
      </c>
      <c r="AV18" s="869">
        <f>'202021 MFG Protection'!N82/'2021 Funding Detail'!T18</f>
        <v>2.0992605374559766E-2</v>
      </c>
      <c r="AW18" s="869">
        <f t="shared" si="22"/>
        <v>5.7203891687601493E-3</v>
      </c>
      <c r="AX18" s="873"/>
      <c r="AY18" s="42">
        <v>0</v>
      </c>
    </row>
    <row r="19" spans="1:51" ht="13" x14ac:dyDescent="0.3">
      <c r="A19" s="185">
        <v>9257032</v>
      </c>
      <c r="B19" s="918" t="s">
        <v>770</v>
      </c>
      <c r="C19" s="861" t="s">
        <v>764</v>
      </c>
      <c r="D19" s="94">
        <v>332500</v>
      </c>
      <c r="E19" s="94">
        <v>80000</v>
      </c>
      <c r="F19" s="94">
        <v>234145</v>
      </c>
      <c r="G19" s="1007">
        <v>160701</v>
      </c>
      <c r="H19" s="333">
        <f>VLOOKUP(A19,'2021 Band Calculations'!$A$112:$T$129,10,FALSE)</f>
        <v>871975.83688870189</v>
      </c>
      <c r="I19" s="333">
        <f>VLOOKUP(A19,'2021 Band Calculations'!$A$112:$T$129,17,FALSE)</f>
        <v>203992.91666666669</v>
      </c>
      <c r="J19" s="94">
        <f>VLOOKUP(A19,'2021 FSM Calculation'!$A$4:$D$21,4,FALSE)</f>
        <v>16158.6</v>
      </c>
      <c r="K19" s="1007">
        <f>SUM(D19:J19)</f>
        <v>1899473.3535553687</v>
      </c>
      <c r="L19" s="333">
        <f>K19-F19-G19</f>
        <v>1504627.3535553687</v>
      </c>
      <c r="M19" s="751">
        <f>VLOOKUP(A19,'2021 Band Calculations'!$A$112:$T$129,19,FALSE)</f>
        <v>77.416666666666671</v>
      </c>
      <c r="O19" s="165">
        <f>M19-(M19*'2021 Band Calculations'!J18)</f>
        <v>77.416666666666671</v>
      </c>
      <c r="P19" s="42">
        <f>'2021 Band Calculations'!AL124</f>
        <v>0</v>
      </c>
      <c r="Q19" s="42">
        <f>(H19+I19-P19)/O19</f>
        <v>13898.412317184524</v>
      </c>
      <c r="R19" s="724">
        <f>L19-D19-E19-P19</f>
        <v>1092127.3535553687</v>
      </c>
      <c r="S19" s="724">
        <f t="shared" si="13"/>
        <v>14107.13481449346</v>
      </c>
      <c r="T19" s="724">
        <f>VLOOKUP(A19,'1920 Funding Detail'!$A$4:$BB$23,43,(FALSE))</f>
        <v>14617.884840609953</v>
      </c>
      <c r="U19" s="42">
        <f t="shared" si="14"/>
        <v>-510.75002611649325</v>
      </c>
      <c r="V19" s="165">
        <f>IF(O19&gt;'1920 Funding Detail'!O19,'1920 Funding Detail'!O19,('2021 Funding Detail'!O19))</f>
        <v>71.416666666666671</v>
      </c>
      <c r="W19" s="724">
        <f>SUM('202021 MFG Protection'!L92)</f>
        <v>41956.479381299068</v>
      </c>
      <c r="X19" s="724">
        <f>L19+W19</f>
        <v>1546583.8329366678</v>
      </c>
      <c r="Y19" s="42">
        <f>M19*10000</f>
        <v>774166.66666666674</v>
      </c>
      <c r="Z19" s="42">
        <f t="shared" si="15"/>
        <v>0</v>
      </c>
      <c r="AA19" s="1005">
        <f>L19/M19</f>
        <v>19435.44482525772</v>
      </c>
      <c r="AB19" s="1005">
        <f>M19*10000</f>
        <v>774166.66666666674</v>
      </c>
      <c r="AC19" s="1005">
        <f>AA19-10000</f>
        <v>9435.4448252577204</v>
      </c>
      <c r="AD19" s="94">
        <f>VLOOKUP(A19,'1920 Funding Detail'!$A$4:$AK$23,25,FALSE)</f>
        <v>0</v>
      </c>
      <c r="AE19" s="1007">
        <f t="shared" si="23"/>
        <v>9435.4448252577204</v>
      </c>
      <c r="AF19" s="1007">
        <f t="shared" si="16"/>
        <v>19435.44482525772</v>
      </c>
      <c r="AG19" s="726">
        <f>W19+Z19</f>
        <v>41956.479381299068</v>
      </c>
      <c r="AH19" s="727">
        <f>L19+AG19</f>
        <v>1546583.8329366678</v>
      </c>
      <c r="AI19" s="1010">
        <f>VLOOKUP(A19,'1920 Funding Detail'!$A$4:$AJ$23,30,(FALSE))</f>
        <v>9806.3588749441551</v>
      </c>
      <c r="AJ19" s="549">
        <f t="shared" si="24"/>
        <v>1536777.4740617238</v>
      </c>
      <c r="AK19" s="387">
        <f>M19*10000</f>
        <v>774166.66666666674</v>
      </c>
      <c r="AL19" s="387">
        <f>AH19-AK19</f>
        <v>772417.16627000109</v>
      </c>
      <c r="AM19" s="387">
        <f>AL19/M19</f>
        <v>9977.4015018729951</v>
      </c>
      <c r="AN19" s="696">
        <f>AH19/M19</f>
        <v>19977.401501872995</v>
      </c>
      <c r="AO19" s="609"/>
      <c r="AP19" s="609"/>
      <c r="AQ19" s="988">
        <f>SUM(AH19-'2122 Funding Detail'!D16-'2122 Funding Detail'!E16-P19)</f>
        <v>1111583.8329366678</v>
      </c>
      <c r="AR19" s="723">
        <f t="shared" si="19"/>
        <v>14358.456399612502</v>
      </c>
      <c r="AS19" s="723">
        <f t="shared" si="20"/>
        <v>14143.079553618314</v>
      </c>
      <c r="AU19" s="869">
        <f>(S19-T19)/T19</f>
        <v>-3.4940077287897241E-2</v>
      </c>
      <c r="AV19" s="869">
        <f>'202021 MFG Protection'!N89/'2021 Funding Detail'!T19</f>
        <v>4.0189715031623635E-2</v>
      </c>
      <c r="AW19" s="869">
        <f t="shared" si="22"/>
        <v>5.2496377437263944E-3</v>
      </c>
      <c r="AX19" s="873"/>
      <c r="AY19" s="42">
        <v>0</v>
      </c>
    </row>
    <row r="20" spans="1:51" ht="13" x14ac:dyDescent="0.3">
      <c r="A20" s="185">
        <v>9257030</v>
      </c>
      <c r="B20" s="918" t="s">
        <v>771</v>
      </c>
      <c r="C20" s="861" t="s">
        <v>764</v>
      </c>
      <c r="D20" s="94">
        <v>332500</v>
      </c>
      <c r="E20" s="94">
        <v>80000</v>
      </c>
      <c r="F20" s="94">
        <v>287504</v>
      </c>
      <c r="G20" s="1007"/>
      <c r="H20" s="333">
        <f>VLOOKUP(A20,'2021 Band Calculations'!$A$112:$T$129,10,FALSE)</f>
        <v>840062.83532334573</v>
      </c>
      <c r="I20" s="333">
        <f>VLOOKUP(A20,'2021 Band Calculations'!$A$112:$T$129,17,FALSE)</f>
        <v>196527.08333333337</v>
      </c>
      <c r="J20" s="94">
        <f>VLOOKUP(A20,'2021 FSM Calculation'!$A$4:$D$21,4,FALSE)</f>
        <v>8977</v>
      </c>
      <c r="K20" s="1007">
        <f>SUM(D20:J20)</f>
        <v>1745570.9186566793</v>
      </c>
      <c r="L20" s="333">
        <f>K20-F20</f>
        <v>1458066.9186566793</v>
      </c>
      <c r="M20" s="751">
        <f>VLOOKUP(A20,'2021 Band Calculations'!$A$112:$T$129,19,FALSE)</f>
        <v>74.583333333333343</v>
      </c>
      <c r="O20" s="165">
        <f>M20-(M20*'2021 Band Calculations'!J19)</f>
        <v>74.583333333333343</v>
      </c>
      <c r="P20" s="42">
        <f>'2021 Band Calculations'!AL125</f>
        <v>0</v>
      </c>
      <c r="Q20" s="42">
        <f>(H20+I20-P20)/O20</f>
        <v>13898.412317184522</v>
      </c>
      <c r="R20" s="724">
        <f>L20-D20-E20-P20</f>
        <v>1045566.9186566793</v>
      </c>
      <c r="S20" s="724">
        <f t="shared" si="13"/>
        <v>14018.774328357709</v>
      </c>
      <c r="T20" s="724">
        <f>VLOOKUP(A20,'1920 Funding Detail'!$A$4:$BB$23,43,(FALSE))</f>
        <v>14668.774640558368</v>
      </c>
      <c r="U20" s="42">
        <f t="shared" si="14"/>
        <v>-650.0003122006583</v>
      </c>
      <c r="V20" s="165">
        <f>IF(O20&gt;'1920 Funding Detail'!O20,'1920 Funding Detail'!O20,('2021 Funding Detail'!O20))</f>
        <v>72.333333333333343</v>
      </c>
      <c r="W20" s="724">
        <f>'202021 MFG Protection'!L99</f>
        <v>48541.274724041381</v>
      </c>
      <c r="X20" s="724">
        <f>L20+W20</f>
        <v>1506608.1933807207</v>
      </c>
      <c r="Y20" s="42">
        <f>M20*10000</f>
        <v>745833.33333333337</v>
      </c>
      <c r="Z20" s="42">
        <f t="shared" si="15"/>
        <v>0</v>
      </c>
      <c r="AA20" s="1005">
        <f>L20/M20</f>
        <v>19549.500585340949</v>
      </c>
      <c r="AB20" s="1005">
        <f>M20*10000</f>
        <v>745833.33333333337</v>
      </c>
      <c r="AC20" s="1005">
        <f>AA20-10000</f>
        <v>9549.5005853409493</v>
      </c>
      <c r="AD20" s="94">
        <f>VLOOKUP(A20,'1920 Funding Detail'!$A$4:$AK$23,25,FALSE)</f>
        <v>0</v>
      </c>
      <c r="AE20" s="1007">
        <f t="shared" si="23"/>
        <v>9549.5005853409493</v>
      </c>
      <c r="AF20" s="1007">
        <f t="shared" si="16"/>
        <v>19549.500585340949</v>
      </c>
      <c r="AG20" s="726">
        <f>W20+Z20</f>
        <v>48541.274724041381</v>
      </c>
      <c r="AH20" s="727">
        <f>L20+AG20</f>
        <v>1506608.1933807207</v>
      </c>
      <c r="AI20" s="1010">
        <f>VLOOKUP(A20,'1920 Funding Detail'!$A$4:$AJ$23,30,(FALSE))</f>
        <v>9700.4620867697777</v>
      </c>
      <c r="AJ20" s="549">
        <f t="shared" si="24"/>
        <v>1496907.7312939509</v>
      </c>
      <c r="AK20" s="387">
        <f>M20*10000</f>
        <v>745833.33333333337</v>
      </c>
      <c r="AL20" s="387">
        <f>AH20-AK20</f>
        <v>760774.86004738731</v>
      </c>
      <c r="AM20" s="387">
        <f>AL20/M20</f>
        <v>10200.333319071113</v>
      </c>
      <c r="AN20" s="696">
        <f>AH20/M20</f>
        <v>20200.333319071113</v>
      </c>
      <c r="AO20" s="609"/>
      <c r="AP20" s="609"/>
      <c r="AQ20" s="988">
        <f>SUM(AH20-'2122 Funding Detail'!D17-'2122 Funding Detail'!E17-P20)</f>
        <v>1071608.1933807207</v>
      </c>
      <c r="AR20" s="723">
        <f t="shared" si="19"/>
        <v>14367.931084434242</v>
      </c>
      <c r="AS20" s="723">
        <f t="shared" si="20"/>
        <v>14152.412118167727</v>
      </c>
      <c r="AU20" s="869">
        <f>(S20-T20)/T20</f>
        <v>-4.43118343643676E-2</v>
      </c>
      <c r="AV20" s="869">
        <f>'202021 MFG Protection'!N96/'2021 Funding Detail'!T20</f>
        <v>4.5748710931288204E-2</v>
      </c>
      <c r="AW20" s="869">
        <f t="shared" si="22"/>
        <v>1.4368765669206043E-3</v>
      </c>
      <c r="AX20" s="873"/>
    </row>
    <row r="21" spans="1:51" ht="13" x14ac:dyDescent="0.3">
      <c r="A21" s="185"/>
      <c r="B21" s="918"/>
      <c r="C21" s="131"/>
      <c r="D21" s="94"/>
      <c r="E21" s="94"/>
      <c r="F21" s="1007"/>
      <c r="G21" s="1007"/>
      <c r="H21" s="333"/>
      <c r="I21" s="333"/>
      <c r="J21" s="94"/>
      <c r="K21" s="1007"/>
      <c r="L21" s="333"/>
      <c r="M21" s="751"/>
      <c r="P21" s="42"/>
      <c r="Q21" s="42"/>
      <c r="R21" s="42"/>
      <c r="S21" s="42"/>
      <c r="T21" s="80"/>
      <c r="U21" s="42"/>
      <c r="V21" s="165"/>
      <c r="W21" s="724"/>
      <c r="X21" s="42"/>
      <c r="Y21" s="42"/>
      <c r="Z21" s="42"/>
      <c r="AA21" s="1005"/>
      <c r="AB21" s="1005"/>
      <c r="AC21" s="1005"/>
      <c r="AD21" s="94"/>
      <c r="AE21" s="1007"/>
      <c r="AF21" s="1007"/>
      <c r="AG21" s="1007"/>
      <c r="AH21" s="156"/>
      <c r="AI21" s="1010"/>
      <c r="AJ21" s="549"/>
      <c r="AK21" s="387"/>
      <c r="AL21" s="387"/>
      <c r="AM21" s="387"/>
      <c r="AN21" s="696"/>
      <c r="AO21" s="609"/>
      <c r="AP21" s="61"/>
      <c r="AQ21" s="988"/>
      <c r="AR21" s="723"/>
      <c r="AS21" s="723"/>
      <c r="AU21" s="869"/>
      <c r="AV21" s="869"/>
      <c r="AW21" s="869"/>
      <c r="AX21" s="873"/>
    </row>
    <row r="22" spans="1:51" ht="13" x14ac:dyDescent="0.3">
      <c r="A22" s="185">
        <v>9257033</v>
      </c>
      <c r="B22" s="915" t="s">
        <v>768</v>
      </c>
      <c r="C22" s="1014" t="s">
        <v>750</v>
      </c>
      <c r="D22" s="94">
        <v>340000</v>
      </c>
      <c r="E22" s="94">
        <v>105000</v>
      </c>
      <c r="F22" s="1007"/>
      <c r="G22" s="1007"/>
      <c r="H22" s="333">
        <f>VLOOKUP(A22,'2021 Band Calculations'!$A$112:$T$129,10,FALSE)</f>
        <v>866078.96842602338</v>
      </c>
      <c r="I22" s="333">
        <f>VLOOKUP(A22,'2021 Band Calculations'!$A$112:$T$129,17,FALSE)</f>
        <v>31841.894736842107</v>
      </c>
      <c r="J22" s="94">
        <f>VLOOKUP(A22,'2021 FSM Calculation'!$A$4:$D$21,4,FALSE)</f>
        <v>20647.100000000002</v>
      </c>
      <c r="K22" s="1007">
        <f>SUM(D22:J22)</f>
        <v>1363567.9631628655</v>
      </c>
      <c r="L22" s="333">
        <f>K22-F22</f>
        <v>1363567.9631628655</v>
      </c>
      <c r="M22" s="751">
        <f>VLOOKUP(A22,'2021 Band Calculations'!$A$112:$T$129,19,FALSE)</f>
        <v>95.666666666666686</v>
      </c>
      <c r="O22" s="165">
        <f>M22-(M22*'2021 Band Calculations'!J12)</f>
        <v>95.666666666666686</v>
      </c>
      <c r="P22" s="42">
        <f>'2021 Band Calculations'!AL118</f>
        <v>0</v>
      </c>
      <c r="Q22" s="42">
        <f>(H22+I22-P22)/O22</f>
        <v>9385.9323675560845</v>
      </c>
      <c r="R22" s="724">
        <f>L22-D22-E22-P22</f>
        <v>918567.96316286549</v>
      </c>
      <c r="S22" s="724">
        <f t="shared" si="13"/>
        <v>9601.7557125038184</v>
      </c>
      <c r="T22" s="724">
        <f>VLOOKUP(A22,'1920 Funding Detail'!$A$4:$BB$23,43,(FALSE))</f>
        <v>10529.73723942477</v>
      </c>
      <c r="U22" s="42">
        <f t="shared" si="14"/>
        <v>-927.98152692095209</v>
      </c>
      <c r="V22" s="165">
        <f>IF(O22&gt;'1920 Funding Detail'!O22,'1920 Funding Detail'!O22,('2021 Funding Detail'!O22))</f>
        <v>91.833333333333343</v>
      </c>
      <c r="W22" s="724">
        <f>'202021 MFG Protection'!L50</f>
        <v>0</v>
      </c>
      <c r="X22" s="724">
        <f>L22+W22</f>
        <v>1363567.9631628655</v>
      </c>
      <c r="Y22" s="42">
        <f>M22*10000</f>
        <v>956666.66666666686</v>
      </c>
      <c r="Z22" s="42">
        <f t="shared" si="15"/>
        <v>0</v>
      </c>
      <c r="AA22" s="1005">
        <f>L22/M22</f>
        <v>14253.323656754688</v>
      </c>
      <c r="AB22" s="1005">
        <f>M22*10000</f>
        <v>956666.66666666686</v>
      </c>
      <c r="AC22" s="1005">
        <f>AA22-10000</f>
        <v>4253.3236567546883</v>
      </c>
      <c r="AD22" s="94">
        <f>VLOOKUP(A22,'1920 Funding Detail'!$A$4:$AK$23,25,FALSE)</f>
        <v>0</v>
      </c>
      <c r="AE22" s="1007">
        <f t="shared" si="23"/>
        <v>4253.3236567546883</v>
      </c>
      <c r="AF22" s="1007">
        <f t="shared" si="16"/>
        <v>14253.323656754688</v>
      </c>
      <c r="AG22" s="726">
        <f>W22+Z22</f>
        <v>0</v>
      </c>
      <c r="AH22" s="727">
        <f>L22+AG22</f>
        <v>1363567.9631628655</v>
      </c>
      <c r="AI22" s="1010">
        <f>VLOOKUP(A22,'1920 Funding Detail'!$A$4:$AJ$23,30,(FALSE))</f>
        <v>5375.4722666480011</v>
      </c>
      <c r="AJ22" s="549">
        <f t="shared" si="24"/>
        <v>1358192.4908962175</v>
      </c>
      <c r="AK22" s="387">
        <f>M22*10000</f>
        <v>956666.66666666686</v>
      </c>
      <c r="AL22" s="387">
        <f>AH22-AK22</f>
        <v>406901.29649619863</v>
      </c>
      <c r="AM22" s="387">
        <f>AL22/M22</f>
        <v>4253.3236567546883</v>
      </c>
      <c r="AN22" s="696">
        <f>AH22/M22</f>
        <v>14253.323656754688</v>
      </c>
      <c r="AO22" s="609"/>
      <c r="AP22" s="609"/>
      <c r="AQ22" s="988">
        <f>SUM(AH22-'2122 Funding Detail'!D10-'2122 Funding Detail'!E10-P22)</f>
        <v>893567.96316286549</v>
      </c>
      <c r="AR22" s="723">
        <f t="shared" si="19"/>
        <v>9340.4316706919726</v>
      </c>
      <c r="AS22" s="723">
        <f t="shared" si="20"/>
        <v>9200.3251956315926</v>
      </c>
      <c r="AU22" s="869">
        <f>(S22-T22)/T22</f>
        <v>-8.8129599611133966E-2</v>
      </c>
      <c r="AV22" s="869">
        <f>'202021 MFG Protection'!N47/'2021 Funding Detail'!T22</f>
        <v>0</v>
      </c>
      <c r="AW22" s="869">
        <f t="shared" si="22"/>
        <v>-8.8129599611133966E-2</v>
      </c>
      <c r="AX22" s="873"/>
    </row>
    <row r="23" spans="1:51" ht="13" x14ac:dyDescent="0.3">
      <c r="A23" s="185">
        <v>9257034</v>
      </c>
      <c r="B23" s="915" t="s">
        <v>769</v>
      </c>
      <c r="C23" s="861" t="s">
        <v>756</v>
      </c>
      <c r="D23" s="94">
        <v>362500</v>
      </c>
      <c r="E23" s="94">
        <v>110000</v>
      </c>
      <c r="F23" s="1007"/>
      <c r="G23" s="1007"/>
      <c r="H23" s="333">
        <f>VLOOKUP(A23,'2021 Band Calculations'!$A$112:$T$129,10,FALSE)</f>
        <v>1033481.2215414048</v>
      </c>
      <c r="I23" s="333">
        <f>VLOOKUP(A23,'2021 Band Calculations'!$A$112:$T$129,17,FALSE)</f>
        <v>51130.684250764534</v>
      </c>
      <c r="J23" s="94">
        <f>VLOOKUP(A23,'2021 FSM Calculation'!$A$4:$D$21,4,FALSE)</f>
        <v>20647.100000000002</v>
      </c>
      <c r="K23" s="1007">
        <f>SUM(D23:J23)</f>
        <v>1577759.0057921694</v>
      </c>
      <c r="L23" s="333">
        <f>K23-F23</f>
        <v>1577759.0057921694</v>
      </c>
      <c r="M23" s="751">
        <f>VLOOKUP(A23,'2021 Band Calculations'!$A$112:$T$129,19,FALSE)</f>
        <v>124.41666666666666</v>
      </c>
      <c r="O23" s="165">
        <f>M23-(M23*'2021 Band Calculations'!J14)</f>
        <v>123.27522935779815</v>
      </c>
      <c r="P23" s="42">
        <f>'2021 Band Calculations'!AL120</f>
        <v>25696.893637921319</v>
      </c>
      <c r="Q23" s="42">
        <f>(H23+I23-P23)/O23</f>
        <v>8589.844185816255</v>
      </c>
      <c r="R23" s="724">
        <f>L23-D23-E23-P23</f>
        <v>1079562.1121542479</v>
      </c>
      <c r="S23" s="724">
        <f t="shared" si="13"/>
        <v>8757.3320104795002</v>
      </c>
      <c r="T23" s="724">
        <f>VLOOKUP(A23,'1920 Funding Detail'!$A$4:$BB$23,43,(FALSE))</f>
        <v>9396.4808673523366</v>
      </c>
      <c r="U23" s="42">
        <f t="shared" si="14"/>
        <v>-639.1488568728364</v>
      </c>
      <c r="V23" s="165">
        <f>IF(O23&gt;'1920 Funding Detail'!O23,'1920 Funding Detail'!O23,('2021 Funding Detail'!O23))</f>
        <v>115.54241071428572</v>
      </c>
      <c r="W23" s="724">
        <f>'202021 MFG Protection'!L64</f>
        <v>73835.549941176447</v>
      </c>
      <c r="X23" s="724">
        <f>L23+W23</f>
        <v>1651594.5557333459</v>
      </c>
      <c r="Y23" s="42">
        <f>M23*10000</f>
        <v>1244166.6666666665</v>
      </c>
      <c r="Z23" s="42">
        <f t="shared" si="15"/>
        <v>0</v>
      </c>
      <c r="AA23" s="1005">
        <f>L23/M23</f>
        <v>12681.251218691248</v>
      </c>
      <c r="AB23" s="1005">
        <f>M23*10000</f>
        <v>1244166.6666666665</v>
      </c>
      <c r="AC23" s="1005">
        <f>AA23-10000</f>
        <v>2681.2512186912481</v>
      </c>
      <c r="AD23" s="94">
        <f>VLOOKUP(A23,'1920 Funding Detail'!$A$4:$AK$23,25,FALSE)</f>
        <v>0</v>
      </c>
      <c r="AE23" s="1007">
        <f t="shared" si="23"/>
        <v>2681.2512186912481</v>
      </c>
      <c r="AF23" s="1007">
        <f t="shared" si="16"/>
        <v>12681.251218691248</v>
      </c>
      <c r="AG23" s="726">
        <f>W23+Z23</f>
        <v>73835.549941176447</v>
      </c>
      <c r="AH23" s="727">
        <f>L23+AG23</f>
        <v>1651594.5557333459</v>
      </c>
      <c r="AI23" s="1010">
        <f>VLOOKUP(A23,'1920 Funding Detail'!$A$4:$AJ$23,30,(FALSE))</f>
        <v>2925.3100658510721</v>
      </c>
      <c r="AJ23" s="549">
        <f t="shared" si="24"/>
        <v>1648669.2456674948</v>
      </c>
      <c r="AK23" s="387">
        <f>M23*10000</f>
        <v>1244166.6666666665</v>
      </c>
      <c r="AL23" s="387">
        <f>AH23-AK23</f>
        <v>407427.8890666794</v>
      </c>
      <c r="AM23" s="387">
        <f>AL23/M23</f>
        <v>3274.7050695245503</v>
      </c>
      <c r="AN23" s="696">
        <f>AH23/M23</f>
        <v>13274.705069524549</v>
      </c>
      <c r="AO23" s="609"/>
      <c r="AP23" s="609"/>
      <c r="AQ23" s="988">
        <f>SUM(AH23-'2122 Funding Detail'!D12-'2122 Funding Detail'!E12-P23)</f>
        <v>1120897.6620954245</v>
      </c>
      <c r="AR23" s="723">
        <f t="shared" si="19"/>
        <v>9092.643087623821</v>
      </c>
      <c r="AS23" s="723">
        <f t="shared" si="20"/>
        <v>8956.2534413094636</v>
      </c>
      <c r="AU23" s="869">
        <f>(S23-T23)/T23</f>
        <v>-6.8020024293725889E-2</v>
      </c>
      <c r="AV23" s="869">
        <f>'202021 MFG Protection'!N61/'2021 Funding Detail'!T23</f>
        <v>6.8850417727758809E-2</v>
      </c>
      <c r="AW23" s="869">
        <f t="shared" si="22"/>
        <v>8.3039343403291943E-4</v>
      </c>
      <c r="AX23" s="873"/>
    </row>
    <row r="24" spans="1:51" x14ac:dyDescent="0.25">
      <c r="A24" s="69"/>
      <c r="B24" s="50"/>
      <c r="C24" s="61"/>
      <c r="D24" s="42"/>
      <c r="E24" s="42"/>
      <c r="F24" s="42"/>
      <c r="G24" s="42"/>
      <c r="H24" s="42"/>
      <c r="I24" s="42"/>
      <c r="J24" s="80"/>
      <c r="AI24" s="1002"/>
      <c r="AJ24" s="1002"/>
    </row>
    <row r="25" spans="1:51" ht="13.5" customHeight="1" thickBot="1" x14ac:dyDescent="0.3">
      <c r="A25" s="69"/>
      <c r="C25" s="40"/>
      <c r="D25" s="136">
        <f t="shared" ref="D25:K25" si="25">SUM(D4:D23)</f>
        <v>6540000</v>
      </c>
      <c r="E25" s="136">
        <f t="shared" si="25"/>
        <v>1890000</v>
      </c>
      <c r="F25" s="136">
        <f t="shared" si="25"/>
        <v>971898</v>
      </c>
      <c r="G25" s="136">
        <f t="shared" si="25"/>
        <v>160701</v>
      </c>
      <c r="H25" s="136">
        <f t="shared" si="25"/>
        <v>19119318.520312712</v>
      </c>
      <c r="I25" s="136">
        <f t="shared" si="25"/>
        <v>1102508.3210836095</v>
      </c>
      <c r="J25" s="136">
        <f t="shared" si="25"/>
        <v>273798.5</v>
      </c>
      <c r="K25" s="136">
        <f t="shared" si="25"/>
        <v>30058224.341396321</v>
      </c>
      <c r="L25" s="136">
        <f>SUM(L4:L23)</f>
        <v>28925625.341396321</v>
      </c>
      <c r="M25" s="166">
        <f>SUM(M4:M23)</f>
        <v>1896.0833333333337</v>
      </c>
      <c r="N25" s="52"/>
      <c r="O25" s="995"/>
      <c r="P25" s="995"/>
      <c r="Q25" s="52"/>
      <c r="R25" s="52"/>
      <c r="S25" s="52"/>
      <c r="T25" s="52"/>
      <c r="U25" s="52"/>
      <c r="V25" s="52"/>
      <c r="W25" s="70">
        <f>SUM(W4:W23)</f>
        <v>408593.27346645913</v>
      </c>
      <c r="X25" s="70">
        <f>SUM(X4:X23)</f>
        <v>29334218.614862774</v>
      </c>
      <c r="Y25" s="73"/>
      <c r="Z25" s="52"/>
      <c r="AB25" s="73"/>
      <c r="AC25" s="75"/>
      <c r="AD25" s="52"/>
      <c r="AE25" s="52"/>
      <c r="AF25" s="995"/>
      <c r="AG25" s="136">
        <f>SUM(AG4:AG23)</f>
        <v>408593.27346645913</v>
      </c>
      <c r="AH25" s="136">
        <f>SUM(AH4:AH23)</f>
        <v>29334218.614862774</v>
      </c>
      <c r="AI25" s="128"/>
      <c r="AJ25" s="128"/>
      <c r="AK25" s="136">
        <f>SUM(AK4:AK23)</f>
        <v>18960833.333333336</v>
      </c>
      <c r="AL25" s="136">
        <f>SUM(AL4:AL23)</f>
        <v>10373385.281529445</v>
      </c>
      <c r="AM25" s="128"/>
      <c r="AN25" s="128"/>
    </row>
    <row r="26" spans="1:51" x14ac:dyDescent="0.25">
      <c r="A26" s="69"/>
      <c r="B26" s="40"/>
      <c r="C26" s="40"/>
      <c r="D26" s="79"/>
      <c r="E26" s="79"/>
      <c r="F26" s="79"/>
      <c r="G26" s="79"/>
      <c r="H26" s="40"/>
      <c r="I26" s="40"/>
      <c r="K26" s="79"/>
      <c r="L26" s="124"/>
      <c r="M26" s="126"/>
      <c r="N26" s="52"/>
      <c r="O26" s="995"/>
      <c r="P26" s="995"/>
      <c r="Q26" s="52"/>
      <c r="R26" s="52"/>
      <c r="S26" s="52"/>
      <c r="T26" s="52"/>
      <c r="U26" s="52"/>
      <c r="V26" s="52"/>
      <c r="W26" s="52"/>
      <c r="X26" s="52"/>
      <c r="Y26" s="52"/>
      <c r="Z26" s="52"/>
      <c r="AB26" s="73"/>
      <c r="AC26" s="75"/>
      <c r="AD26" s="52"/>
      <c r="AE26" s="52"/>
      <c r="AF26" s="995"/>
      <c r="AY26" s="923" t="s">
        <v>908</v>
      </c>
    </row>
    <row r="27" spans="1:51" x14ac:dyDescent="0.25">
      <c r="B27" s="996"/>
      <c r="C27" s="996"/>
      <c r="D27" s="42"/>
      <c r="E27" s="42"/>
      <c r="F27" s="42"/>
      <c r="G27" s="42"/>
      <c r="H27" s="42"/>
      <c r="I27" s="42"/>
      <c r="J27" s="42"/>
      <c r="K27" s="42"/>
      <c r="L27" s="42"/>
      <c r="M27" s="165"/>
      <c r="AD27" s="996"/>
      <c r="AE27" s="996"/>
      <c r="AG27" s="1021" t="s">
        <v>952</v>
      </c>
      <c r="AH27" s="42">
        <f>SUM('1920 Funding Detail'!AG25)</f>
        <v>28779099.21874008</v>
      </c>
      <c r="AI27" s="1002"/>
      <c r="AL27" s="42"/>
      <c r="AM27" s="1002"/>
    </row>
    <row r="28" spans="1:51" x14ac:dyDescent="0.25">
      <c r="B28" s="996"/>
      <c r="D28" s="42"/>
      <c r="M28" s="165"/>
      <c r="AC28" s="79"/>
      <c r="AD28" s="79"/>
      <c r="AE28" s="40"/>
      <c r="AG28" s="1002"/>
      <c r="AH28" s="42"/>
      <c r="AI28" s="42"/>
      <c r="AK28" s="42"/>
    </row>
    <row r="29" spans="1:51" x14ac:dyDescent="0.25">
      <c r="B29" s="996"/>
      <c r="D29" s="42"/>
      <c r="M29" s="165"/>
      <c r="AC29" s="79"/>
      <c r="AD29" s="79"/>
      <c r="AE29" s="40"/>
      <c r="AG29" s="1001" t="s">
        <v>953</v>
      </c>
      <c r="AH29" s="73">
        <f>AH25-AH27</f>
        <v>555119.39612269402</v>
      </c>
      <c r="AI29" s="73"/>
      <c r="AJ29" s="42"/>
      <c r="AK29" s="73"/>
    </row>
    <row r="30" spans="1:51" x14ac:dyDescent="0.25">
      <c r="B30" s="559"/>
      <c r="C30" s="52"/>
      <c r="D30" s="73"/>
      <c r="E30" s="73"/>
      <c r="F30" s="73"/>
      <c r="G30" s="73"/>
      <c r="H30" s="73"/>
      <c r="I30" s="73"/>
      <c r="J30" s="128"/>
      <c r="K30" s="73"/>
      <c r="L30" s="995"/>
      <c r="M30" s="995"/>
      <c r="N30" s="52"/>
      <c r="O30" s="995"/>
      <c r="P30" s="995"/>
      <c r="Q30" s="52"/>
      <c r="R30" s="52"/>
      <c r="S30" s="52"/>
      <c r="AG30" s="73"/>
      <c r="AH30" s="73"/>
      <c r="AI30" s="851"/>
      <c r="AJ30" s="73"/>
      <c r="AK30" s="73"/>
      <c r="AL30" s="42"/>
      <c r="AM30" s="42"/>
      <c r="AN30" s="42"/>
    </row>
    <row r="31" spans="1:51" x14ac:dyDescent="0.25">
      <c r="B31" s="995"/>
      <c r="C31" s="52"/>
      <c r="D31" s="1886"/>
      <c r="E31" s="1886"/>
      <c r="F31" s="995"/>
      <c r="G31" s="995"/>
      <c r="H31" s="47"/>
      <c r="I31" s="385"/>
      <c r="J31" s="50"/>
      <c r="K31" s="995"/>
      <c r="L31" s="52"/>
      <c r="M31" s="995"/>
      <c r="N31" s="52"/>
      <c r="O31" s="995"/>
      <c r="P31" s="995"/>
      <c r="Q31" s="52"/>
      <c r="R31" s="52"/>
      <c r="S31" s="52"/>
      <c r="AG31" s="995"/>
      <c r="AH31" s="73">
        <v>29334218.614862774</v>
      </c>
      <c r="AI31" s="73"/>
      <c r="AJ31" s="995"/>
      <c r="AK31" s="995"/>
    </row>
    <row r="32" spans="1:51" x14ac:dyDescent="0.25">
      <c r="B32" s="1001"/>
      <c r="C32" s="52"/>
      <c r="D32" s="802"/>
      <c r="E32" s="802"/>
      <c r="F32" s="802"/>
      <c r="G32" s="802"/>
      <c r="H32" s="802"/>
      <c r="I32" s="802"/>
      <c r="J32" s="803"/>
      <c r="K32" s="802"/>
      <c r="L32" s="802"/>
      <c r="M32" s="802"/>
      <c r="N32" s="802"/>
      <c r="O32" s="802"/>
      <c r="P32" s="802"/>
      <c r="Q32" s="802"/>
      <c r="R32" s="802"/>
      <c r="S32" s="802"/>
      <c r="T32" s="627"/>
      <c r="U32" s="627"/>
      <c r="V32" s="627"/>
      <c r="W32" s="627"/>
      <c r="X32" s="627"/>
      <c r="Y32" s="627"/>
      <c r="Z32" s="627"/>
      <c r="AA32" s="627"/>
      <c r="AB32" s="627"/>
      <c r="AC32" s="627"/>
      <c r="AD32" s="627"/>
      <c r="AE32" s="627"/>
      <c r="AF32" s="627"/>
      <c r="AG32" s="802"/>
      <c r="AH32" s="128"/>
      <c r="AI32" s="549"/>
      <c r="AJ32" s="802"/>
      <c r="AK32" s="633"/>
      <c r="AL32" s="627"/>
      <c r="AM32" s="627"/>
      <c r="AN32" s="627"/>
    </row>
    <row r="33" spans="2:40" x14ac:dyDescent="0.25">
      <c r="B33" s="52"/>
      <c r="C33" s="52"/>
      <c r="D33" s="995"/>
      <c r="E33" s="995"/>
      <c r="F33" s="995"/>
      <c r="G33" s="995"/>
      <c r="H33" s="52"/>
      <c r="I33" s="52"/>
      <c r="J33" s="50"/>
      <c r="K33" s="995"/>
      <c r="L33" s="52"/>
      <c r="M33" s="995"/>
      <c r="N33" s="52"/>
      <c r="O33" s="995"/>
      <c r="P33" s="995"/>
      <c r="Q33" s="52"/>
      <c r="R33" s="52"/>
      <c r="S33" s="52"/>
      <c r="AG33" s="995"/>
      <c r="AH33" s="73"/>
      <c r="AI33" s="73"/>
      <c r="AJ33" s="995"/>
      <c r="AK33" s="995"/>
    </row>
    <row r="34" spans="2:40" x14ac:dyDescent="0.25">
      <c r="B34" s="52"/>
      <c r="C34" s="52"/>
      <c r="D34" s="995"/>
      <c r="E34" s="995"/>
      <c r="F34" s="995"/>
      <c r="G34" s="995"/>
      <c r="H34" s="52"/>
      <c r="I34" s="52"/>
      <c r="J34" s="50"/>
      <c r="K34" s="995"/>
      <c r="L34" s="52"/>
      <c r="M34" s="995"/>
      <c r="N34" s="52"/>
      <c r="O34" s="995"/>
      <c r="P34" s="995"/>
      <c r="Q34" s="52"/>
      <c r="R34" s="52"/>
      <c r="S34" s="52"/>
      <c r="AG34" s="995"/>
      <c r="AH34" s="73"/>
      <c r="AI34" s="73"/>
      <c r="AJ34" s="995"/>
      <c r="AK34" s="995"/>
    </row>
    <row r="35" spans="2:40" x14ac:dyDescent="0.25">
      <c r="B35" s="52"/>
      <c r="C35" s="52"/>
      <c r="D35" s="995"/>
      <c r="E35" s="995"/>
      <c r="F35" s="995"/>
      <c r="G35" s="995"/>
      <c r="H35" s="52"/>
      <c r="I35" s="52"/>
      <c r="J35" s="50"/>
      <c r="K35" s="995"/>
      <c r="L35" s="52"/>
      <c r="M35" s="995"/>
      <c r="N35" s="52"/>
      <c r="O35" s="995"/>
      <c r="P35" s="995"/>
      <c r="Q35" s="52"/>
      <c r="R35" s="52"/>
      <c r="S35" s="52"/>
      <c r="AG35" s="995"/>
      <c r="AH35" s="73"/>
      <c r="AI35" s="73"/>
      <c r="AJ35" s="995"/>
      <c r="AK35" s="995"/>
    </row>
    <row r="36" spans="2:40" x14ac:dyDescent="0.25">
      <c r="B36" s="52"/>
      <c r="C36" s="52"/>
      <c r="D36" s="995"/>
      <c r="E36" s="995"/>
      <c r="F36" s="995"/>
      <c r="G36" s="995"/>
      <c r="H36" s="633"/>
      <c r="I36" s="805"/>
      <c r="J36" s="50"/>
      <c r="K36" s="995"/>
      <c r="L36" s="52"/>
      <c r="M36" s="995"/>
      <c r="N36" s="52"/>
      <c r="O36" s="995"/>
      <c r="P36" s="995"/>
      <c r="Q36" s="52"/>
      <c r="R36" s="52"/>
      <c r="S36" s="52"/>
      <c r="AG36" s="995"/>
      <c r="AH36" s="73"/>
      <c r="AI36" s="73"/>
      <c r="AJ36" s="995"/>
      <c r="AK36" s="995"/>
    </row>
    <row r="37" spans="2:40" x14ac:dyDescent="0.25">
      <c r="B37" s="52"/>
      <c r="C37" s="52"/>
      <c r="D37" s="995"/>
      <c r="E37" s="995"/>
      <c r="F37" s="995"/>
      <c r="G37" s="995"/>
      <c r="H37" s="805"/>
      <c r="I37" s="805"/>
      <c r="J37" s="50"/>
      <c r="K37" s="995"/>
      <c r="L37" s="52"/>
      <c r="M37" s="995"/>
      <c r="N37" s="52"/>
      <c r="O37" s="995"/>
      <c r="P37" s="995"/>
      <c r="Q37" s="52"/>
      <c r="R37" s="52"/>
      <c r="S37" s="52"/>
    </row>
    <row r="38" spans="2:40" x14ac:dyDescent="0.25">
      <c r="B38" s="52"/>
      <c r="C38" s="52"/>
      <c r="D38" s="995"/>
      <c r="E38" s="995"/>
      <c r="F38" s="995"/>
      <c r="G38" s="995"/>
      <c r="H38" s="806"/>
      <c r="I38" s="805"/>
      <c r="J38" s="50"/>
      <c r="K38" s="995"/>
      <c r="L38" s="52"/>
      <c r="M38" s="995"/>
      <c r="N38" s="52"/>
      <c r="O38" s="995"/>
      <c r="P38" s="995"/>
      <c r="Q38" s="52"/>
      <c r="R38" s="52"/>
      <c r="S38" s="52"/>
    </row>
    <row r="39" spans="2:40" x14ac:dyDescent="0.25">
      <c r="B39" s="52"/>
      <c r="C39" s="52"/>
      <c r="D39" s="995"/>
      <c r="E39" s="995"/>
      <c r="F39" s="995"/>
      <c r="G39" s="995"/>
      <c r="H39" s="805"/>
      <c r="I39" s="805"/>
      <c r="J39" s="50"/>
      <c r="K39" s="995"/>
      <c r="L39" s="52"/>
      <c r="M39" s="995"/>
      <c r="N39" s="52"/>
      <c r="O39" s="995"/>
      <c r="P39" s="995"/>
      <c r="Q39" s="52"/>
      <c r="R39" s="52"/>
      <c r="S39" s="52"/>
      <c r="AA39" s="34"/>
      <c r="AB39" s="34"/>
      <c r="AC39" s="34"/>
      <c r="AF39" s="34"/>
      <c r="AG39" s="34"/>
      <c r="AH39" s="34"/>
      <c r="AI39" s="34"/>
      <c r="AJ39" s="34"/>
      <c r="AK39" s="34"/>
      <c r="AL39" s="34"/>
      <c r="AM39" s="34"/>
      <c r="AN39" s="34"/>
    </row>
    <row r="40" spans="2:40" x14ac:dyDescent="0.25">
      <c r="B40" s="52"/>
      <c r="C40" s="52"/>
      <c r="D40" s="995"/>
      <c r="E40" s="995"/>
      <c r="F40" s="995"/>
      <c r="G40" s="995"/>
      <c r="H40" s="633"/>
      <c r="I40" s="805"/>
      <c r="J40" s="50"/>
      <c r="K40" s="995"/>
      <c r="L40" s="52"/>
      <c r="M40" s="995"/>
      <c r="N40" s="52"/>
      <c r="O40" s="995"/>
      <c r="P40" s="995"/>
      <c r="Q40" s="52"/>
      <c r="R40" s="52"/>
      <c r="S40" s="52"/>
      <c r="AA40" s="34"/>
      <c r="AB40" s="34"/>
      <c r="AC40" s="34"/>
      <c r="AF40" s="34"/>
      <c r="AG40" s="34"/>
      <c r="AH40" s="34"/>
      <c r="AI40" s="34"/>
      <c r="AJ40" s="34"/>
      <c r="AK40" s="34"/>
      <c r="AL40" s="34"/>
      <c r="AM40" s="34"/>
      <c r="AN40" s="34"/>
    </row>
    <row r="41" spans="2:40" x14ac:dyDescent="0.25">
      <c r="B41" s="52"/>
      <c r="C41" s="52"/>
      <c r="D41" s="995"/>
      <c r="E41" s="995"/>
      <c r="F41" s="995"/>
      <c r="G41" s="995"/>
      <c r="H41" s="805"/>
      <c r="I41" s="805"/>
      <c r="J41" s="50"/>
      <c r="K41" s="995"/>
      <c r="L41" s="52"/>
      <c r="M41" s="995"/>
      <c r="N41" s="52"/>
      <c r="O41" s="995"/>
      <c r="P41" s="995"/>
      <c r="Q41" s="52"/>
      <c r="R41" s="52"/>
      <c r="S41" s="52"/>
      <c r="AA41" s="34"/>
      <c r="AB41" s="34"/>
      <c r="AC41" s="34"/>
      <c r="AF41" s="34"/>
      <c r="AG41" s="34"/>
      <c r="AH41" s="34"/>
      <c r="AI41" s="34"/>
      <c r="AJ41" s="34"/>
      <c r="AK41" s="34"/>
      <c r="AL41" s="34"/>
      <c r="AM41" s="34"/>
      <c r="AN41" s="34"/>
    </row>
    <row r="42" spans="2:40" x14ac:dyDescent="0.25">
      <c r="B42" s="52"/>
      <c r="C42" s="52"/>
      <c r="D42" s="995"/>
      <c r="E42" s="995"/>
      <c r="F42" s="995"/>
      <c r="G42" s="995"/>
      <c r="H42" s="52"/>
      <c r="I42" s="52"/>
      <c r="J42" s="50"/>
      <c r="K42" s="995"/>
      <c r="L42" s="52"/>
      <c r="M42" s="995"/>
      <c r="N42" s="52"/>
      <c r="O42" s="995"/>
      <c r="P42" s="995"/>
      <c r="Q42" s="52"/>
      <c r="R42" s="52"/>
      <c r="S42" s="52"/>
      <c r="AA42" s="34"/>
      <c r="AB42" s="34"/>
      <c r="AC42" s="34"/>
      <c r="AF42" s="34"/>
      <c r="AG42" s="34"/>
      <c r="AH42" s="34"/>
      <c r="AI42" s="34"/>
      <c r="AJ42" s="34"/>
      <c r="AK42" s="34"/>
      <c r="AL42" s="34"/>
      <c r="AM42" s="34"/>
      <c r="AN42" s="34"/>
    </row>
  </sheetData>
  <mergeCells count="3">
    <mergeCell ref="T2:T3"/>
    <mergeCell ref="D31:E31"/>
    <mergeCell ref="AS2:AS3"/>
  </mergeCells>
  <pageMargins left="0.7" right="0.7" top="0.75" bottom="0.75" header="0.3" footer="0.3"/>
  <pageSetup paperSize="9" orientation="portrait" r:id="rId1"/>
  <ignoredErrors>
    <ignoredError sqref="W10" formula="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Y153"/>
  <sheetViews>
    <sheetView topLeftCell="A109" workbookViewId="0">
      <selection activeCell="V132" sqref="V132"/>
    </sheetView>
  </sheetViews>
  <sheetFormatPr defaultRowHeight="12.5" x14ac:dyDescent="0.25"/>
  <cols>
    <col min="2" max="2" width="25.54296875" bestFit="1" customWidth="1"/>
    <col min="4" max="4" width="18.7265625" customWidth="1"/>
    <col min="5" max="5" width="8.7265625" style="1065"/>
    <col min="6" max="6" width="10.54296875" style="1065" customWidth="1"/>
    <col min="7" max="7" width="10.54296875" style="1065" bestFit="1" customWidth="1"/>
    <col min="8" max="12" width="9.54296875" style="1065" bestFit="1" customWidth="1"/>
    <col min="13" max="13" width="9.7265625" style="1065" bestFit="1" customWidth="1"/>
    <col min="14" max="18" width="8.7265625" style="1065"/>
  </cols>
  <sheetData>
    <row r="3" spans="1:25" x14ac:dyDescent="0.25">
      <c r="B3" t="s">
        <v>67</v>
      </c>
      <c r="E3" s="1065" t="s">
        <v>138</v>
      </c>
      <c r="F3" s="1065" t="s">
        <v>839</v>
      </c>
      <c r="G3" s="1065" t="s">
        <v>840</v>
      </c>
      <c r="H3" s="1065" t="s">
        <v>841</v>
      </c>
      <c r="I3" s="1065" t="s">
        <v>842</v>
      </c>
      <c r="J3" s="1065" t="s">
        <v>843</v>
      </c>
      <c r="K3" s="1065" t="s">
        <v>844</v>
      </c>
      <c r="L3" s="672" t="s">
        <v>845</v>
      </c>
      <c r="R3"/>
    </row>
    <row r="4" spans="1:25" ht="13" x14ac:dyDescent="0.3">
      <c r="A4" s="185">
        <v>9257010</v>
      </c>
      <c r="B4" t="str">
        <f>CONCATENATE(A4,C4)</f>
        <v>92570102020/21</v>
      </c>
      <c r="C4" t="s">
        <v>937</v>
      </c>
      <c r="D4" s="612" t="s">
        <v>1183</v>
      </c>
      <c r="E4" s="1030">
        <f>'202021 MFG Protection'!E9</f>
        <v>50.076041666666661</v>
      </c>
      <c r="F4" s="1030">
        <f>'202021 MFG Protection'!F9</f>
        <v>2.9458333333333342</v>
      </c>
      <c r="G4" s="1030">
        <f>'202021 MFG Protection'!G9</f>
        <v>20.620833333333334</v>
      </c>
      <c r="H4" s="1030">
        <f>'202021 MFG Protection'!H9</f>
        <v>3.927083333333333</v>
      </c>
      <c r="I4" s="1030">
        <f>'202021 MFG Protection'!I9</f>
        <v>8.8375000000000004</v>
      </c>
      <c r="J4" s="1030">
        <f>'202021 MFG Protection'!J9</f>
        <v>2.9453125</v>
      </c>
      <c r="K4" s="1030">
        <f>'202021 MFG Protection'!K9</f>
        <v>10.799479166666666</v>
      </c>
      <c r="L4" s="1030">
        <f>'202021 MFG Protection'!L9</f>
        <v>0</v>
      </c>
      <c r="N4" s="16">
        <f>'202021 MFG Protection'!N4</f>
        <v>353.70488551108429</v>
      </c>
      <c r="O4" s="16">
        <f>VLOOKUP(A4,'2021 Funding Detail'!$A$4:$W$23,23,(FALSE))</f>
        <v>17712.140584556619</v>
      </c>
      <c r="P4" s="16"/>
      <c r="R4" s="1473"/>
      <c r="T4" s="1561" t="s">
        <v>1199</v>
      </c>
      <c r="U4" s="410"/>
      <c r="V4" s="410"/>
      <c r="W4" s="410"/>
      <c r="X4" s="410"/>
      <c r="Y4" s="410"/>
    </row>
    <row r="5" spans="1:25" x14ac:dyDescent="0.25">
      <c r="A5" s="185">
        <v>9257010</v>
      </c>
      <c r="B5" t="str">
        <f>CONCATENATE(A5,C5)</f>
        <v>92570102021/22</v>
      </c>
      <c r="C5" t="s">
        <v>990</v>
      </c>
      <c r="E5" s="1030">
        <f>VLOOKUP(A5,'2122 Funding Detail'!$A$4:$M$21,13,(FALSE))</f>
        <v>85.666666666666671</v>
      </c>
      <c r="F5" s="1046">
        <f>$E$5*'2122 Band Calculations'!D6</f>
        <v>1.3597883597883598</v>
      </c>
      <c r="G5" s="1046">
        <f>$E$5*'2122 Band Calculations'!E6</f>
        <v>27.195767195767196</v>
      </c>
      <c r="H5" s="1046">
        <f>$E$5*'2122 Band Calculations'!F6</f>
        <v>8.1587301587301582</v>
      </c>
      <c r="I5" s="1046">
        <f>$E$5*'2122 Band Calculations'!G6</f>
        <v>14.957671957671957</v>
      </c>
      <c r="J5" s="1046">
        <f>$E$5*'2122 Band Calculations'!H6</f>
        <v>5.4391534391534391</v>
      </c>
      <c r="K5" s="1046">
        <f>$E$5*'2122 Band Calculations'!I6</f>
        <v>16.317460317460316</v>
      </c>
      <c r="L5" s="1046">
        <f>$E$5*'2122 Band Calculations'!J6</f>
        <v>12.238095238095237</v>
      </c>
      <c r="N5" s="16">
        <f>IF(N4&gt;0,(N4),(0))</f>
        <v>353.70488551108429</v>
      </c>
      <c r="O5" s="16"/>
      <c r="P5" s="16"/>
      <c r="R5" s="1473"/>
      <c r="T5" s="2021" t="s">
        <v>1204</v>
      </c>
      <c r="U5" s="2021"/>
      <c r="V5" s="2021"/>
      <c r="W5" s="2021"/>
      <c r="X5" s="2021"/>
      <c r="Y5" s="2021"/>
    </row>
    <row r="6" spans="1:25" x14ac:dyDescent="0.25">
      <c r="A6" s="185">
        <v>9257010</v>
      </c>
      <c r="B6" t="str">
        <f t="shared" ref="B6:B10" si="0">CONCATENATE(A6,C6)</f>
        <v>9257010</v>
      </c>
      <c r="F6" s="1031">
        <f t="shared" ref="F6:K6" si="1">F5-F4</f>
        <v>-1.5860449735449744</v>
      </c>
      <c r="G6" s="1031">
        <f t="shared" si="1"/>
        <v>6.5749338624338627</v>
      </c>
      <c r="H6" s="1031">
        <f t="shared" si="1"/>
        <v>4.2316468253968251</v>
      </c>
      <c r="I6" s="1031">
        <f t="shared" si="1"/>
        <v>6.1201719576719569</v>
      </c>
      <c r="J6" s="1031">
        <f t="shared" si="1"/>
        <v>2.4938409391534391</v>
      </c>
      <c r="K6" s="1031">
        <f t="shared" si="1"/>
        <v>5.5179811507936503</v>
      </c>
      <c r="N6" s="16"/>
      <c r="O6" s="16"/>
      <c r="P6" s="16"/>
      <c r="R6" s="1473"/>
      <c r="T6" s="2021"/>
      <c r="U6" s="2021"/>
      <c r="V6" s="2021"/>
      <c r="W6" s="2021"/>
      <c r="X6" s="2021"/>
      <c r="Y6" s="2021"/>
    </row>
    <row r="7" spans="1:25" x14ac:dyDescent="0.25">
      <c r="A7" s="185">
        <v>9257010</v>
      </c>
      <c r="B7" t="str">
        <f t="shared" si="0"/>
        <v>9257010a</v>
      </c>
      <c r="C7" s="1465" t="s">
        <v>1227</v>
      </c>
      <c r="D7" s="1465" t="s">
        <v>1183</v>
      </c>
      <c r="E7" s="81"/>
      <c r="F7" s="1046">
        <f t="shared" ref="F7:K7" si="2">IF(F4&gt;F5,(F5),(F4))</f>
        <v>1.3597883597883598</v>
      </c>
      <c r="G7" s="1046">
        <f t="shared" si="2"/>
        <v>20.620833333333334</v>
      </c>
      <c r="H7" s="1046">
        <f t="shared" si="2"/>
        <v>3.927083333333333</v>
      </c>
      <c r="I7" s="1046">
        <f t="shared" si="2"/>
        <v>8.8375000000000004</v>
      </c>
      <c r="J7" s="1046">
        <f t="shared" si="2"/>
        <v>2.9453125</v>
      </c>
      <c r="K7" s="1046">
        <f t="shared" si="2"/>
        <v>10.799479166666666</v>
      </c>
      <c r="L7" s="293"/>
      <c r="M7" s="418"/>
      <c r="N7" s="16"/>
      <c r="O7" s="16"/>
      <c r="P7" s="16"/>
      <c r="R7" s="1473"/>
      <c r="T7" s="2021"/>
      <c r="U7" s="2021"/>
      <c r="V7" s="2021"/>
      <c r="W7" s="2021"/>
      <c r="X7" s="2021"/>
      <c r="Y7" s="2021"/>
    </row>
    <row r="8" spans="1:25" x14ac:dyDescent="0.25">
      <c r="A8" s="185">
        <v>9257010</v>
      </c>
      <c r="B8" t="str">
        <f>CONCATENATE(A8,C8)</f>
        <v>9257010b</v>
      </c>
      <c r="C8" s="610" t="s">
        <v>1228</v>
      </c>
      <c r="D8" s="1465" t="s">
        <v>1184</v>
      </c>
      <c r="E8" s="81"/>
      <c r="F8" s="84">
        <f>VLOOKUP($F$3,'2122 Band Values'!$A$5:$AU$24,47,(FALSE))</f>
        <v>58.711672125181849</v>
      </c>
      <c r="G8" s="84">
        <f>VLOOKUP($G$3,'2122 Band Values'!$A$5:$AU$24,47,(FALSE))</f>
        <v>70.45400655021831</v>
      </c>
      <c r="H8" s="84">
        <f>VLOOKUP($H$3,'2122 Band Values'!$A$5:$AU$24,47,(FALSE))</f>
        <v>211.36201965065447</v>
      </c>
      <c r="I8" s="84">
        <f>VLOOKUP($I$3,'2122 Band Values'!$A$5:$AU$24,47,(FALSE))</f>
        <v>264.20252456331764</v>
      </c>
      <c r="J8" s="84">
        <f>VLOOKUP($J$3,'2122 Band Values'!$A$5:$AU$24,47,(FALSE))</f>
        <v>264.20252456331764</v>
      </c>
      <c r="K8" s="84">
        <f>VLOOKUP($K$3,'2122 Band Values'!$A$5:$AU$24,47,(FALSE))</f>
        <v>234.8466885007274</v>
      </c>
      <c r="L8" s="293"/>
      <c r="M8" s="418"/>
      <c r="R8" s="1473"/>
    </row>
    <row r="9" spans="1:25" x14ac:dyDescent="0.25">
      <c r="A9" s="185">
        <v>9257010</v>
      </c>
      <c r="B9" t="str">
        <f t="shared" si="0"/>
        <v>9257010c</v>
      </c>
      <c r="C9" s="610" t="s">
        <v>1229</v>
      </c>
      <c r="D9" s="1465" t="s">
        <v>645</v>
      </c>
      <c r="E9" s="81"/>
      <c r="F9" s="84">
        <f t="shared" ref="F9:K9" si="3">IF(F8&gt;$N$5,(0*F7),(($N$5-F8)*F7))</f>
        <v>401.1283377787139</v>
      </c>
      <c r="G9" s="84">
        <f t="shared" si="3"/>
        <v>5840.8691665721908</v>
      </c>
      <c r="H9" s="84">
        <f t="shared" si="3"/>
        <v>558.99229613939622</v>
      </c>
      <c r="I9" s="84">
        <f t="shared" si="3"/>
        <v>790.97711487588776</v>
      </c>
      <c r="J9" s="84">
        <f t="shared" si="3"/>
        <v>263.61242247896894</v>
      </c>
      <c r="K9" s="84">
        <f t="shared" si="3"/>
        <v>1283.6066224009114</v>
      </c>
      <c r="L9" s="1467">
        <f>SUM(F9:K9)</f>
        <v>9139.18596024607</v>
      </c>
      <c r="M9" s="418">
        <f>L9-O4</f>
        <v>-8572.9546243105488</v>
      </c>
      <c r="N9" s="1417"/>
      <c r="O9" s="1417"/>
      <c r="P9" s="1417"/>
      <c r="Q9" s="1417"/>
      <c r="R9" s="1473"/>
    </row>
    <row r="10" spans="1:25" x14ac:dyDescent="0.25">
      <c r="A10" s="185">
        <v>9257010</v>
      </c>
      <c r="B10" t="str">
        <f t="shared" si="0"/>
        <v>9257010d</v>
      </c>
      <c r="C10" s="610" t="s">
        <v>1230</v>
      </c>
      <c r="D10" s="1465" t="s">
        <v>1186</v>
      </c>
      <c r="E10" s="81"/>
      <c r="F10" s="84">
        <f t="shared" ref="F10:K10" si="4">IF(F9&gt;0,(F9/F7),(0))</f>
        <v>294.99321338590244</v>
      </c>
      <c r="G10" s="84">
        <f t="shared" si="4"/>
        <v>283.25087896086598</v>
      </c>
      <c r="H10" s="84">
        <f t="shared" si="4"/>
        <v>142.34286586042981</v>
      </c>
      <c r="I10" s="84">
        <f t="shared" si="4"/>
        <v>89.502360947766647</v>
      </c>
      <c r="J10" s="84">
        <f t="shared" si="4"/>
        <v>89.502360947766647</v>
      </c>
      <c r="K10" s="84">
        <f t="shared" si="4"/>
        <v>118.85819701035689</v>
      </c>
      <c r="L10" s="418"/>
      <c r="M10" s="418"/>
      <c r="N10" s="1417"/>
      <c r="O10" s="1417"/>
      <c r="P10" s="1417"/>
      <c r="Q10" s="1417"/>
      <c r="R10" s="1473"/>
    </row>
    <row r="11" spans="1:25" x14ac:dyDescent="0.25">
      <c r="A11" s="1039"/>
      <c r="B11" s="1040" t="s">
        <v>68</v>
      </c>
      <c r="C11" s="1041"/>
      <c r="D11" s="1041"/>
      <c r="E11" s="1042"/>
      <c r="F11" s="1043"/>
      <c r="G11" s="1043"/>
      <c r="H11" s="1043"/>
      <c r="I11" s="1043"/>
      <c r="J11" s="1043"/>
      <c r="K11" s="1043"/>
      <c r="L11" s="1042"/>
      <c r="M11" s="1042"/>
      <c r="N11" s="1042"/>
      <c r="O11" s="1042"/>
      <c r="P11" s="1042"/>
      <c r="Q11" s="1042"/>
      <c r="R11"/>
    </row>
    <row r="12" spans="1:25" x14ac:dyDescent="0.25">
      <c r="A12" s="185">
        <v>9257005</v>
      </c>
      <c r="B12" t="str">
        <f>CONCATENATE(A12,C12)</f>
        <v>92570052020/21</v>
      </c>
      <c r="C12" t="s">
        <v>937</v>
      </c>
      <c r="D12" s="612" t="s">
        <v>1183</v>
      </c>
      <c r="E12" s="1030">
        <f>'202021 MFG Protection'!E16</f>
        <v>53.919094876126124</v>
      </c>
      <c r="F12" s="1030">
        <f>'202021 MFG Protection'!F16</f>
        <v>4.848958333333333</v>
      </c>
      <c r="G12" s="1030">
        <f>'202021 MFG Protection'!G16</f>
        <v>16.827702702702705</v>
      </c>
      <c r="H12" s="1030">
        <f>'202021 MFG Protection'!H16</f>
        <v>4.848958333333333</v>
      </c>
      <c r="I12" s="1030">
        <f>'202021 MFG Protection'!I16</f>
        <v>10.888513513513514</v>
      </c>
      <c r="J12" s="1030">
        <f>'202021 MFG Protection'!J16</f>
        <v>3.63671875</v>
      </c>
      <c r="K12" s="1030">
        <f>'202021 MFG Protection'!K16</f>
        <v>12.868243243243244</v>
      </c>
      <c r="L12" s="1030">
        <f>'202021 MFG Protection'!L16</f>
        <v>0</v>
      </c>
      <c r="N12" s="16">
        <f>'202021 MFG Protection'!N11</f>
        <v>130.55288438137359</v>
      </c>
      <c r="O12" s="16">
        <f>VLOOKUP(A12,'2021 Funding Detail'!$A$4:$W$23,23,(FALSE))</f>
        <v>7039.2933593112066</v>
      </c>
      <c r="P12" s="16"/>
      <c r="R12" s="1473"/>
    </row>
    <row r="13" spans="1:25" x14ac:dyDescent="0.25">
      <c r="A13" s="185">
        <v>9257005</v>
      </c>
      <c r="B13" t="str">
        <f>CONCATENATE(A13,C13)</f>
        <v>92570052021/22</v>
      </c>
      <c r="C13" t="s">
        <v>990</v>
      </c>
      <c r="D13" t="str">
        <f>CONCATENATE(A13,C13)</f>
        <v>92570052021/22</v>
      </c>
      <c r="E13" s="1030">
        <f>VLOOKUP(A13,'2122 Funding Detail'!$A$4:$M$21,13,(FALSE))</f>
        <v>83.25</v>
      </c>
      <c r="F13" s="1046">
        <f>$E$13*'2122 Band Calculations'!D6</f>
        <v>1.3214285714285714</v>
      </c>
      <c r="G13" s="1046">
        <f>$E$13*'2122 Band Calculations'!E6</f>
        <v>26.428571428571427</v>
      </c>
      <c r="H13" s="1046">
        <f>$E$13*'2122 Band Calculations'!F6</f>
        <v>7.9285714285714279</v>
      </c>
      <c r="I13" s="1046">
        <f>$E$13*'2122 Band Calculations'!G6</f>
        <v>14.535714285714285</v>
      </c>
      <c r="J13" s="1046">
        <f>$E$13*'2122 Band Calculations'!H6</f>
        <v>5.2857142857142856</v>
      </c>
      <c r="K13" s="1046">
        <f>$E$13*'2122 Band Calculations'!I6</f>
        <v>15.857142857142856</v>
      </c>
      <c r="L13" s="1046">
        <f>$E$13*'2122 Band Calculations'!J6</f>
        <v>11.892857142857142</v>
      </c>
      <c r="N13" s="16">
        <f>IF(N12&gt;0,(N12),(0))</f>
        <v>130.55288438137359</v>
      </c>
      <c r="O13" s="16"/>
      <c r="P13" s="16"/>
      <c r="R13" s="1473"/>
    </row>
    <row r="14" spans="1:25" x14ac:dyDescent="0.25">
      <c r="A14" s="185">
        <v>9257005</v>
      </c>
      <c r="B14" t="str">
        <f t="shared" ref="B14:B18" si="5">CONCATENATE(A14,C14)</f>
        <v>9257005</v>
      </c>
      <c r="E14" s="1030"/>
      <c r="F14" s="1031">
        <f t="shared" ref="F14:K14" si="6">F13-F12</f>
        <v>-3.5275297619047619</v>
      </c>
      <c r="G14" s="1031">
        <f t="shared" si="6"/>
        <v>9.6008687258687218</v>
      </c>
      <c r="H14" s="1031">
        <f t="shared" si="6"/>
        <v>3.0796130952380949</v>
      </c>
      <c r="I14" s="1031">
        <f t="shared" si="6"/>
        <v>3.6472007722007707</v>
      </c>
      <c r="J14" s="1031">
        <f t="shared" si="6"/>
        <v>1.6489955357142856</v>
      </c>
      <c r="K14" s="1031">
        <f t="shared" si="6"/>
        <v>2.988899613899612</v>
      </c>
      <c r="L14" s="1029"/>
      <c r="N14" s="16"/>
      <c r="O14" s="16"/>
      <c r="P14" s="16"/>
      <c r="R14" s="1473"/>
    </row>
    <row r="15" spans="1:25" x14ac:dyDescent="0.25">
      <c r="A15" s="185">
        <v>9257005</v>
      </c>
      <c r="B15" t="str">
        <f t="shared" si="5"/>
        <v>9257005a</v>
      </c>
      <c r="C15" s="1465" t="s">
        <v>1227</v>
      </c>
      <c r="D15" s="1465" t="s">
        <v>1183</v>
      </c>
      <c r="E15" s="81"/>
      <c r="F15" s="1046">
        <f t="shared" ref="F15:K15" si="7">IF(F12&gt;F13,(F13),(F12))</f>
        <v>1.3214285714285714</v>
      </c>
      <c r="G15" s="1046">
        <f t="shared" si="7"/>
        <v>16.827702702702705</v>
      </c>
      <c r="H15" s="1046">
        <f t="shared" si="7"/>
        <v>4.848958333333333</v>
      </c>
      <c r="I15" s="1046">
        <f t="shared" si="7"/>
        <v>10.888513513513514</v>
      </c>
      <c r="J15" s="1046">
        <f t="shared" si="7"/>
        <v>3.63671875</v>
      </c>
      <c r="K15" s="1046">
        <f t="shared" si="7"/>
        <v>12.868243243243244</v>
      </c>
      <c r="L15" s="293"/>
      <c r="M15" s="418"/>
      <c r="N15" s="16"/>
      <c r="O15" s="16"/>
      <c r="P15" s="16"/>
      <c r="R15" s="1473"/>
    </row>
    <row r="16" spans="1:25" x14ac:dyDescent="0.25">
      <c r="A16" s="185">
        <v>9257005</v>
      </c>
      <c r="B16" t="str">
        <f t="shared" si="5"/>
        <v>9257005b</v>
      </c>
      <c r="C16" s="610" t="s">
        <v>1228</v>
      </c>
      <c r="D16" s="1465" t="s">
        <v>1184</v>
      </c>
      <c r="E16" s="81"/>
      <c r="F16" s="84">
        <f>VLOOKUP($F$3,'2122 Band Values'!$A$5:$AU$24,47,(FALSE))</f>
        <v>58.711672125181849</v>
      </c>
      <c r="G16" s="84">
        <f>VLOOKUP($G$3,'2122 Band Values'!$A$5:$AU$24,47,(FALSE))</f>
        <v>70.45400655021831</v>
      </c>
      <c r="H16" s="84">
        <f>VLOOKUP($H$3,'2122 Band Values'!$A$5:$AU$24,47,(FALSE))</f>
        <v>211.36201965065447</v>
      </c>
      <c r="I16" s="84">
        <f>VLOOKUP($I$3,'2122 Band Values'!$A$5:$AU$24,47,(FALSE))</f>
        <v>264.20252456331764</v>
      </c>
      <c r="J16" s="84">
        <f>VLOOKUP($J$3,'2122 Band Values'!$A$5:$AU$24,47,(FALSE))</f>
        <v>264.20252456331764</v>
      </c>
      <c r="K16" s="84">
        <f>VLOOKUP($K$3,'2122 Band Values'!$A$5:$AU$24,47,(FALSE))</f>
        <v>234.8466885007274</v>
      </c>
      <c r="L16" s="293"/>
      <c r="M16" s="418"/>
      <c r="N16" s="16"/>
      <c r="O16" s="16"/>
      <c r="R16" s="1473"/>
    </row>
    <row r="17" spans="1:18" x14ac:dyDescent="0.25">
      <c r="A17" s="185">
        <v>9257005</v>
      </c>
      <c r="B17" t="str">
        <f>CONCATENATE(A17,C17)</f>
        <v>9257005c</v>
      </c>
      <c r="C17" s="610" t="s">
        <v>1229</v>
      </c>
      <c r="D17" s="1465" t="s">
        <v>645</v>
      </c>
      <c r="E17" s="81"/>
      <c r="F17" s="84">
        <f t="shared" ref="F17:K17" si="8">IF(F16&gt;$N$13,(0*F15),(($N$13-F16)*F15))</f>
        <v>94.93303048139623</v>
      </c>
      <c r="G17" s="84">
        <f t="shared" si="8"/>
        <v>1011.3260489087314</v>
      </c>
      <c r="H17" s="84">
        <f t="shared" si="8"/>
        <v>0</v>
      </c>
      <c r="I17" s="84">
        <f t="shared" si="8"/>
        <v>0</v>
      </c>
      <c r="J17" s="84">
        <f t="shared" si="8"/>
        <v>0</v>
      </c>
      <c r="K17" s="84">
        <f t="shared" si="8"/>
        <v>0</v>
      </c>
      <c r="L17" s="1467">
        <f>SUM(F17:K17)</f>
        <v>1106.2590793901277</v>
      </c>
      <c r="M17" s="418">
        <f>L17-O12</f>
        <v>-5933.0342799210794</v>
      </c>
      <c r="N17" s="16"/>
      <c r="O17" s="16"/>
      <c r="P17" s="1417"/>
      <c r="Q17" s="1417"/>
      <c r="R17" s="1473"/>
    </row>
    <row r="18" spans="1:18" x14ac:dyDescent="0.25">
      <c r="A18" s="185">
        <v>9257005</v>
      </c>
      <c r="B18" t="str">
        <f t="shared" si="5"/>
        <v>9257005d</v>
      </c>
      <c r="C18" s="610" t="s">
        <v>1230</v>
      </c>
      <c r="D18" s="1465" t="s">
        <v>1186</v>
      </c>
      <c r="E18" s="81"/>
      <c r="F18" s="84">
        <f t="shared" ref="F18:K18" si="9">IF(F17&gt;0,(F17/F15),(0))</f>
        <v>71.841212256191739</v>
      </c>
      <c r="G18" s="84">
        <f t="shared" si="9"/>
        <v>60.098877831155278</v>
      </c>
      <c r="H18" s="84">
        <f t="shared" si="9"/>
        <v>0</v>
      </c>
      <c r="I18" s="84">
        <f t="shared" si="9"/>
        <v>0</v>
      </c>
      <c r="J18" s="84">
        <f t="shared" si="9"/>
        <v>0</v>
      </c>
      <c r="K18" s="84">
        <f t="shared" si="9"/>
        <v>0</v>
      </c>
      <c r="L18" s="418"/>
      <c r="M18" s="418"/>
      <c r="N18" s="16"/>
      <c r="O18" s="16"/>
      <c r="P18" s="1417"/>
      <c r="Q18" s="1417"/>
      <c r="R18" s="1473"/>
    </row>
    <row r="19" spans="1:18" x14ac:dyDescent="0.25">
      <c r="A19" s="1034"/>
      <c r="B19" s="1527" t="s">
        <v>69</v>
      </c>
      <c r="C19" s="1036"/>
      <c r="D19" s="1036"/>
      <c r="E19" s="1037"/>
      <c r="F19" s="1037"/>
      <c r="G19" s="1037"/>
      <c r="H19" s="1037"/>
      <c r="I19" s="1037"/>
      <c r="J19" s="1037"/>
      <c r="K19" s="1037"/>
      <c r="L19" s="1037"/>
      <c r="M19" s="1037"/>
      <c r="N19" s="1037"/>
      <c r="O19" s="1037"/>
      <c r="P19" s="1037"/>
      <c r="Q19" s="1037"/>
      <c r="R19"/>
    </row>
    <row r="20" spans="1:18" x14ac:dyDescent="0.25">
      <c r="A20" s="185">
        <v>9257025</v>
      </c>
      <c r="B20" t="str">
        <f>CONCATENATE(A20,C20)</f>
        <v>92570252020/21</v>
      </c>
      <c r="C20" t="s">
        <v>937</v>
      </c>
      <c r="D20" s="612" t="s">
        <v>1183</v>
      </c>
      <c r="E20" s="1030">
        <f>'202021 MFG Protection'!E23</f>
        <v>59.016891891891909</v>
      </c>
      <c r="F20" s="1030">
        <f>'202021 MFG Protection'!F23</f>
        <v>12.216216216216218</v>
      </c>
      <c r="G20" s="1030">
        <f>'202021 MFG Protection'!G23</f>
        <v>21.231981981981988</v>
      </c>
      <c r="H20" s="1030">
        <f>'202021 MFG Protection'!H23</f>
        <v>5.0900900900900918</v>
      </c>
      <c r="I20" s="1030">
        <f>'202021 MFG Protection'!I23</f>
        <v>8.6858108108108141</v>
      </c>
      <c r="J20" s="1030">
        <f>'202021 MFG Protection'!J23</f>
        <v>4.0720720720720731</v>
      </c>
      <c r="K20" s="1030">
        <f>'202021 MFG Protection'!K23</f>
        <v>7.7207207207207231</v>
      </c>
      <c r="L20" s="1030">
        <f>'202021 MFG Protection'!L23</f>
        <v>0</v>
      </c>
      <c r="N20" s="16">
        <f>'202021 MFG Protection'!N18</f>
        <v>495.74370368773816</v>
      </c>
      <c r="O20" s="16">
        <f>VLOOKUP(A20,'2021 Funding Detail'!$A$4:$W$23,23,(FALSE))</f>
        <v>29257.252566625339</v>
      </c>
      <c r="P20" s="16"/>
      <c r="R20" s="1473"/>
    </row>
    <row r="21" spans="1:18" x14ac:dyDescent="0.25">
      <c r="A21" s="185">
        <v>9257025</v>
      </c>
      <c r="B21" t="str">
        <f>CONCATENATE(A21,C21)</f>
        <v>92570252021/22</v>
      </c>
      <c r="C21" t="s">
        <v>990</v>
      </c>
      <c r="D21" t="str">
        <f>CONCATENATE(A21,C21)</f>
        <v>92570252021/22</v>
      </c>
      <c r="E21" s="1030">
        <f>VLOOKUP(A21,'2122 Funding Detail'!$A$4:$M$21,13,(FALSE))</f>
        <v>77.5</v>
      </c>
      <c r="F21" s="1046">
        <f>$E$21*'2122 Band Calculations'!D8</f>
        <v>12.077922077922077</v>
      </c>
      <c r="G21" s="1046">
        <f>$E$21*'2122 Band Calculations'!E8</f>
        <v>31.201298701298704</v>
      </c>
      <c r="H21" s="1046">
        <f>$E$21*'2122 Band Calculations'!F8</f>
        <v>3.0194805194805192</v>
      </c>
      <c r="I21" s="1046">
        <f>$E$21*'2122 Band Calculations'!G8</f>
        <v>12.077922077922077</v>
      </c>
      <c r="J21" s="1046">
        <f>$E$21*'2122 Band Calculations'!H8</f>
        <v>4.0259740259740262</v>
      </c>
      <c r="K21" s="1046">
        <f>$E$21*'2122 Band Calculations'!I8</f>
        <v>11.071428571428571</v>
      </c>
      <c r="L21" s="1046">
        <f>$E$21*'2122 Band Calculations'!J8</f>
        <v>4.0259740259740262</v>
      </c>
      <c r="N21" s="16">
        <f>IF(N20&gt;0,(N20),(0))</f>
        <v>495.74370368773816</v>
      </c>
      <c r="O21" s="16"/>
      <c r="P21" s="16"/>
      <c r="R21" s="1466"/>
    </row>
    <row r="22" spans="1:18" x14ac:dyDescent="0.25">
      <c r="A22" s="185">
        <v>9257025</v>
      </c>
      <c r="B22" t="str">
        <f t="shared" ref="B22:B26" si="10">CONCATENATE(A22,C22)</f>
        <v>9257025</v>
      </c>
      <c r="E22" s="1030"/>
      <c r="F22" s="1031">
        <f t="shared" ref="F22:K22" si="11">F21-F20</f>
        <v>-0.13829413829414072</v>
      </c>
      <c r="G22" s="1031">
        <f t="shared" si="11"/>
        <v>9.9693167193167156</v>
      </c>
      <c r="H22" s="1031">
        <f t="shared" si="11"/>
        <v>-2.0706095706095726</v>
      </c>
      <c r="I22" s="1031">
        <f t="shared" si="11"/>
        <v>3.3921112671112628</v>
      </c>
      <c r="J22" s="1031">
        <f t="shared" si="11"/>
        <v>-4.6098046098046908E-2</v>
      </c>
      <c r="K22" s="1031">
        <f t="shared" si="11"/>
        <v>3.350707850707848</v>
      </c>
      <c r="L22" s="1029"/>
      <c r="N22" s="16"/>
      <c r="O22" s="16"/>
      <c r="P22" s="16"/>
      <c r="R22" s="1466"/>
    </row>
    <row r="23" spans="1:18" x14ac:dyDescent="0.25">
      <c r="A23" s="185">
        <v>9257025</v>
      </c>
      <c r="B23" t="str">
        <f t="shared" si="10"/>
        <v>9257025a</v>
      </c>
      <c r="C23" s="1465" t="s">
        <v>1227</v>
      </c>
      <c r="D23" s="1465" t="s">
        <v>1183</v>
      </c>
      <c r="E23" s="81"/>
      <c r="F23" s="1046">
        <f t="shared" ref="F23:K23" si="12">IF(F20&gt;F21,(F21),(F20))</f>
        <v>12.077922077922077</v>
      </c>
      <c r="G23" s="1046">
        <f t="shared" si="12"/>
        <v>21.231981981981988</v>
      </c>
      <c r="H23" s="1046">
        <f t="shared" si="12"/>
        <v>3.0194805194805192</v>
      </c>
      <c r="I23" s="1046">
        <f t="shared" si="12"/>
        <v>8.6858108108108141</v>
      </c>
      <c r="J23" s="1046">
        <f t="shared" si="12"/>
        <v>4.0259740259740262</v>
      </c>
      <c r="K23" s="1046">
        <f t="shared" si="12"/>
        <v>7.7207207207207231</v>
      </c>
      <c r="L23" s="293"/>
      <c r="M23" s="418"/>
      <c r="N23" s="16"/>
      <c r="O23" s="16"/>
      <c r="P23" s="16"/>
      <c r="R23" s="1466"/>
    </row>
    <row r="24" spans="1:18" x14ac:dyDescent="0.25">
      <c r="A24" s="185">
        <v>9257025</v>
      </c>
      <c r="B24" t="str">
        <f t="shared" si="10"/>
        <v>9257025b</v>
      </c>
      <c r="C24" s="610" t="s">
        <v>1228</v>
      </c>
      <c r="D24" s="1465" t="s">
        <v>1184</v>
      </c>
      <c r="E24" s="81"/>
      <c r="F24" s="84">
        <f>VLOOKUP($F$3,'2122 Band Values'!$A$5:$AU$24,47,(FALSE))</f>
        <v>58.711672125181849</v>
      </c>
      <c r="G24" s="84">
        <f>VLOOKUP($G$3,'2122 Band Values'!$A$5:$AU$24,47,(FALSE))</f>
        <v>70.45400655021831</v>
      </c>
      <c r="H24" s="84">
        <f>VLOOKUP($H$3,'2122 Band Values'!$A$5:$AU$24,47,(FALSE))</f>
        <v>211.36201965065447</v>
      </c>
      <c r="I24" s="84">
        <f>VLOOKUP($I$3,'2122 Band Values'!$A$5:$AU$24,47,(FALSE))</f>
        <v>264.20252456331764</v>
      </c>
      <c r="J24" s="84">
        <f>VLOOKUP($J$3,'2122 Band Values'!$A$5:$AU$24,47,(FALSE))</f>
        <v>264.20252456331764</v>
      </c>
      <c r="K24" s="84">
        <f>VLOOKUP($K$3,'2122 Band Values'!$A$5:$AU$24,47,(FALSE))</f>
        <v>234.8466885007274</v>
      </c>
      <c r="L24" s="293"/>
      <c r="M24" s="418"/>
      <c r="N24" s="16"/>
      <c r="O24" s="16"/>
      <c r="R24" s="1466"/>
    </row>
    <row r="25" spans="1:18" x14ac:dyDescent="0.25">
      <c r="A25" s="185">
        <v>9257025</v>
      </c>
      <c r="B25" t="str">
        <f>CONCATENATE(A25,C25)</f>
        <v>9257025c</v>
      </c>
      <c r="C25" s="610" t="s">
        <v>1229</v>
      </c>
      <c r="D25" s="1465" t="s">
        <v>645</v>
      </c>
      <c r="E25" s="81"/>
      <c r="F25" s="84">
        <f t="shared" ref="F25:K25" si="13">IF(F24&gt;$N$21,(0*F23),(($N$21-F24)*F23))</f>
        <v>5278.4388227685367</v>
      </c>
      <c r="G25" s="84">
        <f t="shared" si="13"/>
        <v>9029.7431867463984</v>
      </c>
      <c r="H25" s="84">
        <f t="shared" si="13"/>
        <v>858.68495504703833</v>
      </c>
      <c r="I25" s="84">
        <f t="shared" si="13"/>
        <v>2011.1228767867749</v>
      </c>
      <c r="J25" s="84">
        <f t="shared" si="13"/>
        <v>932.17877309831647</v>
      </c>
      <c r="K25" s="84">
        <f t="shared" si="13"/>
        <v>2014.3129911285432</v>
      </c>
      <c r="L25" s="1467">
        <f>SUM(F25:K25)</f>
        <v>20124.481605575605</v>
      </c>
      <c r="M25" s="418">
        <f>L25-O20</f>
        <v>-9132.7709610497332</v>
      </c>
      <c r="N25" s="16"/>
      <c r="O25" s="16"/>
      <c r="P25" s="1417"/>
      <c r="Q25" s="1417"/>
      <c r="R25" s="1466"/>
    </row>
    <row r="26" spans="1:18" x14ac:dyDescent="0.25">
      <c r="A26" s="185">
        <v>9257025</v>
      </c>
      <c r="B26" t="str">
        <f t="shared" si="10"/>
        <v>9257025d</v>
      </c>
      <c r="C26" s="610" t="s">
        <v>1230</v>
      </c>
      <c r="D26" s="1465" t="s">
        <v>1186</v>
      </c>
      <c r="E26" s="81"/>
      <c r="F26" s="84">
        <f t="shared" ref="F26:K26" si="14">IF(F25&gt;0,(F25/F23),(0))</f>
        <v>437.03203156255631</v>
      </c>
      <c r="G26" s="84">
        <f t="shared" si="14"/>
        <v>425.28969713751985</v>
      </c>
      <c r="H26" s="84">
        <f t="shared" si="14"/>
        <v>284.38168403708369</v>
      </c>
      <c r="I26" s="84">
        <f t="shared" si="14"/>
        <v>231.54117912442052</v>
      </c>
      <c r="J26" s="84">
        <f t="shared" si="14"/>
        <v>231.54117912442052</v>
      </c>
      <c r="K26" s="84">
        <f t="shared" si="14"/>
        <v>260.89701518701077</v>
      </c>
      <c r="L26" s="418"/>
      <c r="M26" s="418"/>
      <c r="N26" s="16"/>
      <c r="O26" s="16"/>
      <c r="P26" s="1417"/>
      <c r="Q26" s="1417"/>
      <c r="R26" s="1466"/>
    </row>
    <row r="27" spans="1:18" x14ac:dyDescent="0.25">
      <c r="A27" s="1034"/>
      <c r="B27" s="1035" t="s">
        <v>70</v>
      </c>
      <c r="C27" s="1036"/>
      <c r="D27" s="1036"/>
      <c r="E27" s="1037"/>
      <c r="F27" s="1037"/>
      <c r="G27" s="1037"/>
      <c r="H27" s="1037"/>
      <c r="I27" s="1037"/>
      <c r="J27" s="1037"/>
      <c r="K27" s="1037"/>
      <c r="L27" s="1037"/>
      <c r="M27" s="1037"/>
      <c r="N27" s="1037"/>
      <c r="O27" s="1037"/>
      <c r="P27" s="1037"/>
      <c r="Q27" s="1037"/>
    </row>
    <row r="28" spans="1:18" x14ac:dyDescent="0.25">
      <c r="A28" s="185">
        <v>9257011</v>
      </c>
      <c r="B28" t="str">
        <f>CONCATENATE(A28,C28)</f>
        <v>92570112020/21</v>
      </c>
      <c r="C28" t="s">
        <v>937</v>
      </c>
      <c r="D28" s="612" t="s">
        <v>1183</v>
      </c>
      <c r="E28" s="1030">
        <f>'202021 MFG Protection'!E30</f>
        <v>0</v>
      </c>
      <c r="F28" s="1030">
        <f>'202021 MFG Protection'!F30</f>
        <v>0</v>
      </c>
      <c r="G28" s="1030">
        <f>'202021 MFG Protection'!G30</f>
        <v>0</v>
      </c>
      <c r="H28" s="1030">
        <f>'202021 MFG Protection'!H30</f>
        <v>0</v>
      </c>
      <c r="I28" s="1030">
        <f>'202021 MFG Protection'!I30</f>
        <v>0</v>
      </c>
      <c r="J28" s="1030">
        <f>'202021 MFG Protection'!J30</f>
        <v>0</v>
      </c>
      <c r="K28" s="1030">
        <f>'202021 MFG Protection'!K30</f>
        <v>0</v>
      </c>
      <c r="L28" s="1030">
        <f>'202021 MFG Protection'!L30</f>
        <v>0</v>
      </c>
      <c r="N28" s="16">
        <f>'202021 MFG Protection'!N25</f>
        <v>-1218.8814552167642</v>
      </c>
      <c r="O28" s="16">
        <f>VLOOKUP(A28,'2021 Funding Detail'!$A$4:$W$23,23,(FALSE))</f>
        <v>0</v>
      </c>
      <c r="P28" s="16"/>
      <c r="R28" s="1466"/>
    </row>
    <row r="29" spans="1:18" x14ac:dyDescent="0.25">
      <c r="A29" s="185">
        <v>9257011</v>
      </c>
      <c r="B29" t="str">
        <f>CONCATENATE(A29,C29)</f>
        <v>92570112021/22</v>
      </c>
      <c r="C29" t="s">
        <v>990</v>
      </c>
      <c r="D29" t="str">
        <f>CONCATENATE(A29,C29)</f>
        <v>92570112021/22</v>
      </c>
      <c r="E29" s="1030">
        <f>VLOOKUP(A29,'2122 Funding Detail'!$A$4:$M$21,13,(FALSE))</f>
        <v>58</v>
      </c>
      <c r="F29" s="1029">
        <f>$E$29*'2122 Band Calculations'!D9</f>
        <v>3.2830188679245285</v>
      </c>
      <c r="G29" s="1029">
        <f>$E$29*'2122 Band Calculations'!E9</f>
        <v>20.79245283018868</v>
      </c>
      <c r="H29" s="1029">
        <f>$E$29*'2122 Band Calculations'!F9</f>
        <v>1.0943396226415094</v>
      </c>
      <c r="I29" s="1029">
        <f>$E$29*'2122 Band Calculations'!G9</f>
        <v>9.8490566037735849</v>
      </c>
      <c r="J29" s="1029">
        <f>$E$29*'2122 Band Calculations'!H9</f>
        <v>7.6603773584905657</v>
      </c>
      <c r="K29" s="1029">
        <f>$E$29*'2122 Band Calculations'!I9</f>
        <v>8.7547169811320753</v>
      </c>
      <c r="L29" s="1029">
        <f>$E$29*'2122 Band Calculations'!J9</f>
        <v>6.5660377358490569</v>
      </c>
      <c r="N29" s="16">
        <f>IF(N28&gt;0,(N28),(0))</f>
        <v>0</v>
      </c>
      <c r="O29" s="16"/>
      <c r="P29" s="16"/>
      <c r="R29" s="1466"/>
    </row>
    <row r="30" spans="1:18" x14ac:dyDescent="0.25">
      <c r="A30" s="185">
        <v>9257011</v>
      </c>
      <c r="B30" t="str">
        <f t="shared" ref="B30:B34" si="15">CONCATENATE(A30,C30)</f>
        <v>9257011</v>
      </c>
      <c r="F30" s="1031">
        <f t="shared" ref="F30:K30" si="16">F29-F28</f>
        <v>3.2830188679245285</v>
      </c>
      <c r="G30" s="1031">
        <f t="shared" si="16"/>
        <v>20.79245283018868</v>
      </c>
      <c r="H30" s="1031">
        <f t="shared" si="16"/>
        <v>1.0943396226415094</v>
      </c>
      <c r="I30" s="1031">
        <f t="shared" si="16"/>
        <v>9.8490566037735849</v>
      </c>
      <c r="J30" s="1031">
        <f t="shared" si="16"/>
        <v>7.6603773584905657</v>
      </c>
      <c r="K30" s="1031">
        <f t="shared" si="16"/>
        <v>8.7547169811320753</v>
      </c>
      <c r="L30" s="1029"/>
      <c r="N30" s="16"/>
      <c r="O30" s="16"/>
      <c r="P30" s="16"/>
      <c r="R30" s="1466"/>
    </row>
    <row r="31" spans="1:18" x14ac:dyDescent="0.25">
      <c r="A31" s="185">
        <v>9257011</v>
      </c>
      <c r="B31" t="str">
        <f t="shared" si="15"/>
        <v>9257011a</v>
      </c>
      <c r="C31" s="1465" t="s">
        <v>1227</v>
      </c>
      <c r="D31" s="1465" t="s">
        <v>1183</v>
      </c>
      <c r="E31" s="81"/>
      <c r="F31" s="1046">
        <f t="shared" ref="F31:K31" si="17">IF(F28&gt;F29,(F29),(F28))</f>
        <v>0</v>
      </c>
      <c r="G31" s="1046">
        <f t="shared" si="17"/>
        <v>0</v>
      </c>
      <c r="H31" s="1046">
        <f t="shared" si="17"/>
        <v>0</v>
      </c>
      <c r="I31" s="1046">
        <f t="shared" si="17"/>
        <v>0</v>
      </c>
      <c r="J31" s="1046">
        <f t="shared" si="17"/>
        <v>0</v>
      </c>
      <c r="K31" s="1046">
        <f t="shared" si="17"/>
        <v>0</v>
      </c>
      <c r="L31" s="293"/>
      <c r="M31" s="418"/>
      <c r="N31" s="16"/>
      <c r="O31" s="16"/>
      <c r="P31" s="16"/>
      <c r="R31" s="1466"/>
    </row>
    <row r="32" spans="1:18" x14ac:dyDescent="0.25">
      <c r="A32" s="185">
        <v>9257011</v>
      </c>
      <c r="B32" t="str">
        <f t="shared" si="15"/>
        <v>9257011b</v>
      </c>
      <c r="C32" s="610" t="s">
        <v>1228</v>
      </c>
      <c r="D32" s="1465" t="s">
        <v>1184</v>
      </c>
      <c r="E32" s="81"/>
      <c r="F32" s="84">
        <f>VLOOKUP($F$3,'2122 Band Values'!$A$5:$AU$24,47,(FALSE))</f>
        <v>58.711672125181849</v>
      </c>
      <c r="G32" s="84">
        <f>VLOOKUP($G$3,'2122 Band Values'!$A$5:$AU$24,47,(FALSE))</f>
        <v>70.45400655021831</v>
      </c>
      <c r="H32" s="84">
        <f>VLOOKUP($H$3,'2122 Band Values'!$A$5:$AU$24,47,(FALSE))</f>
        <v>211.36201965065447</v>
      </c>
      <c r="I32" s="84">
        <f>VLOOKUP($I$3,'2122 Band Values'!$A$5:$AU$24,47,(FALSE))</f>
        <v>264.20252456331764</v>
      </c>
      <c r="J32" s="84">
        <f>VLOOKUP($J$3,'2122 Band Values'!$A$5:$AU$24,47,(FALSE))</f>
        <v>264.20252456331764</v>
      </c>
      <c r="K32" s="84">
        <f>VLOOKUP($K$3,'2122 Band Values'!$A$5:$AU$24,47,(FALSE))</f>
        <v>234.8466885007274</v>
      </c>
      <c r="L32" s="293"/>
      <c r="M32" s="418"/>
      <c r="R32" s="1466"/>
    </row>
    <row r="33" spans="1:18" x14ac:dyDescent="0.25">
      <c r="A33" s="185">
        <v>9257011</v>
      </c>
      <c r="B33" t="str">
        <f>CONCATENATE(A33,C33)</f>
        <v>9257011c</v>
      </c>
      <c r="C33" s="610" t="s">
        <v>1229</v>
      </c>
      <c r="D33" s="1465" t="s">
        <v>645</v>
      </c>
      <c r="E33" s="81"/>
      <c r="F33" s="84">
        <f t="shared" ref="F33:K33" si="18">IF(F32&gt;$N$29,(0*F31),(($N$29-F32)*F31))</f>
        <v>0</v>
      </c>
      <c r="G33" s="84">
        <f t="shared" si="18"/>
        <v>0</v>
      </c>
      <c r="H33" s="84">
        <f t="shared" si="18"/>
        <v>0</v>
      </c>
      <c r="I33" s="84">
        <f t="shared" si="18"/>
        <v>0</v>
      </c>
      <c r="J33" s="84">
        <f t="shared" si="18"/>
        <v>0</v>
      </c>
      <c r="K33" s="84">
        <f t="shared" si="18"/>
        <v>0</v>
      </c>
      <c r="L33" s="1467">
        <f>SUM(F33:K33)</f>
        <v>0</v>
      </c>
      <c r="M33" s="418">
        <f>L33-O28</f>
        <v>0</v>
      </c>
      <c r="N33" s="1417"/>
      <c r="O33" s="1417"/>
      <c r="P33" s="1417"/>
      <c r="Q33" s="1417"/>
      <c r="R33" s="1466"/>
    </row>
    <row r="34" spans="1:18" x14ac:dyDescent="0.25">
      <c r="A34" s="185">
        <v>9257011</v>
      </c>
      <c r="B34" t="str">
        <f t="shared" si="15"/>
        <v>9257011d</v>
      </c>
      <c r="C34" s="610" t="s">
        <v>1230</v>
      </c>
      <c r="D34" s="1465" t="s">
        <v>1186</v>
      </c>
      <c r="E34" s="81"/>
      <c r="F34" s="84">
        <f t="shared" ref="F34:K34" si="19">IF(F33&gt;0,(F33/F31),(0))</f>
        <v>0</v>
      </c>
      <c r="G34" s="84">
        <f t="shared" si="19"/>
        <v>0</v>
      </c>
      <c r="H34" s="84">
        <f t="shared" si="19"/>
        <v>0</v>
      </c>
      <c r="I34" s="84">
        <f t="shared" si="19"/>
        <v>0</v>
      </c>
      <c r="J34" s="84">
        <f t="shared" si="19"/>
        <v>0</v>
      </c>
      <c r="K34" s="84">
        <f t="shared" si="19"/>
        <v>0</v>
      </c>
      <c r="L34" s="418"/>
      <c r="M34" s="418"/>
      <c r="N34" s="1417"/>
      <c r="O34" s="1417"/>
      <c r="P34" s="1417"/>
      <c r="Q34" s="1417"/>
      <c r="R34" s="1466"/>
    </row>
    <row r="35" spans="1:18" x14ac:dyDescent="0.25">
      <c r="A35" s="1048"/>
      <c r="B35" s="1048" t="s">
        <v>71</v>
      </c>
      <c r="C35" s="1036"/>
      <c r="D35" s="1036"/>
      <c r="E35" s="1037"/>
      <c r="F35" s="1038"/>
      <c r="G35" s="1038"/>
      <c r="H35" s="1038"/>
      <c r="I35" s="1038"/>
      <c r="J35" s="1038"/>
      <c r="K35" s="1038"/>
      <c r="L35" s="1038"/>
      <c r="M35" s="1038"/>
      <c r="N35" s="1037"/>
      <c r="O35" s="1037"/>
      <c r="P35" s="1037"/>
      <c r="Q35" s="1037"/>
    </row>
    <row r="36" spans="1:18" x14ac:dyDescent="0.25">
      <c r="A36" s="185">
        <v>9257024</v>
      </c>
      <c r="B36" t="str">
        <f>CONCATENATE(A36,C36)</f>
        <v>92570242020/21</v>
      </c>
      <c r="C36" t="s">
        <v>937</v>
      </c>
      <c r="D36" s="612" t="s">
        <v>1183</v>
      </c>
      <c r="E36" s="1030">
        <f>'202021 MFG Protection'!E37</f>
        <v>70.315946713684014</v>
      </c>
      <c r="F36" s="1030">
        <f>'202021 MFG Protection'!F37</f>
        <v>8.8993902439024399</v>
      </c>
      <c r="G36" s="1030">
        <f>'202021 MFG Protection'!G37</f>
        <v>33.619918699186996</v>
      </c>
      <c r="H36" s="1030">
        <f>'202021 MFG Protection'!H37</f>
        <v>1.9776422764227646</v>
      </c>
      <c r="I36" s="1030">
        <f>'202021 MFG Protection'!I37</f>
        <v>10.877032520325205</v>
      </c>
      <c r="J36" s="1030">
        <f>'202021 MFG Protection'!J37</f>
        <v>9.009036144578312</v>
      </c>
      <c r="K36" s="1030">
        <f>'202021 MFG Protection'!K37</f>
        <v>5.9329268292682933</v>
      </c>
      <c r="L36" s="1030">
        <f>'202021 MFG Protection'!L37</f>
        <v>0</v>
      </c>
      <c r="N36" s="16">
        <f>'202021 MFG Protection'!N32</f>
        <v>466.30584593383537</v>
      </c>
      <c r="O36" s="16">
        <f>VLOOKUP(A36,'2021 Funding Detail'!$A$4:$W$23,23,(FALSE))</f>
        <v>32788.737014962913</v>
      </c>
      <c r="R36" s="1466"/>
    </row>
    <row r="37" spans="1:18" x14ac:dyDescent="0.25">
      <c r="A37" s="185">
        <v>9257024</v>
      </c>
      <c r="B37" t="str">
        <f>CONCATENATE(A37,C37)</f>
        <v>92570242021/22</v>
      </c>
      <c r="C37" t="s">
        <v>990</v>
      </c>
      <c r="D37" t="str">
        <f>CONCATENATE(A37,C37)</f>
        <v>92570242021/22</v>
      </c>
      <c r="E37" s="1030">
        <f>VLOOKUP(A37,'2122 Funding Detail'!$A$4:$M$21,13,(FALSE))</f>
        <v>83.916666666666686</v>
      </c>
      <c r="F37" s="1045">
        <f>$E$37*'2122 Band Calculations'!D10</f>
        <v>7.0773092369477926</v>
      </c>
      <c r="G37" s="1045">
        <f>$E$37*'2122 Band Calculations'!E10</f>
        <v>38.419678714859444</v>
      </c>
      <c r="H37" s="1045">
        <f>$E$37*'2122 Band Calculations'!F10</f>
        <v>1.0110441767068277</v>
      </c>
      <c r="I37" s="1045">
        <f>$E$37*'2122 Band Calculations'!G10</f>
        <v>15.165662650602412</v>
      </c>
      <c r="J37" s="1045">
        <f>$E$37*'2122 Band Calculations'!H10</f>
        <v>7.0773092369477926</v>
      </c>
      <c r="K37" s="1045">
        <f>$E$37*'2122 Band Calculations'!I10</f>
        <v>6.0662650602409647</v>
      </c>
      <c r="L37" s="1045">
        <f>$E$37*'2122 Band Calculations'!J10</f>
        <v>9.0993975903614484</v>
      </c>
      <c r="N37" s="16">
        <f>IF(N36&gt;0,(N36),(0))</f>
        <v>466.30584593383537</v>
      </c>
      <c r="R37" s="1466"/>
    </row>
    <row r="38" spans="1:18" x14ac:dyDescent="0.25">
      <c r="A38" s="185">
        <v>9257024</v>
      </c>
      <c r="B38" t="str">
        <f t="shared" ref="B38:B42" si="20">CONCATENATE(A38,C38)</f>
        <v>9257024</v>
      </c>
      <c r="F38" s="1031">
        <f t="shared" ref="F38:K38" si="21">F37-F36</f>
        <v>-1.8220810069546474</v>
      </c>
      <c r="G38" s="1031">
        <f t="shared" si="21"/>
        <v>4.7997600156724474</v>
      </c>
      <c r="H38" s="1031">
        <f t="shared" si="21"/>
        <v>-0.96659809971593691</v>
      </c>
      <c r="I38" s="1031">
        <f t="shared" si="21"/>
        <v>4.2886301302772072</v>
      </c>
      <c r="J38" s="1031">
        <f t="shared" si="21"/>
        <v>-1.9317269076305195</v>
      </c>
      <c r="K38" s="1031">
        <f t="shared" si="21"/>
        <v>0.13333823097267139</v>
      </c>
      <c r="R38" s="1466"/>
    </row>
    <row r="39" spans="1:18" x14ac:dyDescent="0.25">
      <c r="A39" s="185">
        <v>9257024</v>
      </c>
      <c r="B39" t="str">
        <f t="shared" si="20"/>
        <v>9257024a</v>
      </c>
      <c r="C39" s="1465" t="s">
        <v>1227</v>
      </c>
      <c r="D39" s="1465" t="s">
        <v>1183</v>
      </c>
      <c r="E39" s="81"/>
      <c r="F39" s="1046">
        <f t="shared" ref="F39:K39" si="22">IF(F36&gt;F37,(F37),(F36))</f>
        <v>7.0773092369477926</v>
      </c>
      <c r="G39" s="1046">
        <f t="shared" si="22"/>
        <v>33.619918699186996</v>
      </c>
      <c r="H39" s="1046">
        <f t="shared" si="22"/>
        <v>1.0110441767068277</v>
      </c>
      <c r="I39" s="1046">
        <f t="shared" si="22"/>
        <v>10.877032520325205</v>
      </c>
      <c r="J39" s="1046">
        <f t="shared" si="22"/>
        <v>7.0773092369477926</v>
      </c>
      <c r="K39" s="1046">
        <f t="shared" si="22"/>
        <v>5.9329268292682933</v>
      </c>
      <c r="L39" s="293"/>
      <c r="M39" s="418"/>
      <c r="O39" s="16"/>
      <c r="P39" s="16"/>
      <c r="R39" s="1466"/>
    </row>
    <row r="40" spans="1:18" x14ac:dyDescent="0.25">
      <c r="A40" s="185">
        <v>9257024</v>
      </c>
      <c r="B40" t="str">
        <f t="shared" si="20"/>
        <v>9257024b</v>
      </c>
      <c r="C40" s="610" t="s">
        <v>1228</v>
      </c>
      <c r="D40" s="1465" t="s">
        <v>1184</v>
      </c>
      <c r="E40" s="81"/>
      <c r="F40" s="84">
        <f>VLOOKUP($F$3,'2122 Band Values'!$A$5:$AU$24,47,(FALSE))</f>
        <v>58.711672125181849</v>
      </c>
      <c r="G40" s="84">
        <f>VLOOKUP($G$3,'2122 Band Values'!$A$5:$AU$24,47,(FALSE))</f>
        <v>70.45400655021831</v>
      </c>
      <c r="H40" s="84">
        <f>VLOOKUP($H$3,'2122 Band Values'!$A$5:$AU$24,47,(FALSE))</f>
        <v>211.36201965065447</v>
      </c>
      <c r="I40" s="84">
        <f>VLOOKUP($I$3,'2122 Band Values'!$A$5:$AU$24,47,(FALSE))</f>
        <v>264.20252456331764</v>
      </c>
      <c r="J40" s="84">
        <f>VLOOKUP($J$3,'2122 Band Values'!$A$5:$AU$24,47,(FALSE))</f>
        <v>264.20252456331764</v>
      </c>
      <c r="K40" s="84">
        <f>VLOOKUP($K$3,'2122 Band Values'!$A$5:$AU$24,47,(FALSE))</f>
        <v>234.8466885007274</v>
      </c>
      <c r="L40" s="293"/>
      <c r="M40" s="418"/>
      <c r="R40" s="1466"/>
    </row>
    <row r="41" spans="1:18" x14ac:dyDescent="0.25">
      <c r="A41" s="185">
        <v>9257024</v>
      </c>
      <c r="B41" t="str">
        <f>CONCATENATE(A41,C41)</f>
        <v>9257024c</v>
      </c>
      <c r="C41" s="610" t="s">
        <v>1229</v>
      </c>
      <c r="D41" s="1465" t="s">
        <v>645</v>
      </c>
      <c r="E41" s="81"/>
      <c r="F41" s="84">
        <f t="shared" ref="F41:K41" si="23">IF(F40&gt;$N$37,(0*F39),(($N$37-F40)*F39))</f>
        <v>2884.6700112220874</v>
      </c>
      <c r="G41" s="84">
        <f t="shared" si="23"/>
        <v>13308.506657000835</v>
      </c>
      <c r="H41" s="84">
        <f t="shared" si="23"/>
        <v>257.75947095096711</v>
      </c>
      <c r="I41" s="84">
        <f t="shared" si="23"/>
        <v>2198.2843990128572</v>
      </c>
      <c r="J41" s="84">
        <f t="shared" si="23"/>
        <v>1430.3477031533935</v>
      </c>
      <c r="K41" s="84">
        <f t="shared" si="23"/>
        <v>1373.2302450147199</v>
      </c>
      <c r="L41" s="1467">
        <f>SUM(F41:K41)</f>
        <v>21452.798486354863</v>
      </c>
      <c r="M41" s="418">
        <f>L41-O36</f>
        <v>-11335.938528608051</v>
      </c>
      <c r="N41" s="1417"/>
      <c r="O41" s="1417"/>
      <c r="P41" s="1417"/>
      <c r="Q41" s="1417"/>
      <c r="R41" s="1466"/>
    </row>
    <row r="42" spans="1:18" x14ac:dyDescent="0.25">
      <c r="A42" s="185">
        <v>9257024</v>
      </c>
      <c r="B42" t="str">
        <f t="shared" si="20"/>
        <v>9257024d</v>
      </c>
      <c r="C42" s="610" t="s">
        <v>1230</v>
      </c>
      <c r="D42" s="1465" t="s">
        <v>1186</v>
      </c>
      <c r="E42" s="81"/>
      <c r="F42" s="84">
        <f t="shared" ref="F42:K42" si="24">IF(F41&gt;0,(F41/F39),(0))</f>
        <v>407.59417380865347</v>
      </c>
      <c r="G42" s="84">
        <f t="shared" si="24"/>
        <v>395.85183938361706</v>
      </c>
      <c r="H42" s="84">
        <f t="shared" si="24"/>
        <v>254.9438262831809</v>
      </c>
      <c r="I42" s="84">
        <f t="shared" si="24"/>
        <v>202.1033213705177</v>
      </c>
      <c r="J42" s="84">
        <f t="shared" si="24"/>
        <v>202.10332137051776</v>
      </c>
      <c r="K42" s="84">
        <f t="shared" si="24"/>
        <v>231.45915743310795</v>
      </c>
      <c r="L42" s="418"/>
      <c r="M42" s="418"/>
      <c r="N42" s="1417"/>
      <c r="O42" s="1417"/>
      <c r="P42" s="1417"/>
      <c r="Q42" s="1417"/>
      <c r="R42" s="1466"/>
    </row>
    <row r="43" spans="1:18" x14ac:dyDescent="0.25">
      <c r="A43" s="1048"/>
      <c r="B43" s="1048" t="s">
        <v>98</v>
      </c>
      <c r="C43" s="1036"/>
      <c r="D43" s="1036"/>
      <c r="E43" s="1037"/>
      <c r="F43" s="1038"/>
      <c r="G43" s="1038"/>
      <c r="H43" s="1038"/>
      <c r="I43" s="1038"/>
      <c r="J43" s="1038"/>
      <c r="K43" s="1038"/>
      <c r="L43" s="1038"/>
      <c r="M43" s="1038"/>
      <c r="N43" s="1037"/>
      <c r="O43" s="1037"/>
      <c r="P43" s="1037"/>
      <c r="Q43" s="1037"/>
    </row>
    <row r="44" spans="1:18" x14ac:dyDescent="0.25">
      <c r="A44" s="185">
        <v>9257031</v>
      </c>
      <c r="B44" t="str">
        <f>CONCATENATE(A44,C44)</f>
        <v>92570312020/21</v>
      </c>
      <c r="C44" t="s">
        <v>937</v>
      </c>
      <c r="D44" s="612" t="s">
        <v>1183</v>
      </c>
      <c r="E44" s="1030">
        <f>'202021 MFG Protection'!E44</f>
        <v>73.75</v>
      </c>
      <c r="F44" s="1030">
        <f>'202021 MFG Protection'!F44</f>
        <v>0</v>
      </c>
      <c r="G44" s="1030">
        <f>'202021 MFG Protection'!G44</f>
        <v>0</v>
      </c>
      <c r="H44" s="1030">
        <f>'202021 MFG Protection'!H44</f>
        <v>73.75</v>
      </c>
      <c r="I44" s="1030">
        <f>'202021 MFG Protection'!I44</f>
        <v>0</v>
      </c>
      <c r="J44" s="1030">
        <f>'202021 MFG Protection'!J44</f>
        <v>0</v>
      </c>
      <c r="K44" s="1030">
        <f>'202021 MFG Protection'!K44</f>
        <v>0</v>
      </c>
      <c r="L44" s="1030">
        <f>'202021 MFG Protection'!L44</f>
        <v>0</v>
      </c>
      <c r="N44" s="16">
        <f>'202021 MFG Protection'!N39</f>
        <v>452.71438584919269</v>
      </c>
      <c r="O44" s="16">
        <f>VLOOKUP(A44,'2021 Funding Detail'!$A$4:$W$23,23,(FALSE))</f>
        <v>33387.685956377958</v>
      </c>
      <c r="R44" s="1466"/>
    </row>
    <row r="45" spans="1:18" x14ac:dyDescent="0.25">
      <c r="A45" s="185">
        <v>9257031</v>
      </c>
      <c r="B45" t="str">
        <f>CONCATENATE(A45,C45)</f>
        <v>92570312021/22</v>
      </c>
      <c r="C45" t="s">
        <v>990</v>
      </c>
      <c r="D45" t="str">
        <f>CONCATENATE(A45,C45)</f>
        <v>92570312021/22</v>
      </c>
      <c r="E45" s="1030">
        <f>VLOOKUP(A45,'2122 Funding Detail'!$A$4:$M$21,13,(FALSE))</f>
        <v>80.583333333333343</v>
      </c>
      <c r="F45" s="1029">
        <f>$E$45*'2122 Band Calculations'!D33</f>
        <v>0</v>
      </c>
      <c r="G45" s="1029">
        <f>$E$45*'2122 Band Calculations'!E33</f>
        <v>0</v>
      </c>
      <c r="H45" s="1029">
        <f>$E$45*'2122 Band Calculations'!F33</f>
        <v>80.583333333333343</v>
      </c>
      <c r="I45" s="1029">
        <f>$E$45*'2122 Band Calculations'!G33</f>
        <v>0</v>
      </c>
      <c r="J45" s="1029">
        <f>$E$45*'2122 Band Calculations'!H33</f>
        <v>0</v>
      </c>
      <c r="K45" s="1029">
        <f>$E$45*'2122 Band Calculations'!I33</f>
        <v>0</v>
      </c>
      <c r="L45" s="1029">
        <f>$E$45*'2122 Band Calculations'!J33</f>
        <v>0</v>
      </c>
      <c r="N45" s="16">
        <f>IF(N44&gt;0,(N44),(0))</f>
        <v>452.71438584919269</v>
      </c>
      <c r="R45" s="1466"/>
    </row>
    <row r="46" spans="1:18" x14ac:dyDescent="0.25">
      <c r="A46" s="185">
        <v>9257031</v>
      </c>
      <c r="B46" t="str">
        <f t="shared" ref="B46:B50" si="25">CONCATENATE(A46,C46)</f>
        <v>9257031</v>
      </c>
      <c r="F46" s="1031">
        <f t="shared" ref="F46:K46" si="26">F45-F44</f>
        <v>0</v>
      </c>
      <c r="G46" s="1031">
        <f t="shared" si="26"/>
        <v>0</v>
      </c>
      <c r="H46" s="1031">
        <f t="shared" si="26"/>
        <v>6.8333333333333428</v>
      </c>
      <c r="I46" s="1031">
        <f t="shared" si="26"/>
        <v>0</v>
      </c>
      <c r="J46" s="1031">
        <f t="shared" si="26"/>
        <v>0</v>
      </c>
      <c r="K46" s="1031">
        <f t="shared" si="26"/>
        <v>0</v>
      </c>
      <c r="R46" s="1466"/>
    </row>
    <row r="47" spans="1:18" x14ac:dyDescent="0.25">
      <c r="A47" s="185">
        <v>9257031</v>
      </c>
      <c r="B47" t="str">
        <f t="shared" si="25"/>
        <v>9257031a</v>
      </c>
      <c r="C47" s="1465" t="s">
        <v>1227</v>
      </c>
      <c r="D47" s="1465" t="s">
        <v>1183</v>
      </c>
      <c r="E47" s="81"/>
      <c r="F47" s="1046">
        <f t="shared" ref="F47:K47" si="27">IF(F44&gt;F45,(F45),(F44))</f>
        <v>0</v>
      </c>
      <c r="G47" s="1046">
        <f t="shared" si="27"/>
        <v>0</v>
      </c>
      <c r="H47" s="1046">
        <f t="shared" si="27"/>
        <v>73.75</v>
      </c>
      <c r="I47" s="1046">
        <f t="shared" si="27"/>
        <v>0</v>
      </c>
      <c r="J47" s="1046">
        <f t="shared" si="27"/>
        <v>0</v>
      </c>
      <c r="K47" s="1046">
        <f t="shared" si="27"/>
        <v>0</v>
      </c>
      <c r="L47" s="293"/>
      <c r="M47" s="418"/>
      <c r="O47" s="16"/>
      <c r="P47" s="16"/>
      <c r="R47" s="1466"/>
    </row>
    <row r="48" spans="1:18" x14ac:dyDescent="0.25">
      <c r="A48" s="185">
        <v>9257031</v>
      </c>
      <c r="B48" t="str">
        <f t="shared" si="25"/>
        <v>9257031b</v>
      </c>
      <c r="C48" s="610" t="s">
        <v>1228</v>
      </c>
      <c r="D48" s="1465" t="s">
        <v>1184</v>
      </c>
      <c r="E48" s="81"/>
      <c r="F48" s="84">
        <f>VLOOKUP($F$3,'2122 Band Values'!$A$5:$AU$24,47,(FALSE))</f>
        <v>58.711672125181849</v>
      </c>
      <c r="G48" s="84">
        <f>VLOOKUP($G$3,'2122 Band Values'!$A$5:$AU$24,47,(FALSE))</f>
        <v>70.45400655021831</v>
      </c>
      <c r="H48" s="84">
        <f>VLOOKUP($H$3,'2122 Band Values'!$A$5:$AU$24,47,(FALSE))</f>
        <v>211.36201965065447</v>
      </c>
      <c r="I48" s="84">
        <f>VLOOKUP($I$3,'2122 Band Values'!$A$5:$AU$24,47,(FALSE))</f>
        <v>264.20252456331764</v>
      </c>
      <c r="J48" s="84">
        <f>VLOOKUP($J$3,'2122 Band Values'!$A$5:$AU$24,47,(FALSE))</f>
        <v>264.20252456331764</v>
      </c>
      <c r="K48" s="84">
        <f>VLOOKUP($K$3,'2122 Band Values'!$A$5:$AU$24,47,(FALSE))</f>
        <v>234.8466885007274</v>
      </c>
      <c r="L48" s="293"/>
      <c r="M48" s="418"/>
      <c r="R48" s="1466"/>
    </row>
    <row r="49" spans="1:18" x14ac:dyDescent="0.25">
      <c r="A49" s="185">
        <v>9257031</v>
      </c>
      <c r="B49" t="str">
        <f>CONCATENATE(A49,C49)</f>
        <v>9257031c</v>
      </c>
      <c r="C49" s="610" t="s">
        <v>1229</v>
      </c>
      <c r="D49" s="1465" t="s">
        <v>645</v>
      </c>
      <c r="E49" s="81"/>
      <c r="F49" s="84">
        <f t="shared" ref="F49:K49" si="28">IF(F48&gt;$N$45,(0*F47),(($N$45-F48)*F47))</f>
        <v>0</v>
      </c>
      <c r="G49" s="84">
        <f t="shared" si="28"/>
        <v>0</v>
      </c>
      <c r="H49" s="84">
        <f t="shared" si="28"/>
        <v>17799.737007142194</v>
      </c>
      <c r="I49" s="84">
        <f t="shared" si="28"/>
        <v>0</v>
      </c>
      <c r="J49" s="84">
        <f t="shared" si="28"/>
        <v>0</v>
      </c>
      <c r="K49" s="84">
        <f t="shared" si="28"/>
        <v>0</v>
      </c>
      <c r="L49" s="1467">
        <f>SUM(F49:K49)</f>
        <v>17799.737007142194</v>
      </c>
      <c r="M49" s="418">
        <f>L49-O44</f>
        <v>-15587.948949235764</v>
      </c>
      <c r="N49" s="1417"/>
      <c r="O49" s="1417"/>
      <c r="P49" s="1417"/>
      <c r="Q49" s="1417"/>
      <c r="R49" s="1466"/>
    </row>
    <row r="50" spans="1:18" x14ac:dyDescent="0.25">
      <c r="A50" s="185">
        <v>9257031</v>
      </c>
      <c r="B50" t="str">
        <f t="shared" si="25"/>
        <v>9257031d</v>
      </c>
      <c r="C50" s="610" t="s">
        <v>1230</v>
      </c>
      <c r="D50" s="1465" t="s">
        <v>1186</v>
      </c>
      <c r="E50" s="81"/>
      <c r="F50" s="84">
        <f t="shared" ref="F50:K50" si="29">IF(F49&gt;0,(F49/F47),(0))</f>
        <v>0</v>
      </c>
      <c r="G50" s="84">
        <f t="shared" si="29"/>
        <v>0</v>
      </c>
      <c r="H50" s="84">
        <f t="shared" si="29"/>
        <v>241.35236619853822</v>
      </c>
      <c r="I50" s="84">
        <f t="shared" si="29"/>
        <v>0</v>
      </c>
      <c r="J50" s="84">
        <f t="shared" si="29"/>
        <v>0</v>
      </c>
      <c r="K50" s="84">
        <f t="shared" si="29"/>
        <v>0</v>
      </c>
      <c r="L50" s="418"/>
      <c r="M50" s="418"/>
      <c r="N50" s="1417"/>
      <c r="O50" s="1417"/>
      <c r="P50" s="1417"/>
      <c r="Q50" s="1417"/>
      <c r="R50" s="1466"/>
    </row>
    <row r="51" spans="1:18" x14ac:dyDescent="0.25">
      <c r="A51" s="1036"/>
      <c r="B51" s="1036" t="s">
        <v>72</v>
      </c>
      <c r="C51" s="1036"/>
      <c r="D51" s="1036"/>
      <c r="E51" s="1037"/>
      <c r="F51" s="1038"/>
      <c r="G51" s="1038"/>
      <c r="H51" s="1038"/>
      <c r="I51" s="1038"/>
      <c r="J51" s="1038"/>
      <c r="K51" s="1038"/>
      <c r="L51" s="1038"/>
      <c r="M51" s="1038"/>
      <c r="N51" s="1037"/>
      <c r="O51" s="1037"/>
      <c r="P51" s="1037"/>
      <c r="Q51" s="1037"/>
    </row>
    <row r="52" spans="1:18" x14ac:dyDescent="0.25">
      <c r="A52" s="185">
        <v>9257033</v>
      </c>
      <c r="B52" t="str">
        <f>CONCATENATE(A52,C52)</f>
        <v>92570332020/21</v>
      </c>
      <c r="C52" t="s">
        <v>937</v>
      </c>
      <c r="D52" s="612" t="s">
        <v>1183</v>
      </c>
      <c r="E52" s="1030">
        <f>'202021 MFG Protection'!E51</f>
        <v>0</v>
      </c>
      <c r="F52" s="1030">
        <f>'202021 MFG Protection'!F51</f>
        <v>0</v>
      </c>
      <c r="G52" s="1030">
        <f>'202021 MFG Protection'!G51</f>
        <v>0</v>
      </c>
      <c r="H52" s="1030">
        <f>'202021 MFG Protection'!H51</f>
        <v>0</v>
      </c>
      <c r="I52" s="1030">
        <f>'202021 MFG Protection'!I51</f>
        <v>0</v>
      </c>
      <c r="J52" s="1030">
        <f>'202021 MFG Protection'!J51</f>
        <v>0</v>
      </c>
      <c r="K52" s="1030">
        <f>'202021 MFG Protection'!K51</f>
        <v>0</v>
      </c>
      <c r="L52" s="1030">
        <f>'202021 MFG Protection'!L51</f>
        <v>0</v>
      </c>
      <c r="N52" s="16">
        <f>'202021 MFG Protection'!N46</f>
        <v>-280.10359679189787</v>
      </c>
      <c r="O52" s="16">
        <f>VLOOKUP(A52,'2021 Funding Detail'!$A$4:$W$23,23,(FALSE))</f>
        <v>0</v>
      </c>
      <c r="R52" s="1466"/>
    </row>
    <row r="53" spans="1:18" x14ac:dyDescent="0.25">
      <c r="A53" s="185">
        <v>9257033</v>
      </c>
      <c r="B53" t="str">
        <f>CONCATENATE(A53,C53)</f>
        <v>92570332021/22</v>
      </c>
      <c r="C53" t="s">
        <v>990</v>
      </c>
      <c r="D53" t="str">
        <f>CONCATENATE(A53,C53)</f>
        <v>92570332021/22</v>
      </c>
      <c r="E53" s="1030">
        <f>VLOOKUP(A53,'2122 Funding Detail'!$A$4:$M$21,13,(FALSE))</f>
        <v>98.416666666666671</v>
      </c>
      <c r="F53" s="1046">
        <f>$E$53*'2122 Band Calculations'!D12</f>
        <v>16.575438596491228</v>
      </c>
      <c r="G53" s="1046">
        <f>$E$53*'2122 Band Calculations'!E12</f>
        <v>52.834210526315793</v>
      </c>
      <c r="H53" s="1046">
        <f>$E$53*'2122 Band Calculations'!F12</f>
        <v>6.215789473684211</v>
      </c>
      <c r="I53" s="1046">
        <f>$E$53*'2122 Band Calculations'!G12</f>
        <v>14.503508771929823</v>
      </c>
      <c r="J53" s="1046">
        <f>$E$53*'2122 Band Calculations'!H12</f>
        <v>4.143859649122807</v>
      </c>
      <c r="K53" s="1046">
        <f>$E$53*'2122 Band Calculations'!I12</f>
        <v>4.143859649122807</v>
      </c>
      <c r="L53" s="1046">
        <f>$E$53*'2122 Band Calculations'!J12</f>
        <v>0</v>
      </c>
      <c r="N53" s="16">
        <f>IF(N52&gt;0,(N52),(0))</f>
        <v>0</v>
      </c>
      <c r="R53" s="1466"/>
    </row>
    <row r="54" spans="1:18" x14ac:dyDescent="0.25">
      <c r="A54" s="185">
        <v>9257033</v>
      </c>
      <c r="B54" t="str">
        <f t="shared" ref="B54:B58" si="30">CONCATENATE(A54,C54)</f>
        <v>9257033</v>
      </c>
      <c r="F54" s="1031">
        <f t="shared" ref="F54:K54" si="31">F53-F52</f>
        <v>16.575438596491228</v>
      </c>
      <c r="G54" s="1031">
        <f t="shared" si="31"/>
        <v>52.834210526315793</v>
      </c>
      <c r="H54" s="1031">
        <f t="shared" si="31"/>
        <v>6.215789473684211</v>
      </c>
      <c r="I54" s="1031">
        <f t="shared" si="31"/>
        <v>14.503508771929823</v>
      </c>
      <c r="J54" s="1031">
        <f t="shared" si="31"/>
        <v>4.143859649122807</v>
      </c>
      <c r="K54" s="1031">
        <f t="shared" si="31"/>
        <v>4.143859649122807</v>
      </c>
      <c r="R54" s="1466"/>
    </row>
    <row r="55" spans="1:18" x14ac:dyDescent="0.25">
      <c r="A55" s="185">
        <v>9257033</v>
      </c>
      <c r="B55" t="str">
        <f t="shared" si="30"/>
        <v>9257033a</v>
      </c>
      <c r="C55" s="1465" t="s">
        <v>1227</v>
      </c>
      <c r="D55" s="1465" t="s">
        <v>1183</v>
      </c>
      <c r="E55" s="81"/>
      <c r="F55" s="1046">
        <f t="shared" ref="F55:K55" si="32">IF(F52&gt;F53,(F53),(F52))</f>
        <v>0</v>
      </c>
      <c r="G55" s="1046">
        <f t="shared" si="32"/>
        <v>0</v>
      </c>
      <c r="H55" s="1046">
        <f t="shared" si="32"/>
        <v>0</v>
      </c>
      <c r="I55" s="1046">
        <f t="shared" si="32"/>
        <v>0</v>
      </c>
      <c r="J55" s="1046">
        <f t="shared" si="32"/>
        <v>0</v>
      </c>
      <c r="K55" s="1046">
        <f t="shared" si="32"/>
        <v>0</v>
      </c>
      <c r="L55" s="293"/>
      <c r="M55" s="418"/>
      <c r="O55" s="16"/>
      <c r="P55" s="16"/>
      <c r="R55" s="1466"/>
    </row>
    <row r="56" spans="1:18" x14ac:dyDescent="0.25">
      <c r="A56" s="185">
        <v>9257033</v>
      </c>
      <c r="B56" t="str">
        <f t="shared" si="30"/>
        <v>9257033b</v>
      </c>
      <c r="C56" s="610" t="s">
        <v>1228</v>
      </c>
      <c r="D56" s="1465" t="s">
        <v>1184</v>
      </c>
      <c r="E56" s="81"/>
      <c r="F56" s="84">
        <f>VLOOKUP($F$3,'2122 Band Values'!$A$5:$AU$24,47,(FALSE))</f>
        <v>58.711672125181849</v>
      </c>
      <c r="G56" s="84">
        <f>VLOOKUP($G$3,'2122 Band Values'!$A$5:$AU$24,47,(FALSE))</f>
        <v>70.45400655021831</v>
      </c>
      <c r="H56" s="84">
        <f>VLOOKUP($H$3,'2122 Band Values'!$A$5:$AU$24,47,(FALSE))</f>
        <v>211.36201965065447</v>
      </c>
      <c r="I56" s="84">
        <f>VLOOKUP($I$3,'2122 Band Values'!$A$5:$AU$24,47,(FALSE))</f>
        <v>264.20252456331764</v>
      </c>
      <c r="J56" s="84">
        <f>VLOOKUP($J$3,'2122 Band Values'!$A$5:$AU$24,47,(FALSE))</f>
        <v>264.20252456331764</v>
      </c>
      <c r="K56" s="84">
        <f>VLOOKUP($K$3,'2122 Band Values'!$A$5:$AU$24,47,(FALSE))</f>
        <v>234.8466885007274</v>
      </c>
      <c r="L56" s="293"/>
      <c r="M56" s="418"/>
      <c r="R56" s="1466"/>
    </row>
    <row r="57" spans="1:18" x14ac:dyDescent="0.25">
      <c r="A57" s="185">
        <v>9257033</v>
      </c>
      <c r="B57" t="str">
        <f>CONCATENATE(A57,C57)</f>
        <v>9257033c</v>
      </c>
      <c r="C57" s="610" t="s">
        <v>1229</v>
      </c>
      <c r="D57" s="1465" t="s">
        <v>645</v>
      </c>
      <c r="E57" s="81"/>
      <c r="F57" s="84">
        <f t="shared" ref="F57:K57" si="33">IF(F56&gt;$N$53,(0*F55),(($N$53-F56)*F55))</f>
        <v>0</v>
      </c>
      <c r="G57" s="84">
        <f t="shared" si="33"/>
        <v>0</v>
      </c>
      <c r="H57" s="84">
        <f t="shared" si="33"/>
        <v>0</v>
      </c>
      <c r="I57" s="84">
        <f t="shared" si="33"/>
        <v>0</v>
      </c>
      <c r="J57" s="84">
        <f t="shared" si="33"/>
        <v>0</v>
      </c>
      <c r="K57" s="84">
        <f t="shared" si="33"/>
        <v>0</v>
      </c>
      <c r="L57" s="1467">
        <f>SUM(F57:K57)</f>
        <v>0</v>
      </c>
      <c r="M57" s="418">
        <f>L57-O52</f>
        <v>0</v>
      </c>
      <c r="N57" s="1417"/>
      <c r="O57" s="1417"/>
      <c r="P57" s="1417"/>
      <c r="Q57" s="1417"/>
      <c r="R57" s="1466"/>
    </row>
    <row r="58" spans="1:18" x14ac:dyDescent="0.25">
      <c r="A58" s="185">
        <v>9257033</v>
      </c>
      <c r="B58" t="str">
        <f t="shared" si="30"/>
        <v>9257033d</v>
      </c>
      <c r="C58" s="610" t="s">
        <v>1230</v>
      </c>
      <c r="D58" s="1465" t="s">
        <v>1186</v>
      </c>
      <c r="E58" s="81"/>
      <c r="F58" s="84">
        <f t="shared" ref="F58:K58" si="34">IF(F57&gt;0,(F57/F55),(0))</f>
        <v>0</v>
      </c>
      <c r="G58" s="84">
        <f t="shared" si="34"/>
        <v>0</v>
      </c>
      <c r="H58" s="84">
        <f t="shared" si="34"/>
        <v>0</v>
      </c>
      <c r="I58" s="84">
        <f t="shared" si="34"/>
        <v>0</v>
      </c>
      <c r="J58" s="84">
        <f t="shared" si="34"/>
        <v>0</v>
      </c>
      <c r="K58" s="84">
        <f t="shared" si="34"/>
        <v>0</v>
      </c>
      <c r="L58" s="418"/>
      <c r="M58" s="418"/>
      <c r="N58" s="1417"/>
      <c r="O58" s="1417"/>
      <c r="P58" s="1417"/>
      <c r="Q58" s="1417"/>
      <c r="R58" s="1466"/>
    </row>
    <row r="59" spans="1:18" x14ac:dyDescent="0.25">
      <c r="A59" s="1048"/>
      <c r="B59" s="1048" t="s">
        <v>73</v>
      </c>
      <c r="C59" s="1036"/>
      <c r="D59" s="1036"/>
      <c r="E59" s="1037"/>
      <c r="F59" s="1038"/>
      <c r="G59" s="1038"/>
      <c r="H59" s="1038"/>
      <c r="I59" s="1038"/>
      <c r="J59" s="1038"/>
      <c r="K59" s="1038"/>
      <c r="L59" s="1038"/>
      <c r="M59" s="1038"/>
      <c r="N59" s="1037"/>
      <c r="O59" s="1037"/>
      <c r="P59" s="1037"/>
      <c r="Q59" s="1037"/>
    </row>
    <row r="60" spans="1:18" x14ac:dyDescent="0.25">
      <c r="A60" s="185">
        <v>9257008</v>
      </c>
      <c r="B60" t="str">
        <f>CONCATENATE(A60,C60)</f>
        <v>92570082020/21</v>
      </c>
      <c r="C60" t="s">
        <v>937</v>
      </c>
      <c r="D60" s="612" t="s">
        <v>1183</v>
      </c>
      <c r="E60" s="1030">
        <f>'202021 MFG Protection'!E72</f>
        <v>0</v>
      </c>
      <c r="F60" s="1030">
        <f>'202021 MFG Protection'!F72</f>
        <v>0</v>
      </c>
      <c r="G60" s="1030">
        <f>'202021 MFG Protection'!G72</f>
        <v>0</v>
      </c>
      <c r="H60" s="1030">
        <f>'202021 MFG Protection'!H72</f>
        <v>0</v>
      </c>
      <c r="I60" s="1030">
        <f>'202021 MFG Protection'!I72</f>
        <v>0</v>
      </c>
      <c r="J60" s="1030">
        <f>'202021 MFG Protection'!J72</f>
        <v>0</v>
      </c>
      <c r="K60" s="1030">
        <f>'202021 MFG Protection'!K72</f>
        <v>0</v>
      </c>
      <c r="L60" s="1030">
        <f>'202021 MFG Protection'!L72</f>
        <v>0</v>
      </c>
      <c r="N60" s="16">
        <f>'202021 MFG Protection'!N53</f>
        <v>-74.125537404355782</v>
      </c>
      <c r="O60" s="16">
        <f>VLOOKUP(A60,'2021 Funding Detail'!$A$4:$W$23,23,(FALSE))</f>
        <v>0</v>
      </c>
      <c r="R60" s="1466"/>
    </row>
    <row r="61" spans="1:18" x14ac:dyDescent="0.25">
      <c r="A61" s="185">
        <v>9257008</v>
      </c>
      <c r="B61" t="str">
        <f>CONCATENATE(A61,C61)</f>
        <v>92570082021/22</v>
      </c>
      <c r="C61" t="s">
        <v>990</v>
      </c>
      <c r="D61" t="str">
        <f>CONCATENATE(A61,C61)</f>
        <v>92570082021/22</v>
      </c>
      <c r="E61" s="1030">
        <f>VLOOKUP(A61,'2122 Funding Detail'!$A$4:$M$21,13,(FALSE))</f>
        <v>98.583333333333343</v>
      </c>
      <c r="F61" s="1029">
        <f>$E$61*'2122 Band Calculations'!D13</f>
        <v>9.9579124579124585</v>
      </c>
      <c r="G61" s="1029">
        <f>$E$61*'2122 Band Calculations'!E13</f>
        <v>57.755892255892263</v>
      </c>
      <c r="H61" s="1029">
        <f>$E$61*'2122 Band Calculations'!F13</f>
        <v>7.966329966329968</v>
      </c>
      <c r="I61" s="1029">
        <f>$E$61*'2122 Band Calculations'!G13</f>
        <v>8.9621212121212128</v>
      </c>
      <c r="J61" s="1029">
        <f>$E$61*'2122 Band Calculations'!H13</f>
        <v>0.995791245791246</v>
      </c>
      <c r="K61" s="1029">
        <f>$E$61*'2122 Band Calculations'!I13</f>
        <v>11.949494949494952</v>
      </c>
      <c r="L61" s="1029">
        <f>$E$61*'2122 Band Calculations'!J13</f>
        <v>0.995791245791246</v>
      </c>
      <c r="N61" s="16">
        <f>IF(N60&gt;0,(N60),(0))</f>
        <v>0</v>
      </c>
      <c r="R61" s="1466"/>
    </row>
    <row r="62" spans="1:18" x14ac:dyDescent="0.25">
      <c r="A62" s="185">
        <v>9257008</v>
      </c>
      <c r="B62" t="str">
        <f t="shared" ref="B62:B66" si="35">CONCATENATE(A62,C62)</f>
        <v>9257008</v>
      </c>
      <c r="F62" s="1031">
        <f t="shared" ref="F62:K62" si="36">F61-F60</f>
        <v>9.9579124579124585</v>
      </c>
      <c r="G62" s="1031">
        <f t="shared" si="36"/>
        <v>57.755892255892263</v>
      </c>
      <c r="H62" s="1031">
        <f t="shared" si="36"/>
        <v>7.966329966329968</v>
      </c>
      <c r="I62" s="1031">
        <f t="shared" si="36"/>
        <v>8.9621212121212128</v>
      </c>
      <c r="J62" s="1031">
        <f t="shared" si="36"/>
        <v>0.995791245791246</v>
      </c>
      <c r="K62" s="1031">
        <f t="shared" si="36"/>
        <v>11.949494949494952</v>
      </c>
      <c r="R62" s="1466"/>
    </row>
    <row r="63" spans="1:18" x14ac:dyDescent="0.25">
      <c r="A63" s="185">
        <v>9257008</v>
      </c>
      <c r="B63" t="str">
        <f t="shared" si="35"/>
        <v>9257008a</v>
      </c>
      <c r="C63" s="1465" t="s">
        <v>1227</v>
      </c>
      <c r="D63" s="1465" t="s">
        <v>1183</v>
      </c>
      <c r="E63" s="81"/>
      <c r="F63" s="1046">
        <f t="shared" ref="F63:K63" si="37">IF(F60&gt;F61,(F61),(F60))</f>
        <v>0</v>
      </c>
      <c r="G63" s="1046">
        <f t="shared" si="37"/>
        <v>0</v>
      </c>
      <c r="H63" s="1046">
        <f t="shared" si="37"/>
        <v>0</v>
      </c>
      <c r="I63" s="1046">
        <f t="shared" si="37"/>
        <v>0</v>
      </c>
      <c r="J63" s="1046">
        <f t="shared" si="37"/>
        <v>0</v>
      </c>
      <c r="K63" s="1046">
        <f t="shared" si="37"/>
        <v>0</v>
      </c>
      <c r="L63" s="293"/>
      <c r="M63" s="418"/>
      <c r="O63" s="16"/>
      <c r="P63" s="16"/>
      <c r="R63" s="1466"/>
    </row>
    <row r="64" spans="1:18" x14ac:dyDescent="0.25">
      <c r="A64" s="185">
        <v>9257008</v>
      </c>
      <c r="B64" t="str">
        <f t="shared" si="35"/>
        <v>9257008b</v>
      </c>
      <c r="C64" s="610" t="s">
        <v>1228</v>
      </c>
      <c r="D64" s="1465" t="s">
        <v>1184</v>
      </c>
      <c r="E64" s="81"/>
      <c r="F64" s="84">
        <f>VLOOKUP($F$3,'2122 Band Values'!$A$5:$AU$24,47,(FALSE))</f>
        <v>58.711672125181849</v>
      </c>
      <c r="G64" s="84">
        <f>VLOOKUP($G$3,'2122 Band Values'!$A$5:$AU$24,47,(FALSE))</f>
        <v>70.45400655021831</v>
      </c>
      <c r="H64" s="84">
        <f>VLOOKUP($H$3,'2122 Band Values'!$A$5:$AU$24,47,(FALSE))</f>
        <v>211.36201965065447</v>
      </c>
      <c r="I64" s="84">
        <f>VLOOKUP($I$3,'2122 Band Values'!$A$5:$AU$24,47,(FALSE))</f>
        <v>264.20252456331764</v>
      </c>
      <c r="J64" s="84">
        <f>VLOOKUP($J$3,'2122 Band Values'!$A$5:$AU$24,47,(FALSE))</f>
        <v>264.20252456331764</v>
      </c>
      <c r="K64" s="84">
        <f>VLOOKUP($K$3,'2122 Band Values'!$A$5:$AU$24,47,(FALSE))</f>
        <v>234.8466885007274</v>
      </c>
      <c r="L64" s="293"/>
      <c r="M64" s="418"/>
      <c r="R64" s="1466"/>
    </row>
    <row r="65" spans="1:18" x14ac:dyDescent="0.25">
      <c r="A65" s="185">
        <v>9257008</v>
      </c>
      <c r="B65" t="str">
        <f>CONCATENATE(A65,C65)</f>
        <v>9257008c</v>
      </c>
      <c r="C65" s="610" t="s">
        <v>1229</v>
      </c>
      <c r="D65" s="1465" t="s">
        <v>645</v>
      </c>
      <c r="E65" s="81"/>
      <c r="F65" s="84">
        <f t="shared" ref="F65:K65" si="38">IF(F64&gt;$N$61,(0*F63),(($N$61-F64)*F63))</f>
        <v>0</v>
      </c>
      <c r="G65" s="84">
        <f t="shared" si="38"/>
        <v>0</v>
      </c>
      <c r="H65" s="84">
        <f t="shared" si="38"/>
        <v>0</v>
      </c>
      <c r="I65" s="84">
        <f t="shared" si="38"/>
        <v>0</v>
      </c>
      <c r="J65" s="84">
        <f t="shared" si="38"/>
        <v>0</v>
      </c>
      <c r="K65" s="84">
        <f t="shared" si="38"/>
        <v>0</v>
      </c>
      <c r="L65" s="1467">
        <f>SUM(F65:K65)</f>
        <v>0</v>
      </c>
      <c r="M65" s="418">
        <f>L65-O60</f>
        <v>0</v>
      </c>
      <c r="N65" s="1417"/>
      <c r="O65" s="1417"/>
      <c r="P65" s="1417"/>
      <c r="Q65" s="1417"/>
      <c r="R65" s="1466"/>
    </row>
    <row r="66" spans="1:18" x14ac:dyDescent="0.25">
      <c r="A66" s="185">
        <v>9257008</v>
      </c>
      <c r="B66" t="str">
        <f t="shared" si="35"/>
        <v>9257008d</v>
      </c>
      <c r="C66" s="610" t="s">
        <v>1230</v>
      </c>
      <c r="D66" s="1465" t="s">
        <v>1186</v>
      </c>
      <c r="E66" s="81"/>
      <c r="F66" s="84">
        <f t="shared" ref="F66:K66" si="39">IF(F65&gt;0,(F65/F63),(0))</f>
        <v>0</v>
      </c>
      <c r="G66" s="84">
        <f t="shared" si="39"/>
        <v>0</v>
      </c>
      <c r="H66" s="84">
        <f t="shared" si="39"/>
        <v>0</v>
      </c>
      <c r="I66" s="84">
        <f t="shared" si="39"/>
        <v>0</v>
      </c>
      <c r="J66" s="84">
        <f t="shared" si="39"/>
        <v>0</v>
      </c>
      <c r="K66" s="84">
        <f t="shared" si="39"/>
        <v>0</v>
      </c>
      <c r="L66" s="418"/>
      <c r="M66" s="418"/>
      <c r="N66" s="1417"/>
      <c r="O66" s="1417"/>
      <c r="P66" s="1417"/>
      <c r="Q66" s="1417"/>
      <c r="R66" s="1466"/>
    </row>
    <row r="67" spans="1:18" x14ac:dyDescent="0.25">
      <c r="A67" s="1048"/>
      <c r="B67" s="1048" t="s">
        <v>74</v>
      </c>
      <c r="C67" s="1036"/>
      <c r="D67" s="1036"/>
      <c r="E67" s="1037"/>
      <c r="F67" s="1038"/>
      <c r="G67" s="1038"/>
      <c r="H67" s="1038"/>
      <c r="I67" s="1038"/>
      <c r="J67" s="1038"/>
      <c r="K67" s="1038"/>
      <c r="L67" s="1038"/>
      <c r="M67" s="1038"/>
      <c r="N67" s="1037"/>
      <c r="O67" s="1037"/>
      <c r="P67" s="1037"/>
      <c r="Q67" s="1037"/>
    </row>
    <row r="68" spans="1:18" x14ac:dyDescent="0.25">
      <c r="A68" s="185">
        <v>9257034</v>
      </c>
      <c r="B68" t="str">
        <f>CONCATENATE(A68,C68)</f>
        <v>92570342020/21</v>
      </c>
      <c r="C68" t="s">
        <v>937</v>
      </c>
      <c r="D68" s="612" t="s">
        <v>1183</v>
      </c>
      <c r="E68" s="1030">
        <f>'202021 MFG Protection'!E60</f>
        <v>116.58333333333334</v>
      </c>
      <c r="F68" s="1029">
        <f>'202021 MFG Protection'!F65</f>
        <v>48.923363095238102</v>
      </c>
      <c r="G68" s="1029">
        <f>'202021 MFG Protection'!G65</f>
        <v>31.227678571428569</v>
      </c>
      <c r="H68" s="1029">
        <f>'202021 MFG Protection'!H65</f>
        <v>19.404434250764524</v>
      </c>
      <c r="I68" s="1029">
        <f>'202021 MFG Protection'!I65</f>
        <v>5.2046130952380958</v>
      </c>
      <c r="J68" s="1029">
        <f>'202021 MFG Protection'!J65</f>
        <v>4.1636904761904763</v>
      </c>
      <c r="K68" s="1029">
        <f>'202021 MFG Protection'!K65</f>
        <v>5.2046130952380958</v>
      </c>
      <c r="L68" s="1029">
        <f>'202021 MFG Protection'!L65</f>
        <v>0</v>
      </c>
      <c r="N68" s="16">
        <f>'202021 MFG Protection'!N60</f>
        <v>646.95163288810181</v>
      </c>
      <c r="O68" s="16">
        <f>VLOOKUP(A68,'2021 Funding Detail'!$A$4:$W$23,23,(FALSE))</f>
        <v>73835.549941176447</v>
      </c>
      <c r="R68" s="1466"/>
    </row>
    <row r="69" spans="1:18" x14ac:dyDescent="0.25">
      <c r="A69" s="185">
        <v>9257034</v>
      </c>
      <c r="B69" t="str">
        <f>CONCATENATE(A69,C69)</f>
        <v>92570342021/22</v>
      </c>
      <c r="C69" t="s">
        <v>990</v>
      </c>
      <c r="D69" t="str">
        <f>CONCATENATE(A69,C69)</f>
        <v>92570342021/22</v>
      </c>
      <c r="E69" s="1030">
        <f>VLOOKUP(A69,'2122 Funding Detail'!$A$4:$M$21,13,(FALSE))</f>
        <v>123.16666666666666</v>
      </c>
      <c r="F69" s="1029">
        <f>$E$69*'2122 Band Calculations'!D14</f>
        <v>52.252525252525253</v>
      </c>
      <c r="G69" s="1029">
        <f>$E$69*'2122 Band Calculations'!E14</f>
        <v>36.079124579124574</v>
      </c>
      <c r="H69" s="1029">
        <f>$E$69*'2122 Band Calculations'!F14</f>
        <v>17.417508417508415</v>
      </c>
      <c r="I69" s="1029">
        <f>$E$69*'2122 Band Calculations'!G14</f>
        <v>3.7323232323232323</v>
      </c>
      <c r="J69" s="1029">
        <f>$E$69*'2122 Band Calculations'!H14</f>
        <v>4.9764309764309766</v>
      </c>
      <c r="K69" s="1029">
        <f>$E$69*'2122 Band Calculations'!I14</f>
        <v>7.4646464646464645</v>
      </c>
      <c r="L69" s="1029">
        <f>$E$69*'2122 Band Calculations'!J14</f>
        <v>1.2441077441077442</v>
      </c>
      <c r="N69" s="16">
        <f>IF(N68&gt;0,(N68),(0))</f>
        <v>646.95163288810181</v>
      </c>
      <c r="R69" s="1466"/>
    </row>
    <row r="70" spans="1:18" x14ac:dyDescent="0.25">
      <c r="A70" s="185">
        <v>9257034</v>
      </c>
      <c r="B70" t="str">
        <f t="shared" ref="B70:B74" si="40">CONCATENATE(A70,C70)</f>
        <v>9257034</v>
      </c>
      <c r="F70" s="1031">
        <f t="shared" ref="F70:K70" si="41">F69-F68</f>
        <v>3.3291621572871506</v>
      </c>
      <c r="G70" s="1031">
        <f t="shared" si="41"/>
        <v>4.8514460076960049</v>
      </c>
      <c r="H70" s="1031">
        <f t="shared" si="41"/>
        <v>-1.9869258332561088</v>
      </c>
      <c r="I70" s="1031">
        <f t="shared" si="41"/>
        <v>-1.4722898629148635</v>
      </c>
      <c r="J70" s="1031">
        <f t="shared" si="41"/>
        <v>0.81274050024050037</v>
      </c>
      <c r="K70" s="1031">
        <f t="shared" si="41"/>
        <v>2.2600333694083687</v>
      </c>
      <c r="R70" s="1466"/>
    </row>
    <row r="71" spans="1:18" x14ac:dyDescent="0.25">
      <c r="A71" s="185">
        <v>9257034</v>
      </c>
      <c r="B71" t="str">
        <f t="shared" si="40"/>
        <v>9257034a</v>
      </c>
      <c r="C71" s="1465" t="s">
        <v>1227</v>
      </c>
      <c r="D71" s="1465" t="s">
        <v>1183</v>
      </c>
      <c r="E71" s="81"/>
      <c r="F71" s="1046">
        <f t="shared" ref="F71:K71" si="42">IF(F68&gt;F69,(F69),(F68))</f>
        <v>48.923363095238102</v>
      </c>
      <c r="G71" s="1046">
        <f t="shared" si="42"/>
        <v>31.227678571428569</v>
      </c>
      <c r="H71" s="1046">
        <f t="shared" si="42"/>
        <v>17.417508417508415</v>
      </c>
      <c r="I71" s="1046">
        <f t="shared" si="42"/>
        <v>3.7323232323232323</v>
      </c>
      <c r="J71" s="1046">
        <f t="shared" si="42"/>
        <v>4.1636904761904763</v>
      </c>
      <c r="K71" s="1046">
        <f t="shared" si="42"/>
        <v>5.2046130952380958</v>
      </c>
      <c r="L71" s="293"/>
      <c r="M71" s="418"/>
      <c r="O71" s="16"/>
      <c r="P71" s="16"/>
      <c r="R71" s="1466"/>
    </row>
    <row r="72" spans="1:18" x14ac:dyDescent="0.25">
      <c r="A72" s="185">
        <v>9257034</v>
      </c>
      <c r="B72" t="str">
        <f t="shared" si="40"/>
        <v>9257034b</v>
      </c>
      <c r="C72" s="610" t="s">
        <v>1228</v>
      </c>
      <c r="D72" s="1465" t="s">
        <v>1184</v>
      </c>
      <c r="E72" s="81"/>
      <c r="F72" s="84">
        <f>VLOOKUP($F$3,'2122 Band Values'!$A$5:$AU$24,47,(FALSE))</f>
        <v>58.711672125181849</v>
      </c>
      <c r="G72" s="84">
        <f>VLOOKUP($G$3,'2122 Band Values'!$A$5:$AU$24,47,(FALSE))</f>
        <v>70.45400655021831</v>
      </c>
      <c r="H72" s="84">
        <f>VLOOKUP($H$3,'2122 Band Values'!$A$5:$AU$24,47,(FALSE))</f>
        <v>211.36201965065447</v>
      </c>
      <c r="I72" s="84">
        <f>VLOOKUP($I$3,'2122 Band Values'!$A$5:$AU$24,47,(FALSE))</f>
        <v>264.20252456331764</v>
      </c>
      <c r="J72" s="84">
        <f>VLOOKUP($J$3,'2122 Band Values'!$A$5:$AU$24,47,(FALSE))</f>
        <v>264.20252456331764</v>
      </c>
      <c r="K72" s="84">
        <f>VLOOKUP($K$3,'2122 Band Values'!$A$5:$AU$24,47,(FALSE))</f>
        <v>234.8466885007274</v>
      </c>
      <c r="L72" s="293"/>
      <c r="M72" s="418"/>
      <c r="R72" s="1466"/>
    </row>
    <row r="73" spans="1:18" x14ac:dyDescent="0.25">
      <c r="A73" s="185">
        <v>9257034</v>
      </c>
      <c r="B73" t="str">
        <f>CONCATENATE(A73,C73)</f>
        <v>9257034c</v>
      </c>
      <c r="C73" s="610" t="s">
        <v>1229</v>
      </c>
      <c r="D73" s="1465" t="s">
        <v>645</v>
      </c>
      <c r="E73" s="81"/>
      <c r="F73" s="84">
        <f t="shared" ref="F73:K73" si="43">IF(F72&gt;$N$69,(0*F71),(($N$69-F72)*F71))</f>
        <v>28778.677187532947</v>
      </c>
      <c r="G73" s="84">
        <f t="shared" si="43"/>
        <v>18002.68257247096</v>
      </c>
      <c r="H73" s="84">
        <f t="shared" si="43"/>
        <v>7586.8857551424744</v>
      </c>
      <c r="I73" s="84">
        <f t="shared" si="43"/>
        <v>1428.5433891515934</v>
      </c>
      <c r="J73" s="84">
        <f t="shared" si="43"/>
        <v>1593.6488171023009</v>
      </c>
      <c r="K73" s="84">
        <f t="shared" si="43"/>
        <v>2144.8467901708959</v>
      </c>
      <c r="L73" s="1467">
        <f>SUM(F73:K73)</f>
        <v>59535.284511571168</v>
      </c>
      <c r="M73" s="418">
        <f>L73-O68</f>
        <v>-14300.265429605279</v>
      </c>
      <c r="N73" s="1417"/>
      <c r="O73" s="1417"/>
      <c r="P73" s="1417"/>
      <c r="Q73" s="1417"/>
      <c r="R73" s="1466"/>
    </row>
    <row r="74" spans="1:18" x14ac:dyDescent="0.25">
      <c r="A74" s="185">
        <v>9257034</v>
      </c>
      <c r="B74" t="str">
        <f t="shared" si="40"/>
        <v>9257034d</v>
      </c>
      <c r="C74" s="610" t="s">
        <v>1230</v>
      </c>
      <c r="D74" s="1465" t="s">
        <v>1186</v>
      </c>
      <c r="E74" s="81"/>
      <c r="F74" s="84">
        <f t="shared" ref="F74:K74" si="44">IF(F73&gt;0,(F73/F71),(0))</f>
        <v>588.23996076291996</v>
      </c>
      <c r="G74" s="84">
        <f t="shared" si="44"/>
        <v>576.4976263378835</v>
      </c>
      <c r="H74" s="84">
        <f t="shared" si="44"/>
        <v>435.58961323744734</v>
      </c>
      <c r="I74" s="84">
        <f t="shared" si="44"/>
        <v>382.74910832478417</v>
      </c>
      <c r="J74" s="84">
        <f t="shared" si="44"/>
        <v>382.74910832478417</v>
      </c>
      <c r="K74" s="84">
        <f t="shared" si="44"/>
        <v>412.10494438737436</v>
      </c>
      <c r="L74" s="418"/>
      <c r="M74" s="418"/>
      <c r="N74" s="1417"/>
      <c r="O74" s="1417"/>
      <c r="P74" s="1417"/>
      <c r="Q74" s="1417"/>
      <c r="R74" s="1466"/>
    </row>
    <row r="75" spans="1:18" x14ac:dyDescent="0.25">
      <c r="A75" s="1036"/>
      <c r="B75" s="1036" t="s">
        <v>75</v>
      </c>
      <c r="C75" s="1036"/>
      <c r="D75" s="1036"/>
      <c r="E75" s="1037"/>
      <c r="F75" s="1038"/>
      <c r="G75" s="1038"/>
      <c r="H75" s="1038"/>
      <c r="I75" s="1038"/>
      <c r="J75" s="1038"/>
      <c r="K75" s="1038"/>
      <c r="L75" s="1038"/>
      <c r="M75" s="1038"/>
      <c r="N75" s="1037"/>
      <c r="O75" s="1037"/>
      <c r="P75" s="1037"/>
      <c r="Q75" s="1037"/>
    </row>
    <row r="76" spans="1:18" x14ac:dyDescent="0.25">
      <c r="A76" s="185">
        <v>9257002</v>
      </c>
      <c r="B76" t="str">
        <f>CONCATENATE(A76,C76)</f>
        <v>92570022020/21</v>
      </c>
      <c r="C76" t="s">
        <v>937</v>
      </c>
      <c r="D76" s="612" t="s">
        <v>1183</v>
      </c>
      <c r="E76" s="1471">
        <f>'202021 MFG Protection'!E72</f>
        <v>0</v>
      </c>
      <c r="F76" s="1472">
        <f>'202021 MFG Protection'!F72</f>
        <v>0</v>
      </c>
      <c r="G76" s="1472">
        <f>'202021 MFG Protection'!G72</f>
        <v>0</v>
      </c>
      <c r="H76" s="1472">
        <f>'202021 MFG Protection'!H72</f>
        <v>0</v>
      </c>
      <c r="I76" s="1472">
        <f>'202021 MFG Protection'!I72</f>
        <v>0</v>
      </c>
      <c r="J76" s="1472">
        <f>'202021 MFG Protection'!J72</f>
        <v>0</v>
      </c>
      <c r="K76" s="1472">
        <f>'202021 MFG Protection'!K72</f>
        <v>0</v>
      </c>
      <c r="L76" s="1472">
        <f>'202021 MFG Protection'!L72</f>
        <v>0</v>
      </c>
      <c r="N76" s="16">
        <f>'202021 MFG Protection'!N67</f>
        <v>-323.78150158713288</v>
      </c>
      <c r="O76" s="16">
        <f>VLOOKUP(A76,'2021 Funding Detail'!$A$4:$W$23,23,(FALSE))</f>
        <v>0</v>
      </c>
      <c r="R76" s="1466"/>
    </row>
    <row r="77" spans="1:18" x14ac:dyDescent="0.25">
      <c r="A77" s="185">
        <v>9257002</v>
      </c>
      <c r="B77" t="str">
        <f>CONCATENATE(A77,C77)</f>
        <v>92570022021/22</v>
      </c>
      <c r="C77" t="s">
        <v>990</v>
      </c>
      <c r="D77" t="str">
        <f>CONCATENATE(A77,C77)</f>
        <v>92570022021/22</v>
      </c>
      <c r="E77" s="1030">
        <f>VLOOKUP(A77,'2122 Funding Detail'!$A$4:$M$21,13,(FALSE))</f>
        <v>150.58333333333334</v>
      </c>
      <c r="F77" s="1029">
        <f>$E$77*'2122 Band Calculations'!D15</f>
        <v>53.398345153664309</v>
      </c>
      <c r="G77" s="1029">
        <f>$E$77*'2122 Band Calculations'!E15</f>
        <v>57.670212765957451</v>
      </c>
      <c r="H77" s="1029">
        <f>$E$77*'2122 Band Calculations'!F15</f>
        <v>19.223404255319149</v>
      </c>
      <c r="I77" s="1029">
        <f>$E$77*'2122 Band Calculations'!G15</f>
        <v>4.2718676122931445</v>
      </c>
      <c r="J77" s="1029">
        <f>$E$77*'2122 Band Calculations'!H15</f>
        <v>3.2039007092198584</v>
      </c>
      <c r="K77" s="1029">
        <f>$E$77*'2122 Band Calculations'!I15</f>
        <v>11.747635933806148</v>
      </c>
      <c r="L77" s="1029">
        <f>$E$77*'2122 Band Calculations'!J15</f>
        <v>1.0679669030732861</v>
      </c>
      <c r="N77" s="16">
        <f>IF(N76&gt;0,(N76),(0))</f>
        <v>0</v>
      </c>
      <c r="R77" s="1466"/>
    </row>
    <row r="78" spans="1:18" x14ac:dyDescent="0.25">
      <c r="A78" s="185">
        <v>9257002</v>
      </c>
      <c r="B78" t="str">
        <f t="shared" ref="B78:B82" si="45">CONCATENATE(A78,C78)</f>
        <v>9257002</v>
      </c>
      <c r="F78" s="1031">
        <f t="shared" ref="F78:K78" si="46">F77-F76</f>
        <v>53.398345153664309</v>
      </c>
      <c r="G78" s="1031">
        <f t="shared" si="46"/>
        <v>57.670212765957451</v>
      </c>
      <c r="H78" s="1031">
        <f t="shared" si="46"/>
        <v>19.223404255319149</v>
      </c>
      <c r="I78" s="1031">
        <f>I77-I76</f>
        <v>4.2718676122931445</v>
      </c>
      <c r="J78" s="1031">
        <f t="shared" si="46"/>
        <v>3.2039007092198584</v>
      </c>
      <c r="K78" s="1031">
        <f t="shared" si="46"/>
        <v>11.747635933806148</v>
      </c>
      <c r="R78" s="1466"/>
    </row>
    <row r="79" spans="1:18" x14ac:dyDescent="0.25">
      <c r="A79" s="185">
        <v>9257002</v>
      </c>
      <c r="B79" t="str">
        <f t="shared" si="45"/>
        <v>9257002a</v>
      </c>
      <c r="C79" s="1465" t="s">
        <v>1227</v>
      </c>
      <c r="D79" s="1465" t="s">
        <v>1183</v>
      </c>
      <c r="E79" s="81"/>
      <c r="F79" s="1046">
        <f t="shared" ref="F79:K79" si="47">IF(F76&gt;F77,(F77),(F76))</f>
        <v>0</v>
      </c>
      <c r="G79" s="1046">
        <f t="shared" si="47"/>
        <v>0</v>
      </c>
      <c r="H79" s="1046">
        <f t="shared" si="47"/>
        <v>0</v>
      </c>
      <c r="I79" s="1046">
        <f t="shared" si="47"/>
        <v>0</v>
      </c>
      <c r="J79" s="1046">
        <f t="shared" si="47"/>
        <v>0</v>
      </c>
      <c r="K79" s="1046">
        <f t="shared" si="47"/>
        <v>0</v>
      </c>
      <c r="L79" s="293"/>
      <c r="M79" s="418"/>
      <c r="N79" s="1417"/>
      <c r="O79" s="16"/>
      <c r="P79" s="16"/>
      <c r="Q79" s="1417"/>
      <c r="R79" s="1466"/>
    </row>
    <row r="80" spans="1:18" x14ac:dyDescent="0.25">
      <c r="A80" s="185">
        <v>9257002</v>
      </c>
      <c r="B80" t="str">
        <f t="shared" si="45"/>
        <v>9257002b</v>
      </c>
      <c r="C80" s="610" t="s">
        <v>1228</v>
      </c>
      <c r="D80" s="1465" t="s">
        <v>1184</v>
      </c>
      <c r="E80" s="81"/>
      <c r="F80" s="84">
        <f>VLOOKUP($F$3,'2122 Band Values'!$A$5:$AU$24,47,(FALSE))</f>
        <v>58.711672125181849</v>
      </c>
      <c r="G80" s="84">
        <f>VLOOKUP($G$3,'2122 Band Values'!$A$5:$AU$24,47,(FALSE))</f>
        <v>70.45400655021831</v>
      </c>
      <c r="H80" s="84">
        <f>VLOOKUP($H$3,'2122 Band Values'!$A$5:$AU$24,47,(FALSE))</f>
        <v>211.36201965065447</v>
      </c>
      <c r="I80" s="84">
        <f>VLOOKUP($I$3,'2122 Band Values'!$A$5:$AU$24,47,(FALSE))</f>
        <v>264.20252456331764</v>
      </c>
      <c r="J80" s="84">
        <f>VLOOKUP($J$3,'2122 Band Values'!$A$5:$AU$24,47,(FALSE))</f>
        <v>264.20252456331764</v>
      </c>
      <c r="K80" s="84">
        <f>VLOOKUP($K$3,'2122 Band Values'!$A$5:$AU$24,47,(FALSE))</f>
        <v>234.8466885007274</v>
      </c>
      <c r="L80" s="293"/>
      <c r="M80" s="418"/>
      <c r="N80" s="1417"/>
      <c r="O80" s="16"/>
      <c r="P80" s="16"/>
      <c r="Q80" s="1417"/>
      <c r="R80" s="1466"/>
    </row>
    <row r="81" spans="1:18" x14ac:dyDescent="0.25">
      <c r="A81" s="185">
        <v>9257002</v>
      </c>
      <c r="B81" t="str">
        <f>CONCATENATE(A81,C81)</f>
        <v>9257002c</v>
      </c>
      <c r="C81" s="610" t="s">
        <v>1229</v>
      </c>
      <c r="D81" s="1465" t="s">
        <v>645</v>
      </c>
      <c r="E81" s="81"/>
      <c r="F81" s="84">
        <f t="shared" ref="F81:K81" si="48">IF(F80&gt;N77,(0*F79),(($N$77-F80)*F79))</f>
        <v>0</v>
      </c>
      <c r="G81" s="84">
        <f t="shared" si="48"/>
        <v>0</v>
      </c>
      <c r="H81" s="84">
        <f t="shared" si="48"/>
        <v>0</v>
      </c>
      <c r="I81" s="84">
        <f t="shared" si="48"/>
        <v>0</v>
      </c>
      <c r="J81" s="84">
        <f t="shared" si="48"/>
        <v>0</v>
      </c>
      <c r="K81" s="84">
        <f t="shared" si="48"/>
        <v>0</v>
      </c>
      <c r="L81" s="1467">
        <f>SUM(F81:K81)</f>
        <v>0</v>
      </c>
      <c r="M81" s="418">
        <f>L81-O76</f>
        <v>0</v>
      </c>
      <c r="N81" s="1417"/>
      <c r="O81" s="16"/>
      <c r="P81" s="16"/>
      <c r="Q81" s="1417"/>
      <c r="R81" s="1466"/>
    </row>
    <row r="82" spans="1:18" x14ac:dyDescent="0.25">
      <c r="A82" s="185">
        <v>9257002</v>
      </c>
      <c r="B82" t="str">
        <f t="shared" si="45"/>
        <v>9257002d</v>
      </c>
      <c r="C82" s="610" t="s">
        <v>1230</v>
      </c>
      <c r="D82" s="1465" t="s">
        <v>1186</v>
      </c>
      <c r="E82" s="81"/>
      <c r="F82" s="84">
        <f t="shared" ref="F82:K82" si="49">IF(F81&gt;0,(F81/F79),(0))</f>
        <v>0</v>
      </c>
      <c r="G82" s="84">
        <f t="shared" si="49"/>
        <v>0</v>
      </c>
      <c r="H82" s="84">
        <f t="shared" si="49"/>
        <v>0</v>
      </c>
      <c r="I82" s="84">
        <f t="shared" si="49"/>
        <v>0</v>
      </c>
      <c r="J82" s="84">
        <f t="shared" si="49"/>
        <v>0</v>
      </c>
      <c r="K82" s="84">
        <f t="shared" si="49"/>
        <v>0</v>
      </c>
      <c r="L82" s="418"/>
      <c r="M82" s="418"/>
      <c r="R82" s="1466"/>
    </row>
    <row r="83" spans="1:18" x14ac:dyDescent="0.25">
      <c r="A83" s="1048"/>
      <c r="B83" s="1048" t="s">
        <v>76</v>
      </c>
      <c r="C83" s="1036"/>
      <c r="D83" s="1036"/>
      <c r="E83" s="1037"/>
      <c r="F83" s="1038"/>
      <c r="G83" s="1038"/>
      <c r="H83" s="1038"/>
      <c r="I83" s="1038"/>
      <c r="J83" s="1038"/>
      <c r="K83" s="1038"/>
      <c r="L83" s="1038"/>
      <c r="M83" s="1038"/>
      <c r="N83" s="1037"/>
      <c r="O83" s="1037"/>
      <c r="P83" s="1037"/>
      <c r="Q83" s="1037"/>
    </row>
    <row r="84" spans="1:18" s="19" customFormat="1" x14ac:dyDescent="0.25">
      <c r="A84" s="1411">
        <v>9257009</v>
      </c>
      <c r="B84" t="str">
        <f>CONCATENATE(A84,C84)</f>
        <v>92570092020/21</v>
      </c>
      <c r="C84" t="s">
        <v>937</v>
      </c>
      <c r="D84" s="612" t="s">
        <v>1183</v>
      </c>
      <c r="E84" s="293">
        <f>'202021 MFG Protection'!E79</f>
        <v>124.74081144664277</v>
      </c>
      <c r="F84" s="293">
        <f>'202021 MFG Protection'!F79</f>
        <v>23.122739018087856</v>
      </c>
      <c r="G84" s="293">
        <f>'202021 MFG Protection'!G79</f>
        <v>68.084577114427873</v>
      </c>
      <c r="H84" s="293">
        <f>'202021 MFG Protection'!H79</f>
        <v>11.561369509043928</v>
      </c>
      <c r="I84" s="293">
        <f>'202021 MFG Protection'!I79</f>
        <v>2.0024875621890548</v>
      </c>
      <c r="J84" s="293">
        <f>'202021 MFG Protection'!J79</f>
        <v>4.2041343669250653</v>
      </c>
      <c r="K84" s="293">
        <f>'202021 MFG Protection'!K79</f>
        <v>15.765503875968992</v>
      </c>
      <c r="L84" s="293">
        <f>'202021 MFG Protection'!L79</f>
        <v>0</v>
      </c>
      <c r="M84" s="418"/>
      <c r="N84" s="16">
        <f>'202021 MFG Protection'!M79</f>
        <v>620.19281408091035</v>
      </c>
      <c r="O84" s="16">
        <f>VLOOKUP(A84,'2021 Funding Detail'!$A$4:$W$23,23,(FALSE))</f>
        <v>77363.354881829611</v>
      </c>
      <c r="P84" s="81"/>
      <c r="Q84" s="81"/>
      <c r="R84" s="1466"/>
    </row>
    <row r="85" spans="1:18" s="19" customFormat="1" x14ac:dyDescent="0.25">
      <c r="A85" s="1503">
        <v>9257009</v>
      </c>
      <c r="B85" t="str">
        <f>CONCATENATE(A85,C85)</f>
        <v>92570092021/22</v>
      </c>
      <c r="C85" t="s">
        <v>990</v>
      </c>
      <c r="D85" t="str">
        <f>CONCATENATE(A85,C85)</f>
        <v>92570092021/22</v>
      </c>
      <c r="E85" s="1030">
        <f>VLOOKUP(A85,'2122 Funding Detail'!$A$4:$M$21,13,(FALSE))</f>
        <v>136</v>
      </c>
      <c r="F85" s="1029">
        <f>$E$85*'2122 Band Calculations'!D16</f>
        <v>32.64</v>
      </c>
      <c r="G85" s="1029">
        <f>$E$85*'2122 Band Calculations'!E16</f>
        <v>79.423999999999992</v>
      </c>
      <c r="H85" s="1029">
        <f>$E$85*'2122 Band Calculations'!F16</f>
        <v>9.7919999999999998</v>
      </c>
      <c r="I85" s="1029">
        <f>$E$85*'2122 Band Calculations'!G16</f>
        <v>2.1760000000000002</v>
      </c>
      <c r="J85" s="1029">
        <f>$E$85*'2122 Band Calculations'!H16</f>
        <v>1.0880000000000001</v>
      </c>
      <c r="K85" s="1029">
        <f>$E$85*'2122 Band Calculations'!I16</f>
        <v>10.88</v>
      </c>
      <c r="L85" s="1029">
        <f>$E$85*'2122 Band Calculations'!J16</f>
        <v>0</v>
      </c>
      <c r="M85" s="1065"/>
      <c r="N85" s="16">
        <f>IF(N84&gt;0,(N84),(0))</f>
        <v>620.19281408091035</v>
      </c>
      <c r="O85" s="1065"/>
      <c r="P85" s="81"/>
      <c r="Q85" s="81"/>
      <c r="R85" s="1466"/>
    </row>
    <row r="86" spans="1:18" s="19" customFormat="1" x14ac:dyDescent="0.25">
      <c r="A86" s="1503">
        <v>9257009</v>
      </c>
      <c r="B86" t="str">
        <f t="shared" ref="B86:B90" si="50">CONCATENATE(A86,C86)</f>
        <v>9257009</v>
      </c>
      <c r="C86"/>
      <c r="E86" s="81"/>
      <c r="F86" s="1031">
        <f t="shared" ref="F86:K86" si="51">F85-F84</f>
        <v>9.5172609819121448</v>
      </c>
      <c r="G86" s="1031">
        <f t="shared" si="51"/>
        <v>11.33942288557212</v>
      </c>
      <c r="H86" s="1031">
        <f t="shared" si="51"/>
        <v>-1.7693695090439281</v>
      </c>
      <c r="I86" s="1031">
        <f t="shared" si="51"/>
        <v>0.17351243781094539</v>
      </c>
      <c r="J86" s="1031">
        <f t="shared" si="51"/>
        <v>-3.1161343669250652</v>
      </c>
      <c r="K86" s="1031">
        <f t="shared" si="51"/>
        <v>-4.8855038759689915</v>
      </c>
      <c r="L86" s="293">
        <f>L84+L85</f>
        <v>0</v>
      </c>
      <c r="M86" s="418"/>
      <c r="N86" s="81"/>
      <c r="O86" s="81"/>
      <c r="P86" s="81"/>
      <c r="Q86" s="81"/>
      <c r="R86" s="1466"/>
    </row>
    <row r="87" spans="1:18" s="19" customFormat="1" x14ac:dyDescent="0.25">
      <c r="A87" s="1503">
        <v>9257009</v>
      </c>
      <c r="B87" t="str">
        <f t="shared" si="50"/>
        <v>9257009a</v>
      </c>
      <c r="C87" s="1465" t="s">
        <v>1227</v>
      </c>
      <c r="D87" s="1465" t="s">
        <v>1183</v>
      </c>
      <c r="E87" s="81"/>
      <c r="F87" s="1046">
        <f t="shared" ref="F87:K87" si="52">IF(F84&gt;F85,(F85),(F84))</f>
        <v>23.122739018087856</v>
      </c>
      <c r="G87" s="1046">
        <f t="shared" si="52"/>
        <v>68.084577114427873</v>
      </c>
      <c r="H87" s="1046">
        <f t="shared" si="52"/>
        <v>9.7919999999999998</v>
      </c>
      <c r="I87" s="1046">
        <f t="shared" si="52"/>
        <v>2.0024875621890548</v>
      </c>
      <c r="J87" s="1046">
        <f t="shared" si="52"/>
        <v>1.0880000000000001</v>
      </c>
      <c r="K87" s="1046">
        <f t="shared" si="52"/>
        <v>10.88</v>
      </c>
      <c r="L87" s="293"/>
      <c r="M87" s="418"/>
      <c r="N87" s="81"/>
      <c r="O87" s="81"/>
      <c r="P87" s="81"/>
      <c r="Q87" s="81"/>
      <c r="R87" s="1466"/>
    </row>
    <row r="88" spans="1:18" s="19" customFormat="1" x14ac:dyDescent="0.25">
      <c r="A88" s="1503">
        <v>9257009</v>
      </c>
      <c r="B88" t="str">
        <f t="shared" si="50"/>
        <v>9257009b</v>
      </c>
      <c r="C88" s="610" t="s">
        <v>1228</v>
      </c>
      <c r="D88" s="1465" t="s">
        <v>1184</v>
      </c>
      <c r="E88" s="81"/>
      <c r="F88" s="84">
        <f>VLOOKUP($F$3,'2122 Band Values'!$A$5:$AU$24,47,(FALSE))</f>
        <v>58.711672125181849</v>
      </c>
      <c r="G88" s="84">
        <f>VLOOKUP($G$3,'2122 Band Values'!$A$5:$AU$24,47,(FALSE))</f>
        <v>70.45400655021831</v>
      </c>
      <c r="H88" s="84">
        <f>VLOOKUP($H$3,'2122 Band Values'!$A$5:$AU$24,47,(FALSE))</f>
        <v>211.36201965065447</v>
      </c>
      <c r="I88" s="84">
        <f>VLOOKUP($I$3,'2122 Band Values'!$A$5:$AU$24,47,(FALSE))</f>
        <v>264.20252456331764</v>
      </c>
      <c r="J88" s="84">
        <f>VLOOKUP($J$3,'2122 Band Values'!$A$5:$AU$24,47,(FALSE))</f>
        <v>264.20252456331764</v>
      </c>
      <c r="K88" s="84">
        <f>VLOOKUP($K$3,'2122 Band Values'!$A$5:$AU$24,47,(FALSE))</f>
        <v>234.8466885007274</v>
      </c>
      <c r="L88" s="293"/>
      <c r="M88" s="418"/>
      <c r="N88" s="81"/>
      <c r="O88" s="81"/>
      <c r="P88" s="81"/>
      <c r="Q88" s="81"/>
      <c r="R88" s="1466"/>
    </row>
    <row r="89" spans="1:18" s="19" customFormat="1" x14ac:dyDescent="0.25">
      <c r="A89" s="1503">
        <v>9257009</v>
      </c>
      <c r="B89" t="str">
        <f>CONCATENATE(A89,C89)</f>
        <v>9257009c</v>
      </c>
      <c r="C89" s="610" t="s">
        <v>1229</v>
      </c>
      <c r="D89" s="1465" t="s">
        <v>645</v>
      </c>
      <c r="E89" s="81"/>
      <c r="F89" s="84">
        <f t="shared" ref="F89:K89" si="53">IF(F88&gt;$N$85,(0*F87),(($N$85-F88)*F87))</f>
        <v>12982.981909020249</v>
      </c>
      <c r="G89" s="84">
        <f t="shared" si="53"/>
        <v>37428.734234117022</v>
      </c>
      <c r="H89" s="84">
        <f t="shared" si="53"/>
        <v>4003.2711390610657</v>
      </c>
      <c r="I89" s="84">
        <f t="shared" si="53"/>
        <v>712.86612701906006</v>
      </c>
      <c r="J89" s="84">
        <f t="shared" si="53"/>
        <v>387.3174349951409</v>
      </c>
      <c r="K89" s="84">
        <f t="shared" si="53"/>
        <v>4192.5658463123909</v>
      </c>
      <c r="L89" s="1467">
        <f>SUM(F89:K89)</f>
        <v>59707.736690524929</v>
      </c>
      <c r="M89" s="418">
        <f>L89-O84</f>
        <v>-17655.618191304682</v>
      </c>
      <c r="N89" s="81"/>
      <c r="O89" s="81"/>
      <c r="P89" s="81"/>
      <c r="Q89" s="81"/>
      <c r="R89" s="1466"/>
    </row>
    <row r="90" spans="1:18" s="19" customFormat="1" x14ac:dyDescent="0.25">
      <c r="A90" s="1503">
        <v>9257009</v>
      </c>
      <c r="B90" t="str">
        <f t="shared" si="50"/>
        <v>9257009d</v>
      </c>
      <c r="C90" s="610" t="s">
        <v>1230</v>
      </c>
      <c r="D90" s="1465" t="s">
        <v>1186</v>
      </c>
      <c r="E90" s="81"/>
      <c r="F90" s="84">
        <f t="shared" ref="F90:K90" si="54">IF(F89&gt;0,(F89/F87),(0))</f>
        <v>561.4811419557285</v>
      </c>
      <c r="G90" s="84">
        <f t="shared" si="54"/>
        <v>549.73880753069204</v>
      </c>
      <c r="H90" s="84">
        <f t="shared" si="54"/>
        <v>408.83079443025588</v>
      </c>
      <c r="I90" s="84">
        <f t="shared" si="54"/>
        <v>355.99028951759271</v>
      </c>
      <c r="J90" s="84">
        <f t="shared" si="54"/>
        <v>355.99028951759271</v>
      </c>
      <c r="K90" s="84">
        <f t="shared" si="54"/>
        <v>385.34612558018296</v>
      </c>
      <c r="L90" s="418"/>
      <c r="M90" s="418"/>
      <c r="N90" s="81"/>
      <c r="O90" s="81"/>
      <c r="P90" s="81"/>
      <c r="Q90" s="81"/>
      <c r="R90" s="1466"/>
    </row>
    <row r="91" spans="1:18" x14ac:dyDescent="0.25">
      <c r="A91" s="1048"/>
      <c r="B91" s="1048" t="s">
        <v>848</v>
      </c>
      <c r="C91" s="1036"/>
      <c r="D91" s="1036"/>
      <c r="E91" s="1037"/>
      <c r="F91" s="1038"/>
      <c r="G91" s="1038"/>
      <c r="H91" s="1038"/>
      <c r="I91" s="1038"/>
      <c r="J91" s="1038"/>
      <c r="K91" s="1038"/>
      <c r="L91" s="1038"/>
      <c r="M91" s="1038"/>
      <c r="N91" s="1037"/>
      <c r="O91" s="1037"/>
      <c r="P91" s="1037"/>
      <c r="Q91" s="1037"/>
    </row>
    <row r="92" spans="1:18" x14ac:dyDescent="0.25">
      <c r="A92" s="185">
        <v>9257029</v>
      </c>
      <c r="B92" t="str">
        <f>CONCATENATE(A92,C92)</f>
        <v>92570292020/21</v>
      </c>
      <c r="C92" t="s">
        <v>937</v>
      </c>
      <c r="D92" s="612" t="s">
        <v>1183</v>
      </c>
      <c r="E92" s="1030">
        <f>'202021 MFG Protection'!E86</f>
        <v>56.75</v>
      </c>
      <c r="F92" s="1030">
        <f>'202021 MFG Protection'!F86</f>
        <v>0</v>
      </c>
      <c r="G92" s="1030">
        <f>'202021 MFG Protection'!G86</f>
        <v>0</v>
      </c>
      <c r="H92" s="1030">
        <f>'202021 MFG Protection'!H86</f>
        <v>56.75</v>
      </c>
      <c r="I92" s="1030">
        <f>'202021 MFG Protection'!I86</f>
        <v>0</v>
      </c>
      <c r="J92" s="1030">
        <f>'202021 MFG Protection'!J86</f>
        <v>0</v>
      </c>
      <c r="K92" s="1030">
        <f>'202021 MFG Protection'!K86</f>
        <v>0</v>
      </c>
      <c r="L92" s="1030">
        <f>'202021 MFG Protection'!L86</f>
        <v>0</v>
      </c>
      <c r="N92" s="16">
        <f>'202021 MFG Protection'!N81</f>
        <v>298.91737375922457</v>
      </c>
      <c r="O92" s="16">
        <f>VLOOKUP(A92,'2021 Funding Detail'!$A$4:$W$23,23,(FALSE))</f>
        <v>16963.560960835996</v>
      </c>
      <c r="R92" s="1466"/>
    </row>
    <row r="93" spans="1:18" x14ac:dyDescent="0.25">
      <c r="A93" s="185">
        <v>9257029</v>
      </c>
      <c r="B93" t="str">
        <f>CONCATENATE(A93,C93)</f>
        <v>92570292021/22</v>
      </c>
      <c r="C93" t="s">
        <v>990</v>
      </c>
      <c r="D93" t="str">
        <f>CONCATENATE(A93,C93)</f>
        <v>92570292021/22</v>
      </c>
      <c r="E93" s="1030">
        <f>VLOOKUP(A93,'2122 Funding Detail'!$A$4:$M$21,13,(FALSE))</f>
        <v>74.666666666666671</v>
      </c>
      <c r="F93" s="1029">
        <f>$E$93*'2122 Band Calculations'!D17</f>
        <v>0</v>
      </c>
      <c r="G93" s="1029">
        <f>$E$93*'2122 Band Calculations'!E17</f>
        <v>0</v>
      </c>
      <c r="H93" s="1029">
        <f>$E$93*'2122 Band Calculations'!F17</f>
        <v>74.666666666666671</v>
      </c>
      <c r="I93" s="1029">
        <f>$E$93*'2122 Band Calculations'!G17</f>
        <v>0</v>
      </c>
      <c r="J93" s="1029">
        <f>$E$93*'2122 Band Calculations'!H17</f>
        <v>0</v>
      </c>
      <c r="K93" s="1029">
        <f>$E$93*'2122 Band Calculations'!I17</f>
        <v>0</v>
      </c>
      <c r="L93" s="1029">
        <f>$E$93*'2122 Band Calculations'!J17</f>
        <v>0</v>
      </c>
      <c r="N93" s="16">
        <f>IF(N92&gt;0,(N92),(0))</f>
        <v>298.91737375922457</v>
      </c>
      <c r="R93" s="1466"/>
    </row>
    <row r="94" spans="1:18" x14ac:dyDescent="0.25">
      <c r="A94" s="185">
        <v>9257029</v>
      </c>
      <c r="B94" t="str">
        <f t="shared" ref="B94:B98" si="55">CONCATENATE(A94,C94)</f>
        <v>9257029</v>
      </c>
      <c r="F94" s="1031">
        <f t="shared" ref="F94:K94" si="56">F93-F92</f>
        <v>0</v>
      </c>
      <c r="G94" s="1031">
        <f t="shared" si="56"/>
        <v>0</v>
      </c>
      <c r="H94" s="1031">
        <f t="shared" si="56"/>
        <v>17.916666666666671</v>
      </c>
      <c r="I94" s="1031">
        <f t="shared" si="56"/>
        <v>0</v>
      </c>
      <c r="J94" s="1031">
        <f t="shared" si="56"/>
        <v>0</v>
      </c>
      <c r="K94" s="1031">
        <f t="shared" si="56"/>
        <v>0</v>
      </c>
      <c r="R94" s="1466"/>
    </row>
    <row r="95" spans="1:18" x14ac:dyDescent="0.25">
      <c r="A95" s="185">
        <v>9257029</v>
      </c>
      <c r="B95" t="str">
        <f t="shared" si="55"/>
        <v>9257029a</v>
      </c>
      <c r="C95" s="1465" t="s">
        <v>1227</v>
      </c>
      <c r="D95" s="1465" t="s">
        <v>1183</v>
      </c>
      <c r="E95" s="81"/>
      <c r="F95" s="1046">
        <f t="shared" ref="F95:K95" si="57">IF(F92&gt;F93,(F93),(F92))</f>
        <v>0</v>
      </c>
      <c r="G95" s="1046">
        <f t="shared" si="57"/>
        <v>0</v>
      </c>
      <c r="H95" s="1046">
        <f t="shared" si="57"/>
        <v>56.75</v>
      </c>
      <c r="I95" s="1046">
        <f t="shared" si="57"/>
        <v>0</v>
      </c>
      <c r="J95" s="1046">
        <f t="shared" si="57"/>
        <v>0</v>
      </c>
      <c r="K95" s="1046">
        <f t="shared" si="57"/>
        <v>0</v>
      </c>
      <c r="L95" s="293"/>
      <c r="M95" s="418"/>
      <c r="O95" s="16"/>
      <c r="P95" s="16"/>
      <c r="R95" s="1466"/>
    </row>
    <row r="96" spans="1:18" x14ac:dyDescent="0.25">
      <c r="A96" s="185">
        <v>9257029</v>
      </c>
      <c r="B96" t="str">
        <f t="shared" si="55"/>
        <v>9257029b</v>
      </c>
      <c r="C96" s="610" t="s">
        <v>1228</v>
      </c>
      <c r="D96" s="1465" t="s">
        <v>1184</v>
      </c>
      <c r="E96" s="81"/>
      <c r="F96" s="84">
        <f>VLOOKUP($F$3,'2122 Band Values'!$A$5:$AU$24,47,(FALSE))</f>
        <v>58.711672125181849</v>
      </c>
      <c r="G96" s="84">
        <f>VLOOKUP($G$3,'2122 Band Values'!$A$5:$AU$24,47,(FALSE))</f>
        <v>70.45400655021831</v>
      </c>
      <c r="H96" s="84">
        <f>VLOOKUP($H$3,'2122 Band Values'!$A$5:$AU$24,47,(FALSE))</f>
        <v>211.36201965065447</v>
      </c>
      <c r="I96" s="84">
        <f>VLOOKUP($I$3,'2122 Band Values'!$A$5:$AU$24,47,(FALSE))</f>
        <v>264.20252456331764</v>
      </c>
      <c r="J96" s="84">
        <f>VLOOKUP($J$3,'2122 Band Values'!$A$5:$AU$24,47,(FALSE))</f>
        <v>264.20252456331764</v>
      </c>
      <c r="K96" s="84">
        <f>VLOOKUP($K$3,'2122 Band Values'!$A$5:$AU$24,47,(FALSE))</f>
        <v>234.8466885007274</v>
      </c>
      <c r="L96" s="293"/>
      <c r="M96" s="418"/>
      <c r="R96" s="1466"/>
    </row>
    <row r="97" spans="1:18" x14ac:dyDescent="0.25">
      <c r="A97" s="185">
        <v>9257029</v>
      </c>
      <c r="B97" t="str">
        <f>CONCATENATE(A97,C97)</f>
        <v>9257029c</v>
      </c>
      <c r="C97" s="610" t="s">
        <v>1229</v>
      </c>
      <c r="D97" s="1465" t="s">
        <v>645</v>
      </c>
      <c r="E97" s="81"/>
      <c r="F97" s="84">
        <f t="shared" ref="F97:K97" si="58">IF(F96&gt;$N$93,(0*F95),(($N$93-F96)*F95))</f>
        <v>0</v>
      </c>
      <c r="G97" s="84">
        <f t="shared" si="58"/>
        <v>0</v>
      </c>
      <c r="H97" s="84">
        <f t="shared" si="58"/>
        <v>4968.7663456613536</v>
      </c>
      <c r="I97" s="84">
        <f t="shared" si="58"/>
        <v>0</v>
      </c>
      <c r="J97" s="84">
        <f t="shared" si="58"/>
        <v>0</v>
      </c>
      <c r="K97" s="84">
        <f t="shared" si="58"/>
        <v>0</v>
      </c>
      <c r="L97" s="1467">
        <f>SUM(F97:K97)</f>
        <v>4968.7663456613536</v>
      </c>
      <c r="M97" s="418">
        <f>L97-O92</f>
        <v>-11994.794615174642</v>
      </c>
      <c r="N97" s="1417"/>
      <c r="O97" s="1417"/>
      <c r="P97" s="1417"/>
      <c r="Q97" s="1417"/>
      <c r="R97" s="1466"/>
    </row>
    <row r="98" spans="1:18" x14ac:dyDescent="0.25">
      <c r="A98" s="185">
        <v>9257029</v>
      </c>
      <c r="B98" t="str">
        <f t="shared" si="55"/>
        <v>9257029d</v>
      </c>
      <c r="C98" s="610" t="s">
        <v>1230</v>
      </c>
      <c r="D98" s="1465" t="s">
        <v>1186</v>
      </c>
      <c r="E98" s="81"/>
      <c r="F98" s="84">
        <f t="shared" ref="F98:K98" si="59">IF(F97&gt;0,(F97/F95),(0))</f>
        <v>0</v>
      </c>
      <c r="G98" s="84">
        <f t="shared" si="59"/>
        <v>0</v>
      </c>
      <c r="H98" s="84">
        <f t="shared" si="59"/>
        <v>87.555354108570114</v>
      </c>
      <c r="I98" s="84">
        <f t="shared" si="59"/>
        <v>0</v>
      </c>
      <c r="J98" s="84">
        <f t="shared" si="59"/>
        <v>0</v>
      </c>
      <c r="K98" s="84">
        <f t="shared" si="59"/>
        <v>0</v>
      </c>
      <c r="L98" s="418"/>
      <c r="M98" s="418"/>
      <c r="N98" s="1417"/>
      <c r="O98" s="1417"/>
      <c r="P98" s="1417"/>
      <c r="Q98" s="1417"/>
      <c r="R98" s="1466"/>
    </row>
    <row r="99" spans="1:18" x14ac:dyDescent="0.25">
      <c r="A99" s="1036"/>
      <c r="B99" s="1036" t="s">
        <v>934</v>
      </c>
      <c r="C99" s="1036"/>
      <c r="D99" s="1036"/>
      <c r="E99" s="1037"/>
      <c r="F99" s="1038"/>
      <c r="G99" s="1038"/>
      <c r="H99" s="1038"/>
      <c r="I99" s="1038"/>
      <c r="J99" s="1038"/>
      <c r="K99" s="1038"/>
      <c r="L99" s="1038"/>
      <c r="M99" s="1038"/>
      <c r="N99" s="1037"/>
      <c r="O99" s="1037"/>
      <c r="P99" s="1037"/>
      <c r="Q99" s="1037"/>
    </row>
    <row r="100" spans="1:18" x14ac:dyDescent="0.25">
      <c r="A100" s="185">
        <v>9257032</v>
      </c>
      <c r="B100" t="str">
        <f>CONCATENATE(A100,C100)</f>
        <v>92570322020/21</v>
      </c>
      <c r="C100" t="s">
        <v>937</v>
      </c>
      <c r="D100" s="612" t="s">
        <v>1183</v>
      </c>
      <c r="E100" s="1030">
        <f>'202021 MFG Protection'!E93</f>
        <v>71.416666666666671</v>
      </c>
      <c r="F100" s="1030">
        <f>'202021 MFG Protection'!F93</f>
        <v>0</v>
      </c>
      <c r="G100" s="1030">
        <f>'202021 MFG Protection'!G93</f>
        <v>0</v>
      </c>
      <c r="H100" s="1030">
        <f>'202021 MFG Protection'!H93</f>
        <v>71.416666666666671</v>
      </c>
      <c r="I100" s="1030">
        <f>'202021 MFG Protection'!I93</f>
        <v>0</v>
      </c>
      <c r="J100" s="1030">
        <f>'202021 MFG Protection'!J93</f>
        <v>0</v>
      </c>
      <c r="K100" s="1030">
        <f>'202021 MFG Protection'!K93</f>
        <v>0</v>
      </c>
      <c r="L100" s="1030">
        <f>'202021 MFG Protection'!L93</f>
        <v>0</v>
      </c>
      <c r="N100" s="16">
        <f>'202021 MFG Protection'!N88</f>
        <v>587.48862610920514</v>
      </c>
      <c r="O100" s="16">
        <f>VLOOKUP(A100,'2021 Funding Detail'!$A$4:$W$23,23,(FALSE))</f>
        <v>41956.479381299068</v>
      </c>
      <c r="R100" s="1466"/>
    </row>
    <row r="101" spans="1:18" x14ac:dyDescent="0.25">
      <c r="A101" s="185">
        <v>9257032</v>
      </c>
      <c r="B101" t="str">
        <f>CONCATENATE(A101,C101)</f>
        <v>92570322021/22</v>
      </c>
      <c r="C101" t="s">
        <v>990</v>
      </c>
      <c r="D101" t="str">
        <f>CONCATENATE(A101,C101)</f>
        <v>92570322021/22</v>
      </c>
      <c r="E101" s="1030">
        <f>VLOOKUP(A101,'2122 Funding Detail'!$A$4:$M$21,13,(FALSE))</f>
        <v>94.833333333333343</v>
      </c>
      <c r="F101" s="1029">
        <f>$E$101*'2122 Band Calculations'!D18</f>
        <v>0</v>
      </c>
      <c r="G101" s="1029">
        <f>$E$101*'2122 Band Calculations'!E18</f>
        <v>0</v>
      </c>
      <c r="H101" s="1029">
        <f>$E$101*'2122 Band Calculations'!F18</f>
        <v>94.833333333333343</v>
      </c>
      <c r="I101" s="1029">
        <f>$E$101*'2122 Band Calculations'!G18</f>
        <v>0</v>
      </c>
      <c r="J101" s="1029">
        <f>$E$101*'2122 Band Calculations'!H18</f>
        <v>0</v>
      </c>
      <c r="K101" s="1029">
        <f>$E$101*'2122 Band Calculations'!I18</f>
        <v>0</v>
      </c>
      <c r="L101" s="1029">
        <f>$E$101*'2122 Band Calculations'!J18</f>
        <v>0</v>
      </c>
      <c r="N101" s="16">
        <f>IF(N100&gt;0,(N100),(0))</f>
        <v>587.48862610920514</v>
      </c>
      <c r="R101" s="1466"/>
    </row>
    <row r="102" spans="1:18" x14ac:dyDescent="0.25">
      <c r="A102" s="185">
        <v>9257032</v>
      </c>
      <c r="B102" t="str">
        <f t="shared" ref="B102:B106" si="60">CONCATENATE(A102,C102)</f>
        <v>9257032</v>
      </c>
      <c r="F102" s="1031">
        <f t="shared" ref="F102:K102" si="61">F101-F100</f>
        <v>0</v>
      </c>
      <c r="G102" s="1031">
        <f t="shared" si="61"/>
        <v>0</v>
      </c>
      <c r="H102" s="1031">
        <f t="shared" si="61"/>
        <v>23.416666666666671</v>
      </c>
      <c r="I102" s="1031">
        <f t="shared" si="61"/>
        <v>0</v>
      </c>
      <c r="J102" s="1031">
        <f t="shared" si="61"/>
        <v>0</v>
      </c>
      <c r="K102" s="1031">
        <f t="shared" si="61"/>
        <v>0</v>
      </c>
      <c r="R102" s="1466"/>
    </row>
    <row r="103" spans="1:18" x14ac:dyDescent="0.25">
      <c r="A103" s="185">
        <v>9257032</v>
      </c>
      <c r="B103" t="str">
        <f t="shared" si="60"/>
        <v>9257032a</v>
      </c>
      <c r="C103" s="1465" t="s">
        <v>1227</v>
      </c>
      <c r="D103" s="1465" t="s">
        <v>1183</v>
      </c>
      <c r="E103" s="81"/>
      <c r="F103" s="1046">
        <f t="shared" ref="F103:K103" si="62">IF(F100&gt;F101,(F101),(F100))</f>
        <v>0</v>
      </c>
      <c r="G103" s="1046">
        <f t="shared" si="62"/>
        <v>0</v>
      </c>
      <c r="H103" s="1046">
        <f t="shared" si="62"/>
        <v>71.416666666666671</v>
      </c>
      <c r="I103" s="1046">
        <f t="shared" si="62"/>
        <v>0</v>
      </c>
      <c r="J103" s="1046">
        <f t="shared" si="62"/>
        <v>0</v>
      </c>
      <c r="K103" s="1046">
        <f t="shared" si="62"/>
        <v>0</v>
      </c>
      <c r="L103" s="293"/>
      <c r="M103" s="418"/>
      <c r="O103" s="16"/>
      <c r="P103" s="16"/>
      <c r="R103" s="1466"/>
    </row>
    <row r="104" spans="1:18" x14ac:dyDescent="0.25">
      <c r="A104" s="185">
        <v>9257032</v>
      </c>
      <c r="B104" t="str">
        <f t="shared" si="60"/>
        <v>9257032b</v>
      </c>
      <c r="C104" s="610" t="s">
        <v>1228</v>
      </c>
      <c r="D104" s="1465" t="s">
        <v>1184</v>
      </c>
      <c r="E104" s="81"/>
      <c r="F104" s="84">
        <f>VLOOKUP($F$3,'2122 Band Values'!$A$5:$AU$24,47,(FALSE))</f>
        <v>58.711672125181849</v>
      </c>
      <c r="G104" s="84">
        <f>VLOOKUP($G$3,'2122 Band Values'!$A$5:$AU$24,47,(FALSE))</f>
        <v>70.45400655021831</v>
      </c>
      <c r="H104" s="84">
        <f>VLOOKUP($H$3,'2122 Band Values'!$A$5:$AU$24,47,(FALSE))</f>
        <v>211.36201965065447</v>
      </c>
      <c r="I104" s="84">
        <f>VLOOKUP($I$3,'2122 Band Values'!$A$5:$AU$24,47,(FALSE))</f>
        <v>264.20252456331764</v>
      </c>
      <c r="J104" s="84">
        <f>VLOOKUP($J$3,'2122 Band Values'!$A$5:$AU$24,47,(FALSE))</f>
        <v>264.20252456331764</v>
      </c>
      <c r="K104" s="84">
        <f>VLOOKUP($K$3,'2122 Band Values'!$A$5:$AU$24,47,(FALSE))</f>
        <v>234.8466885007274</v>
      </c>
      <c r="L104" s="293"/>
      <c r="M104" s="418"/>
      <c r="R104" s="1466"/>
    </row>
    <row r="105" spans="1:18" x14ac:dyDescent="0.25">
      <c r="A105" s="185">
        <v>9257032</v>
      </c>
      <c r="B105" t="str">
        <f>CONCATENATE(A105,C105)</f>
        <v>9257032c</v>
      </c>
      <c r="C105" s="610" t="s">
        <v>1229</v>
      </c>
      <c r="D105" s="1465" t="s">
        <v>645</v>
      </c>
      <c r="E105" s="81"/>
      <c r="F105" s="84">
        <f t="shared" ref="F105:K105" si="63">IF(F104&gt;$N$101,(0*F103),(($N$101-F104)*F103))</f>
        <v>0</v>
      </c>
      <c r="G105" s="84">
        <f t="shared" si="63"/>
        <v>0</v>
      </c>
      <c r="H105" s="84">
        <f t="shared" si="63"/>
        <v>26861.708477914828</v>
      </c>
      <c r="I105" s="84">
        <f t="shared" si="63"/>
        <v>0</v>
      </c>
      <c r="J105" s="84">
        <f t="shared" si="63"/>
        <v>0</v>
      </c>
      <c r="K105" s="84">
        <f t="shared" si="63"/>
        <v>0</v>
      </c>
      <c r="L105" s="1467">
        <f>SUM(F105:K105)</f>
        <v>26861.708477914828</v>
      </c>
      <c r="M105" s="418">
        <f>L105-O100</f>
        <v>-15094.77090338424</v>
      </c>
      <c r="N105" s="1417"/>
      <c r="O105" s="1417"/>
      <c r="P105" s="1417"/>
      <c r="Q105" s="1417"/>
      <c r="R105" s="1466"/>
    </row>
    <row r="106" spans="1:18" x14ac:dyDescent="0.25">
      <c r="A106" s="185">
        <v>9257032</v>
      </c>
      <c r="B106" t="str">
        <f t="shared" si="60"/>
        <v>9257032d</v>
      </c>
      <c r="C106" s="610" t="s">
        <v>1230</v>
      </c>
      <c r="D106" s="1465" t="s">
        <v>1186</v>
      </c>
      <c r="E106" s="81"/>
      <c r="F106" s="84">
        <f t="shared" ref="F106:K106" si="64">IF(F105&gt;0,(F105/F103),(0))</f>
        <v>0</v>
      </c>
      <c r="G106" s="84">
        <f t="shared" si="64"/>
        <v>0</v>
      </c>
      <c r="H106" s="84">
        <f t="shared" si="64"/>
        <v>376.12660645855067</v>
      </c>
      <c r="I106" s="84">
        <f t="shared" si="64"/>
        <v>0</v>
      </c>
      <c r="J106" s="84">
        <f t="shared" si="64"/>
        <v>0</v>
      </c>
      <c r="K106" s="84">
        <f t="shared" si="64"/>
        <v>0</v>
      </c>
      <c r="L106" s="418"/>
      <c r="M106" s="418"/>
      <c r="N106" s="1417"/>
      <c r="O106" s="1417"/>
      <c r="P106" s="1417"/>
      <c r="Q106" s="1417"/>
      <c r="R106" s="1466"/>
    </row>
    <row r="107" spans="1:18" x14ac:dyDescent="0.25">
      <c r="A107" s="1048"/>
      <c r="B107" s="1048" t="s">
        <v>933</v>
      </c>
      <c r="C107" s="1036"/>
      <c r="D107" s="1036"/>
      <c r="E107" s="1037"/>
      <c r="F107" s="1038"/>
      <c r="G107" s="1038"/>
      <c r="H107" s="1038"/>
      <c r="I107" s="1038"/>
      <c r="J107" s="1038"/>
      <c r="K107" s="1038"/>
      <c r="L107" s="1038"/>
      <c r="M107" s="1038"/>
      <c r="N107" s="1037"/>
      <c r="O107" s="1037"/>
      <c r="P107" s="1037"/>
      <c r="Q107" s="1037"/>
    </row>
    <row r="108" spans="1:18" x14ac:dyDescent="0.25">
      <c r="A108" s="185">
        <v>9257030</v>
      </c>
      <c r="B108" t="str">
        <f>CONCATENATE(A108,C108)</f>
        <v>92570302020/21</v>
      </c>
      <c r="C108" t="s">
        <v>937</v>
      </c>
      <c r="D108" s="612" t="s">
        <v>1183</v>
      </c>
      <c r="E108" s="1030">
        <f>'202021 MFG Protection'!E100</f>
        <v>72.333333333333343</v>
      </c>
      <c r="F108" s="1030">
        <f>'202021 MFG Protection'!F100</f>
        <v>0</v>
      </c>
      <c r="G108" s="1030">
        <f>'202021 MFG Protection'!G100</f>
        <v>0</v>
      </c>
      <c r="H108" s="1030">
        <f>'202021 MFG Protection'!H100</f>
        <v>72.333333333333343</v>
      </c>
      <c r="I108" s="1030">
        <f>'202021 MFG Protection'!I100</f>
        <v>0</v>
      </c>
      <c r="J108" s="1030">
        <f>'202021 MFG Protection'!J100</f>
        <v>0</v>
      </c>
      <c r="K108" s="1030">
        <f>'202021 MFG Protection'!K100</f>
        <v>0</v>
      </c>
      <c r="L108" s="1030">
        <f>'202021 MFG Protection'!L100</f>
        <v>0</v>
      </c>
      <c r="N108" s="16">
        <f>'202021 MFG Protection'!N95</f>
        <v>671.07753074711582</v>
      </c>
      <c r="O108" s="16">
        <f>VLOOKUP(A108,'2021 Funding Detail'!$A$4:$W$23,23,(FALSE))</f>
        <v>48541.274724041381</v>
      </c>
      <c r="R108" s="1466"/>
    </row>
    <row r="109" spans="1:18" x14ac:dyDescent="0.25">
      <c r="A109" s="185">
        <v>9257030</v>
      </c>
      <c r="B109" t="str">
        <f>CONCATENATE(A109,C109)</f>
        <v>92570302021/22</v>
      </c>
      <c r="C109" t="s">
        <v>990</v>
      </c>
      <c r="D109" t="str">
        <f>CONCATENATE(A109,C109)</f>
        <v>92570302021/22</v>
      </c>
      <c r="E109" s="1030">
        <f>VLOOKUP(A109,'2122 Funding Detail'!$A$4:$M$21,13,(FALSE))</f>
        <v>73.25</v>
      </c>
      <c r="F109" s="1046">
        <f>$E$109*'2122 Band Calculations'!D19</f>
        <v>0</v>
      </c>
      <c r="G109" s="1046">
        <f>$E$109*'2122 Band Calculations'!E19</f>
        <v>0</v>
      </c>
      <c r="H109" s="1046">
        <f>$E$109*'2122 Band Calculations'!F19</f>
        <v>73.25</v>
      </c>
      <c r="I109" s="1046">
        <f>$E$109*'2122 Band Calculations'!G19</f>
        <v>0</v>
      </c>
      <c r="J109" s="1046">
        <f>$E$109*'2122 Band Calculations'!H19</f>
        <v>0</v>
      </c>
      <c r="K109" s="1046">
        <f>$E$109*'2122 Band Calculations'!I19</f>
        <v>0</v>
      </c>
      <c r="L109" s="1046">
        <f>$E$109*'2122 Band Calculations'!J19</f>
        <v>0</v>
      </c>
      <c r="N109" s="16">
        <f>IF(N108&gt;0,(N108),(0))</f>
        <v>671.07753074711582</v>
      </c>
      <c r="R109" s="1466"/>
    </row>
    <row r="110" spans="1:18" x14ac:dyDescent="0.25">
      <c r="A110" s="185">
        <v>9257030</v>
      </c>
      <c r="B110" t="str">
        <f t="shared" ref="B110:B114" si="65">CONCATENATE(A110,C110)</f>
        <v>9257030</v>
      </c>
      <c r="F110" s="1031">
        <f t="shared" ref="F110:K110" si="66">F109-F108</f>
        <v>0</v>
      </c>
      <c r="G110" s="1031">
        <f t="shared" si="66"/>
        <v>0</v>
      </c>
      <c r="H110" s="1031">
        <f t="shared" si="66"/>
        <v>0.91666666666665719</v>
      </c>
      <c r="I110" s="1031">
        <f t="shared" si="66"/>
        <v>0</v>
      </c>
      <c r="J110" s="1031">
        <f t="shared" si="66"/>
        <v>0</v>
      </c>
      <c r="K110" s="1031">
        <f t="shared" si="66"/>
        <v>0</v>
      </c>
      <c r="R110" s="1466"/>
    </row>
    <row r="111" spans="1:18" x14ac:dyDescent="0.25">
      <c r="A111" s="185">
        <v>9257030</v>
      </c>
      <c r="B111" t="str">
        <f t="shared" si="65"/>
        <v>9257030a</v>
      </c>
      <c r="C111" s="1465" t="s">
        <v>1227</v>
      </c>
      <c r="D111" s="1465" t="s">
        <v>1183</v>
      </c>
      <c r="E111" s="81"/>
      <c r="F111" s="1046">
        <f t="shared" ref="F111:K111" si="67">IF(F108&gt;F109,(F109),(F108))</f>
        <v>0</v>
      </c>
      <c r="G111" s="1046">
        <f t="shared" si="67"/>
        <v>0</v>
      </c>
      <c r="H111" s="1046">
        <f t="shared" si="67"/>
        <v>72.333333333333343</v>
      </c>
      <c r="I111" s="1046">
        <f t="shared" si="67"/>
        <v>0</v>
      </c>
      <c r="J111" s="1046">
        <f t="shared" si="67"/>
        <v>0</v>
      </c>
      <c r="K111" s="1046">
        <f t="shared" si="67"/>
        <v>0</v>
      </c>
      <c r="L111" s="293"/>
      <c r="M111" s="418"/>
      <c r="O111" s="16"/>
      <c r="P111" s="16"/>
      <c r="R111" s="1466"/>
    </row>
    <row r="112" spans="1:18" x14ac:dyDescent="0.25">
      <c r="A112" s="185">
        <v>9257030</v>
      </c>
      <c r="B112" t="str">
        <f t="shared" si="65"/>
        <v>9257030b</v>
      </c>
      <c r="C112" s="610" t="s">
        <v>1228</v>
      </c>
      <c r="D112" s="1465" t="s">
        <v>1184</v>
      </c>
      <c r="E112" s="81"/>
      <c r="F112" s="84">
        <f>VLOOKUP($F$3,'2122 Band Values'!$A$5:$AU$24,47,(FALSE))</f>
        <v>58.711672125181849</v>
      </c>
      <c r="G112" s="84">
        <f>VLOOKUP($G$3,'2122 Band Values'!$A$5:$AU$24,47,(FALSE))</f>
        <v>70.45400655021831</v>
      </c>
      <c r="H112" s="84">
        <f>VLOOKUP($H$3,'2122 Band Values'!$A$5:$AU$24,47,(FALSE))</f>
        <v>211.36201965065447</v>
      </c>
      <c r="I112" s="84">
        <f>VLOOKUP($I$3,'2122 Band Values'!$A$5:$AU$24,47,(FALSE))</f>
        <v>264.20252456331764</v>
      </c>
      <c r="J112" s="84">
        <f>VLOOKUP($J$3,'2122 Band Values'!$A$5:$AU$24,47,(FALSE))</f>
        <v>264.20252456331764</v>
      </c>
      <c r="K112" s="84">
        <f>VLOOKUP($K$3,'2122 Band Values'!$A$5:$AU$24,47,(FALSE))</f>
        <v>234.8466885007274</v>
      </c>
      <c r="L112" s="293"/>
      <c r="M112" s="418"/>
      <c r="R112" s="1466"/>
    </row>
    <row r="113" spans="1:18" x14ac:dyDescent="0.25">
      <c r="A113" s="185">
        <v>9257030</v>
      </c>
      <c r="B113" t="str">
        <f>CONCATENATE(A113,C113)</f>
        <v>9257030c</v>
      </c>
      <c r="C113" s="610" t="s">
        <v>1229</v>
      </c>
      <c r="D113" s="1465" t="s">
        <v>645</v>
      </c>
      <c r="E113" s="81"/>
      <c r="F113" s="84">
        <f t="shared" ref="F113:K113" si="68">IF(F112&gt;$N$109,(0*F111),(($N$109-F112)*F111))</f>
        <v>0</v>
      </c>
      <c r="G113" s="84">
        <f t="shared" si="68"/>
        <v>0</v>
      </c>
      <c r="H113" s="84">
        <f t="shared" si="68"/>
        <v>33252.755302644044</v>
      </c>
      <c r="I113" s="84">
        <f t="shared" si="68"/>
        <v>0</v>
      </c>
      <c r="J113" s="84">
        <f t="shared" si="68"/>
        <v>0</v>
      </c>
      <c r="K113" s="84">
        <f t="shared" si="68"/>
        <v>0</v>
      </c>
      <c r="L113" s="1467">
        <f>SUM(F113:K113)</f>
        <v>33252.755302644044</v>
      </c>
      <c r="M113" s="418">
        <f>L113-O108</f>
        <v>-15288.519421397337</v>
      </c>
      <c r="N113" s="1417"/>
      <c r="O113" s="1417"/>
      <c r="P113" s="1417"/>
      <c r="Q113" s="1417"/>
      <c r="R113" s="1466"/>
    </row>
    <row r="114" spans="1:18" x14ac:dyDescent="0.25">
      <c r="A114" s="185">
        <v>9257030</v>
      </c>
      <c r="B114" t="str">
        <f t="shared" si="65"/>
        <v>9257030d</v>
      </c>
      <c r="C114" s="610" t="s">
        <v>1230</v>
      </c>
      <c r="D114" s="1465" t="s">
        <v>1186</v>
      </c>
      <c r="E114" s="81"/>
      <c r="F114" s="84">
        <f t="shared" ref="F114:K114" si="69">IF(F113&gt;0,(F113/F111),(0))</f>
        <v>0</v>
      </c>
      <c r="G114" s="84">
        <f t="shared" si="69"/>
        <v>0</v>
      </c>
      <c r="H114" s="84">
        <f t="shared" si="69"/>
        <v>459.7155110964614</v>
      </c>
      <c r="I114" s="84">
        <f t="shared" si="69"/>
        <v>0</v>
      </c>
      <c r="J114" s="84">
        <f t="shared" si="69"/>
        <v>0</v>
      </c>
      <c r="K114" s="84">
        <f t="shared" si="69"/>
        <v>0</v>
      </c>
      <c r="L114" s="418"/>
      <c r="M114" s="418"/>
      <c r="N114" s="1417"/>
      <c r="O114" s="1417"/>
      <c r="P114" s="1417"/>
      <c r="Q114" s="1417"/>
      <c r="R114" s="1466"/>
    </row>
    <row r="115" spans="1:18" x14ac:dyDescent="0.25">
      <c r="A115" s="1048"/>
      <c r="B115" s="1048" t="s">
        <v>77</v>
      </c>
      <c r="C115" s="1036"/>
      <c r="D115" s="1036"/>
      <c r="E115" s="1037"/>
      <c r="F115" s="1038"/>
      <c r="G115" s="1038"/>
      <c r="H115" s="1038"/>
      <c r="I115" s="1038"/>
      <c r="J115" s="1038"/>
      <c r="K115" s="1038"/>
      <c r="L115" s="1038"/>
      <c r="M115" s="1038"/>
      <c r="N115" s="1037"/>
      <c r="O115" s="1037"/>
      <c r="P115" s="1037"/>
      <c r="Q115" s="1037"/>
    </row>
    <row r="116" spans="1:18" x14ac:dyDescent="0.25">
      <c r="A116" s="185">
        <v>9257028</v>
      </c>
      <c r="B116" t="str">
        <f>CONCATENATE(A116,C116)</f>
        <v>92570282020/21</v>
      </c>
      <c r="C116" t="s">
        <v>937</v>
      </c>
      <c r="D116" s="612" t="s">
        <v>1183</v>
      </c>
      <c r="E116" s="1030">
        <f>'202021 MFG Protection'!E107</f>
        <v>0</v>
      </c>
      <c r="F116" s="1030">
        <f>'202021 MFG Protection'!F107</f>
        <v>0</v>
      </c>
      <c r="G116" s="1030">
        <f>'202021 MFG Protection'!G107</f>
        <v>0</v>
      </c>
      <c r="H116" s="1030">
        <f>'202021 MFG Protection'!H107</f>
        <v>0</v>
      </c>
      <c r="I116" s="1030">
        <f>'202021 MFG Protection'!I107</f>
        <v>0</v>
      </c>
      <c r="J116" s="1030">
        <f>'202021 MFG Protection'!J107</f>
        <v>0</v>
      </c>
      <c r="K116" s="1030">
        <f>'202021 MFG Protection'!K107</f>
        <v>0</v>
      </c>
      <c r="L116" s="1030">
        <f>'202021 MFG Protection'!L107</f>
        <v>0</v>
      </c>
      <c r="N116" s="16">
        <f>'202021 MFG Protection'!N102</f>
        <v>-262.82852311932766</v>
      </c>
      <c r="O116" s="16">
        <f>VLOOKUP(A116,'2021 Funding Detail'!$A$4:$W$23,23,(FALSE))</f>
        <v>0</v>
      </c>
      <c r="R116" s="1466"/>
    </row>
    <row r="117" spans="1:18" x14ac:dyDescent="0.25">
      <c r="A117" s="185">
        <v>9257028</v>
      </c>
      <c r="B117" t="str">
        <f>CONCATENATE(A117,C117)</f>
        <v>92570282021/22</v>
      </c>
      <c r="C117" t="s">
        <v>990</v>
      </c>
      <c r="D117" t="str">
        <f>CONCATENATE(A117,C117)</f>
        <v>92570282021/22</v>
      </c>
      <c r="E117" s="1030">
        <f>VLOOKUP(A117,'2122 Funding Detail'!$A$4:$M$21,13,(FALSE))</f>
        <v>112.16666666666667</v>
      </c>
      <c r="F117" s="1029">
        <f>$E$117*'2122 Band Calculations'!D20</f>
        <v>9.9950495049504955</v>
      </c>
      <c r="G117" s="1029">
        <f>$E$117*'2122 Band Calculations'!E20</f>
        <v>45.533003300330037</v>
      </c>
      <c r="H117" s="1029">
        <f>$E$117*'2122 Band Calculations'!F20</f>
        <v>8.8844884488448841</v>
      </c>
      <c r="I117" s="1029">
        <f>$E$117*'2122 Band Calculations'!G20</f>
        <v>9.9950495049504955</v>
      </c>
      <c r="J117" s="1029">
        <f>$E$117*'2122 Band Calculations'!H20</f>
        <v>14.437293729372938</v>
      </c>
      <c r="K117" s="1029">
        <f>$E$117*'2122 Band Calculations'!I20</f>
        <v>11.105610561056107</v>
      </c>
      <c r="L117" s="1029">
        <f>$E$117*'2122 Band Calculations'!J20</f>
        <v>12.216171617161717</v>
      </c>
      <c r="N117" s="16">
        <f>IF(N116&gt;0,(N116),(0))</f>
        <v>0</v>
      </c>
      <c r="R117" s="1466"/>
    </row>
    <row r="118" spans="1:18" x14ac:dyDescent="0.25">
      <c r="A118" s="185">
        <v>9257028</v>
      </c>
      <c r="B118" t="str">
        <f t="shared" ref="B118:B122" si="70">CONCATENATE(A118,C118)</f>
        <v>9257028</v>
      </c>
      <c r="F118" s="1031">
        <f t="shared" ref="F118:K118" si="71">F117-F116</f>
        <v>9.9950495049504955</v>
      </c>
      <c r="G118" s="1031">
        <f t="shared" si="71"/>
        <v>45.533003300330037</v>
      </c>
      <c r="H118" s="1031">
        <f t="shared" si="71"/>
        <v>8.8844884488448841</v>
      </c>
      <c r="I118" s="1031">
        <f t="shared" si="71"/>
        <v>9.9950495049504955</v>
      </c>
      <c r="J118" s="1031">
        <f t="shared" si="71"/>
        <v>14.437293729372938</v>
      </c>
      <c r="K118" s="1031">
        <f t="shared" si="71"/>
        <v>11.105610561056107</v>
      </c>
      <c r="R118" s="1466"/>
    </row>
    <row r="119" spans="1:18" x14ac:dyDescent="0.25">
      <c r="A119" s="185">
        <v>9257028</v>
      </c>
      <c r="B119" t="str">
        <f t="shared" si="70"/>
        <v>9257028a</v>
      </c>
      <c r="C119" s="1465" t="s">
        <v>1227</v>
      </c>
      <c r="D119" s="1465" t="s">
        <v>1183</v>
      </c>
      <c r="E119" s="81"/>
      <c r="F119" s="1046">
        <f t="shared" ref="F119:K119" si="72">IF(F116&gt;F117,(F117),(F116))</f>
        <v>0</v>
      </c>
      <c r="G119" s="1046">
        <f t="shared" si="72"/>
        <v>0</v>
      </c>
      <c r="H119" s="1046">
        <f t="shared" si="72"/>
        <v>0</v>
      </c>
      <c r="I119" s="1046">
        <f t="shared" si="72"/>
        <v>0</v>
      </c>
      <c r="J119" s="1046">
        <f t="shared" si="72"/>
        <v>0</v>
      </c>
      <c r="K119" s="1046">
        <f t="shared" si="72"/>
        <v>0</v>
      </c>
      <c r="L119" s="293"/>
      <c r="M119" s="418"/>
      <c r="O119" s="16"/>
      <c r="P119" s="16"/>
      <c r="R119" s="1466"/>
    </row>
    <row r="120" spans="1:18" x14ac:dyDescent="0.25">
      <c r="A120" s="185">
        <v>9257028</v>
      </c>
      <c r="B120" t="str">
        <f t="shared" si="70"/>
        <v>9257028b</v>
      </c>
      <c r="C120" s="610" t="s">
        <v>1228</v>
      </c>
      <c r="D120" s="1465" t="s">
        <v>1184</v>
      </c>
      <c r="E120" s="81"/>
      <c r="F120" s="84">
        <f>VLOOKUP($F$3,'2122 Band Values'!$A$5:$AU$24,47,(FALSE))</f>
        <v>58.711672125181849</v>
      </c>
      <c r="G120" s="84">
        <f>VLOOKUP($G$3,'2122 Band Values'!$A$5:$AU$24,47,(FALSE))</f>
        <v>70.45400655021831</v>
      </c>
      <c r="H120" s="84">
        <f>VLOOKUP($H$3,'2122 Band Values'!$A$5:$AU$24,47,(FALSE))</f>
        <v>211.36201965065447</v>
      </c>
      <c r="I120" s="84">
        <f>VLOOKUP($I$3,'2122 Band Values'!$A$5:$AU$24,47,(FALSE))</f>
        <v>264.20252456331764</v>
      </c>
      <c r="J120" s="84">
        <f>VLOOKUP($J$3,'2122 Band Values'!$A$5:$AU$24,47,(FALSE))</f>
        <v>264.20252456331764</v>
      </c>
      <c r="K120" s="84">
        <f>VLOOKUP($K$3,'2122 Band Values'!$A$5:$AU$24,47,(FALSE))</f>
        <v>234.8466885007274</v>
      </c>
      <c r="L120" s="293"/>
      <c r="M120" s="418"/>
      <c r="R120" s="1466"/>
    </row>
    <row r="121" spans="1:18" x14ac:dyDescent="0.25">
      <c r="A121" s="185">
        <v>9257028</v>
      </c>
      <c r="B121" t="str">
        <f>CONCATENATE(A121,C121)</f>
        <v>9257028c</v>
      </c>
      <c r="C121" s="610" t="s">
        <v>1229</v>
      </c>
      <c r="D121" s="1465" t="s">
        <v>645</v>
      </c>
      <c r="E121" s="81"/>
      <c r="F121" s="84">
        <f t="shared" ref="F121:K121" si="73">IF(F120&gt;$N$117,(0*F119),(($N$117-F120)*F119))</f>
        <v>0</v>
      </c>
      <c r="G121" s="84">
        <f t="shared" si="73"/>
        <v>0</v>
      </c>
      <c r="H121" s="84">
        <f t="shared" si="73"/>
        <v>0</v>
      </c>
      <c r="I121" s="84">
        <f t="shared" si="73"/>
        <v>0</v>
      </c>
      <c r="J121" s="84">
        <f t="shared" si="73"/>
        <v>0</v>
      </c>
      <c r="K121" s="84">
        <f t="shared" si="73"/>
        <v>0</v>
      </c>
      <c r="L121" s="1467">
        <f>SUM(F121:K121)</f>
        <v>0</v>
      </c>
      <c r="M121" s="418">
        <f>L121-O116</f>
        <v>0</v>
      </c>
      <c r="N121" s="1417"/>
      <c r="O121" s="1417"/>
      <c r="P121" s="1417"/>
      <c r="Q121" s="1417"/>
      <c r="R121" s="1466"/>
    </row>
    <row r="122" spans="1:18" x14ac:dyDescent="0.25">
      <c r="A122" s="185">
        <v>9257028</v>
      </c>
      <c r="B122" t="str">
        <f t="shared" si="70"/>
        <v>9257028d</v>
      </c>
      <c r="C122" s="610" t="s">
        <v>1230</v>
      </c>
      <c r="D122" s="1465" t="s">
        <v>1186</v>
      </c>
      <c r="E122" s="81"/>
      <c r="F122" s="84">
        <f t="shared" ref="F122:K122" si="74">IF(F121&gt;0,(F121/F119),(0))</f>
        <v>0</v>
      </c>
      <c r="G122" s="84">
        <f t="shared" si="74"/>
        <v>0</v>
      </c>
      <c r="H122" s="84">
        <f t="shared" si="74"/>
        <v>0</v>
      </c>
      <c r="I122" s="84">
        <f t="shared" si="74"/>
        <v>0</v>
      </c>
      <c r="J122" s="84">
        <f t="shared" si="74"/>
        <v>0</v>
      </c>
      <c r="K122" s="84">
        <f t="shared" si="74"/>
        <v>0</v>
      </c>
      <c r="L122" s="418"/>
      <c r="M122" s="418"/>
      <c r="N122" s="1417"/>
      <c r="O122" s="1417"/>
      <c r="P122" s="1417"/>
      <c r="Q122" s="1417"/>
      <c r="R122" s="1466"/>
    </row>
    <row r="123" spans="1:18" x14ac:dyDescent="0.25">
      <c r="A123" s="1036"/>
      <c r="B123" s="1036" t="s">
        <v>78</v>
      </c>
      <c r="C123" s="1036"/>
      <c r="D123" s="1036"/>
      <c r="E123" s="1037"/>
      <c r="F123" s="1038"/>
      <c r="G123" s="1038"/>
      <c r="H123" s="1038"/>
      <c r="I123" s="1038"/>
      <c r="J123" s="1038"/>
      <c r="K123" s="1038"/>
      <c r="L123" s="1038"/>
      <c r="M123" s="1038"/>
      <c r="N123" s="1037"/>
      <c r="O123" s="1037"/>
      <c r="P123" s="1037"/>
      <c r="Q123" s="1037"/>
      <c r="R123" s="81"/>
    </row>
    <row r="124" spans="1:18" x14ac:dyDescent="0.25">
      <c r="A124" s="185">
        <v>9257021</v>
      </c>
      <c r="B124" t="str">
        <f>CONCATENATE(A124,C124)</f>
        <v>92570212020/21</v>
      </c>
      <c r="C124" t="s">
        <v>937</v>
      </c>
      <c r="D124" s="612" t="s">
        <v>1183</v>
      </c>
      <c r="E124" s="1030">
        <f>'202021 MFG Protection'!E109</f>
        <v>159.08333333333334</v>
      </c>
      <c r="F124" s="1030">
        <f>'202021 MFG Protection'!F109</f>
        <v>44.189814814814817</v>
      </c>
      <c r="G124" s="1030">
        <f>'202021 MFG Protection'!G109</f>
        <v>55.973765432098773</v>
      </c>
      <c r="H124" s="1030">
        <f>'202021 MFG Protection'!H109</f>
        <v>15.7119341563786</v>
      </c>
      <c r="I124" s="1030">
        <f>'202021 MFG Protection'!I109</f>
        <v>6.8739711934156382</v>
      </c>
      <c r="J124" s="1030">
        <f>'202021 MFG Protection'!J109</f>
        <v>11.783950617283951</v>
      </c>
      <c r="K124" s="1030">
        <f>'202021 MFG Protection'!K109</f>
        <v>23.567901234567902</v>
      </c>
      <c r="L124" s="1030">
        <f>'202021 MFG Protection'!L109</f>
        <v>0.98199588477366251</v>
      </c>
      <c r="N124" s="16">
        <f>'202021 MFG Protection'!N109</f>
        <v>194.43750827352051</v>
      </c>
      <c r="O124" s="16">
        <f>VLOOKUP(A124,'2021 Funding Detail'!$A$4:$W$23,23,(FALSE))</f>
        <v>29747.944095442574</v>
      </c>
      <c r="R124" s="1466"/>
    </row>
    <row r="125" spans="1:18" x14ac:dyDescent="0.25">
      <c r="A125" s="185">
        <v>9257021</v>
      </c>
      <c r="B125" t="str">
        <f>CONCATENATE(A125,C125)</f>
        <v>92570212021/22</v>
      </c>
      <c r="C125" t="s">
        <v>990</v>
      </c>
      <c r="D125" t="str">
        <f>CONCATENATE(A125,C125)</f>
        <v>92570212021/22</v>
      </c>
      <c r="E125" s="1030">
        <f>VLOOKUP(A125,'2122 Funding Detail'!$A$4:$M$21,13,(FALSE))</f>
        <v>167.75</v>
      </c>
      <c r="F125" s="1029">
        <f>$E$125*'2122 Band Calculations'!D21</f>
        <v>45.006097560975611</v>
      </c>
      <c r="G125" s="1029">
        <f>$E$125*'2122 Band Calculations'!E21</f>
        <v>71.600609756097555</v>
      </c>
      <c r="H125" s="1029">
        <f>$E$125*'2122 Band Calculations'!F21</f>
        <v>13.297256097560975</v>
      </c>
      <c r="I125" s="1029">
        <f>$E$125*'2122 Band Calculations'!G21</f>
        <v>11.251524390243903</v>
      </c>
      <c r="J125" s="1029">
        <f>$E$125*'2122 Band Calculations'!H21</f>
        <v>9.2057926829268286</v>
      </c>
      <c r="K125" s="1029">
        <f>$E$125*'2122 Band Calculations'!I21</f>
        <v>15.342987804878048</v>
      </c>
      <c r="L125" s="1029">
        <f>$E$125*'2122 Band Calculations'!J21</f>
        <v>2.0457317073170733</v>
      </c>
      <c r="N125" s="16">
        <f>IF(N124&gt;0,(N124),(0))</f>
        <v>194.43750827352051</v>
      </c>
      <c r="R125" s="1466"/>
    </row>
    <row r="126" spans="1:18" x14ac:dyDescent="0.25">
      <c r="A126" s="185">
        <v>9257021</v>
      </c>
      <c r="B126" t="str">
        <f t="shared" ref="B126:B130" si="75">CONCATENATE(A126,C126)</f>
        <v>9257021</v>
      </c>
      <c r="F126" s="1031">
        <f t="shared" ref="F126:K126" si="76">F125-F124</f>
        <v>0.81628274616079466</v>
      </c>
      <c r="G126" s="1031">
        <f t="shared" si="76"/>
        <v>15.626844323998782</v>
      </c>
      <c r="H126" s="1031">
        <f t="shared" si="76"/>
        <v>-2.4146780588176249</v>
      </c>
      <c r="I126" s="1031">
        <f t="shared" si="76"/>
        <v>4.3775531968282646</v>
      </c>
      <c r="J126" s="1031">
        <f t="shared" si="76"/>
        <v>-2.5781579343571224</v>
      </c>
      <c r="K126" s="1031">
        <f t="shared" si="76"/>
        <v>-8.2249134296898543</v>
      </c>
      <c r="R126" s="1466"/>
    </row>
    <row r="127" spans="1:18" x14ac:dyDescent="0.25">
      <c r="A127" s="185">
        <v>9257021</v>
      </c>
      <c r="B127" t="str">
        <f t="shared" si="75"/>
        <v>9257021a</v>
      </c>
      <c r="C127" s="1465" t="s">
        <v>1227</v>
      </c>
      <c r="D127" s="1465" t="s">
        <v>1183</v>
      </c>
      <c r="E127" s="81"/>
      <c r="F127" s="1046">
        <f t="shared" ref="F127:K127" si="77">IF(F124&gt;F125,(F125),(F124))</f>
        <v>44.189814814814817</v>
      </c>
      <c r="G127" s="1046">
        <f t="shared" si="77"/>
        <v>55.973765432098773</v>
      </c>
      <c r="H127" s="1046">
        <f t="shared" si="77"/>
        <v>13.297256097560975</v>
      </c>
      <c r="I127" s="1046">
        <f t="shared" si="77"/>
        <v>6.8739711934156382</v>
      </c>
      <c r="J127" s="1046">
        <f t="shared" si="77"/>
        <v>9.2057926829268286</v>
      </c>
      <c r="K127" s="1046">
        <f t="shared" si="77"/>
        <v>15.342987804878048</v>
      </c>
      <c r="L127" s="293"/>
      <c r="M127" s="418"/>
      <c r="O127" s="16"/>
      <c r="P127" s="16"/>
      <c r="R127" s="1466"/>
    </row>
    <row r="128" spans="1:18" x14ac:dyDescent="0.25">
      <c r="A128" s="185">
        <v>9257021</v>
      </c>
      <c r="B128" t="str">
        <f t="shared" si="75"/>
        <v>9257021b</v>
      </c>
      <c r="C128" s="610" t="s">
        <v>1228</v>
      </c>
      <c r="D128" s="1465" t="s">
        <v>1184</v>
      </c>
      <c r="E128" s="81"/>
      <c r="F128" s="84">
        <f>VLOOKUP($F$3,'2122 Band Values'!$A$5:$AU$24,47,(FALSE))</f>
        <v>58.711672125181849</v>
      </c>
      <c r="G128" s="84">
        <f>VLOOKUP($G$3,'2122 Band Values'!$A$5:$AU$24,47,(FALSE))</f>
        <v>70.45400655021831</v>
      </c>
      <c r="H128" s="84">
        <f>VLOOKUP($H$3,'2122 Band Values'!$A$5:$AU$24,47,(FALSE))</f>
        <v>211.36201965065447</v>
      </c>
      <c r="I128" s="84">
        <f>VLOOKUP($I$3,'2122 Band Values'!$A$5:$AU$24,47,(FALSE))</f>
        <v>264.20252456331764</v>
      </c>
      <c r="J128" s="84">
        <f>VLOOKUP($J$3,'2122 Band Values'!$A$5:$AU$24,47,(FALSE))</f>
        <v>264.20252456331764</v>
      </c>
      <c r="K128" s="84">
        <f>VLOOKUP($K$3,'2122 Band Values'!$A$5:$AU$24,47,(FALSE))</f>
        <v>234.8466885007274</v>
      </c>
      <c r="L128" s="293"/>
      <c r="M128" s="418"/>
      <c r="R128" s="1466"/>
    </row>
    <row r="129" spans="1:18" x14ac:dyDescent="0.25">
      <c r="A129" s="185">
        <v>9257021</v>
      </c>
      <c r="B129" t="str">
        <f>CONCATENATE(A129,C129)</f>
        <v>9257021c</v>
      </c>
      <c r="C129" s="610" t="s">
        <v>1229</v>
      </c>
      <c r="D129" s="1465" t="s">
        <v>645</v>
      </c>
      <c r="E129" s="81"/>
      <c r="F129" s="84">
        <f t="shared" ref="F129:K129" si="78">IF(F128&gt;$N$125,(0*F127),(($N$125-F128)*F127))</f>
        <v>5997.6995649809842</v>
      </c>
      <c r="G129" s="84">
        <f t="shared" si="78"/>
        <v>6939.8234429103313</v>
      </c>
      <c r="H129" s="84">
        <f t="shared" si="78"/>
        <v>0</v>
      </c>
      <c r="I129" s="84">
        <f t="shared" si="78"/>
        <v>0</v>
      </c>
      <c r="J129" s="84">
        <f t="shared" si="78"/>
        <v>0</v>
      </c>
      <c r="K129" s="84">
        <f t="shared" si="78"/>
        <v>0</v>
      </c>
      <c r="L129" s="1467">
        <f>SUM(F129:K129)</f>
        <v>12937.523007891316</v>
      </c>
      <c r="M129" s="418">
        <f>L129-O124</f>
        <v>-16810.421087551258</v>
      </c>
      <c r="N129" s="1417"/>
      <c r="O129" s="1417"/>
      <c r="P129" s="1417"/>
      <c r="Q129" s="1417"/>
      <c r="R129" s="1466"/>
    </row>
    <row r="130" spans="1:18" x14ac:dyDescent="0.25">
      <c r="A130" s="185">
        <v>9257021</v>
      </c>
      <c r="B130" t="str">
        <f t="shared" si="75"/>
        <v>9257021d</v>
      </c>
      <c r="C130" s="610" t="s">
        <v>1230</v>
      </c>
      <c r="D130" s="1465" t="s">
        <v>1186</v>
      </c>
      <c r="E130" s="81"/>
      <c r="F130" s="84">
        <f t="shared" ref="F130:K130" si="79">IF(F129&gt;0,(F129/F127),(0))</f>
        <v>135.72583614833866</v>
      </c>
      <c r="G130" s="84">
        <f t="shared" si="79"/>
        <v>123.9835017233022</v>
      </c>
      <c r="H130" s="84">
        <f t="shared" si="79"/>
        <v>0</v>
      </c>
      <c r="I130" s="84">
        <f t="shared" si="79"/>
        <v>0</v>
      </c>
      <c r="J130" s="84">
        <f t="shared" si="79"/>
        <v>0</v>
      </c>
      <c r="K130" s="84">
        <f t="shared" si="79"/>
        <v>0</v>
      </c>
      <c r="L130" s="418"/>
      <c r="M130" s="418"/>
      <c r="N130" s="1417"/>
      <c r="O130" s="1417"/>
      <c r="P130" s="1417"/>
      <c r="Q130" s="1417"/>
      <c r="R130" s="1466"/>
    </row>
    <row r="131" spans="1:18" x14ac:dyDescent="0.25">
      <c r="A131" s="1048"/>
      <c r="B131" s="1048" t="s">
        <v>55</v>
      </c>
      <c r="C131" s="1036"/>
      <c r="D131" s="1036"/>
      <c r="E131" s="1037"/>
      <c r="F131" s="1038"/>
      <c r="G131" s="1038"/>
      <c r="H131" s="1038"/>
      <c r="I131" s="1038"/>
      <c r="J131" s="1038"/>
      <c r="K131" s="1038"/>
      <c r="L131" s="1038"/>
      <c r="M131" s="1038"/>
      <c r="N131" s="1037"/>
      <c r="O131" s="1037"/>
      <c r="P131" s="1037"/>
      <c r="Q131" s="1037"/>
    </row>
    <row r="132" spans="1:18" x14ac:dyDescent="0.25">
      <c r="A132" s="185">
        <v>9257015</v>
      </c>
      <c r="B132" t="str">
        <f>CONCATENATE(A132,C132)</f>
        <v>92570152020/21</v>
      </c>
      <c r="C132" t="s">
        <v>937</v>
      </c>
      <c r="D132" s="612" t="s">
        <v>1183</v>
      </c>
      <c r="E132" s="1030">
        <f>'202021 MFG Protection'!E121</f>
        <v>0</v>
      </c>
      <c r="F132" s="1030">
        <f>'202021 MFG Protection'!F121</f>
        <v>0</v>
      </c>
      <c r="G132" s="1030">
        <f>'202021 MFG Protection'!G121</f>
        <v>0</v>
      </c>
      <c r="H132" s="1030">
        <f>'202021 MFG Protection'!H121</f>
        <v>0</v>
      </c>
      <c r="I132" s="1030">
        <f>'202021 MFG Protection'!I121</f>
        <v>0</v>
      </c>
      <c r="J132" s="1030">
        <f>'202021 MFG Protection'!J121</f>
        <v>0</v>
      </c>
      <c r="K132" s="1030">
        <f>'202021 MFG Protection'!K121</f>
        <v>0</v>
      </c>
      <c r="L132" s="1030">
        <f>'202021 MFG Protection'!L121</f>
        <v>0</v>
      </c>
      <c r="N132" s="16">
        <f>'202021 MFG Protection'!N116</f>
        <v>-133.4314770990095</v>
      </c>
      <c r="O132" s="16">
        <f>VLOOKUP(A132,'2021 Funding Detail'!$A$4:$W$23,23,(FALSE))</f>
        <v>0</v>
      </c>
      <c r="R132" s="1466"/>
    </row>
    <row r="133" spans="1:18" x14ac:dyDescent="0.25">
      <c r="A133" s="185">
        <v>9257015</v>
      </c>
      <c r="B133" t="str">
        <f>CONCATENATE(A133,C133)</f>
        <v>92570152021/22</v>
      </c>
      <c r="C133" t="s">
        <v>990</v>
      </c>
      <c r="D133" t="str">
        <f>CONCATENATE(A133,C133)</f>
        <v>92570152021/22</v>
      </c>
      <c r="E133" s="1030">
        <f>VLOOKUP(A133,'2122 Funding Detail'!$A$4:$M$21,13,(FALSE))</f>
        <v>228.08333333333334</v>
      </c>
      <c r="F133" s="1029">
        <f>$E$133*'2122 Band Calculations'!D22</f>
        <v>75.69137168141593</v>
      </c>
      <c r="G133" s="1029">
        <f>$E$133*'2122 Band Calculations'!E22</f>
        <v>87.801991150442475</v>
      </c>
      <c r="H133" s="1029">
        <f>$E$133*'2122 Band Calculations'!F22</f>
        <v>4.0368731563421827</v>
      </c>
      <c r="I133" s="1029">
        <f>$E$133*'2122 Band Calculations'!G22</f>
        <v>20.184365781710916</v>
      </c>
      <c r="J133" s="1029">
        <f>$E$133*'2122 Band Calculations'!H22</f>
        <v>5.046091445427729</v>
      </c>
      <c r="K133" s="1029">
        <f>$E$133*'2122 Band Calculations'!I22</f>
        <v>32.294985250737462</v>
      </c>
      <c r="L133" s="1029">
        <f>$E$133*'2122 Band Calculations'!J22</f>
        <v>3.0276548672566372</v>
      </c>
      <c r="N133" s="16">
        <f>IF(N132&gt;0,(N132),(0))</f>
        <v>0</v>
      </c>
      <c r="R133" s="1466"/>
    </row>
    <row r="134" spans="1:18" x14ac:dyDescent="0.25">
      <c r="A134" s="185">
        <v>9257015</v>
      </c>
      <c r="B134" t="str">
        <f t="shared" ref="B134:B138" si="80">CONCATENATE(A134,C134)</f>
        <v>9257015</v>
      </c>
      <c r="F134" s="1031">
        <f t="shared" ref="F134:K134" si="81">F133-F132</f>
        <v>75.69137168141593</v>
      </c>
      <c r="G134" s="1031">
        <f t="shared" si="81"/>
        <v>87.801991150442475</v>
      </c>
      <c r="H134" s="1031">
        <f t="shared" si="81"/>
        <v>4.0368731563421827</v>
      </c>
      <c r="I134" s="1031">
        <f t="shared" si="81"/>
        <v>20.184365781710916</v>
      </c>
      <c r="J134" s="1031">
        <f t="shared" si="81"/>
        <v>5.046091445427729</v>
      </c>
      <c r="K134" s="1031">
        <f t="shared" si="81"/>
        <v>32.294985250737462</v>
      </c>
      <c r="L134" s="1046"/>
      <c r="R134" s="1466"/>
    </row>
    <row r="135" spans="1:18" x14ac:dyDescent="0.25">
      <c r="A135" s="185">
        <v>9257015</v>
      </c>
      <c r="B135" t="str">
        <f t="shared" si="80"/>
        <v>9257015a</v>
      </c>
      <c r="C135" s="1465" t="s">
        <v>1227</v>
      </c>
      <c r="D135" s="1465" t="s">
        <v>1183</v>
      </c>
      <c r="E135" s="81"/>
      <c r="F135" s="1046">
        <f t="shared" ref="F135:K135" si="82">IF(F132&gt;F133,(F133),(F132))</f>
        <v>0</v>
      </c>
      <c r="G135" s="1046">
        <f t="shared" si="82"/>
        <v>0</v>
      </c>
      <c r="H135" s="1046">
        <f t="shared" si="82"/>
        <v>0</v>
      </c>
      <c r="I135" s="1046">
        <f t="shared" si="82"/>
        <v>0</v>
      </c>
      <c r="J135" s="1046">
        <f t="shared" si="82"/>
        <v>0</v>
      </c>
      <c r="K135" s="1046">
        <f t="shared" si="82"/>
        <v>0</v>
      </c>
      <c r="L135" s="293"/>
      <c r="M135" s="418"/>
      <c r="O135" s="16"/>
      <c r="P135" s="16"/>
      <c r="R135" s="1466"/>
    </row>
    <row r="136" spans="1:18" x14ac:dyDescent="0.25">
      <c r="A136" s="185">
        <v>9257015</v>
      </c>
      <c r="B136" t="str">
        <f t="shared" si="80"/>
        <v>9257015b</v>
      </c>
      <c r="C136" s="610" t="s">
        <v>1228</v>
      </c>
      <c r="D136" s="1465" t="s">
        <v>1184</v>
      </c>
      <c r="E136" s="81"/>
      <c r="F136" s="84">
        <f>VLOOKUP($F$3,'2122 Band Values'!$A$5:$AU$24,47,(FALSE))</f>
        <v>58.711672125181849</v>
      </c>
      <c r="G136" s="84">
        <f>VLOOKUP($G$3,'2122 Band Values'!$A$5:$AU$24,47,(FALSE))</f>
        <v>70.45400655021831</v>
      </c>
      <c r="H136" s="84">
        <f>VLOOKUP($H$3,'2122 Band Values'!$A$5:$AU$24,47,(FALSE))</f>
        <v>211.36201965065447</v>
      </c>
      <c r="I136" s="84">
        <f>VLOOKUP($I$3,'2122 Band Values'!$A$5:$AU$24,47,(FALSE))</f>
        <v>264.20252456331764</v>
      </c>
      <c r="J136" s="84">
        <f>VLOOKUP($J$3,'2122 Band Values'!$A$5:$AU$24,47,(FALSE))</f>
        <v>264.20252456331764</v>
      </c>
      <c r="K136" s="84">
        <f>VLOOKUP($K$3,'2122 Band Values'!$A$5:$AU$24,47,(FALSE))</f>
        <v>234.8466885007274</v>
      </c>
      <c r="L136" s="293"/>
      <c r="M136" s="418"/>
      <c r="R136" s="1466"/>
    </row>
    <row r="137" spans="1:18" x14ac:dyDescent="0.25">
      <c r="A137" s="185">
        <v>9257015</v>
      </c>
      <c r="B137" t="str">
        <f>CONCATENATE(A137,C137)</f>
        <v>9257015c</v>
      </c>
      <c r="C137" s="610" t="s">
        <v>1229</v>
      </c>
      <c r="D137" s="1465" t="s">
        <v>645</v>
      </c>
      <c r="E137" s="81"/>
      <c r="F137" s="84">
        <f t="shared" ref="F137:K137" si="83">IF(F136&gt;$N$133,(0*F135),(($N$133-F136)*F135))</f>
        <v>0</v>
      </c>
      <c r="G137" s="84">
        <f t="shared" si="83"/>
        <v>0</v>
      </c>
      <c r="H137" s="84">
        <f t="shared" si="83"/>
        <v>0</v>
      </c>
      <c r="I137" s="84">
        <f t="shared" si="83"/>
        <v>0</v>
      </c>
      <c r="J137" s="84">
        <f t="shared" si="83"/>
        <v>0</v>
      </c>
      <c r="K137" s="84">
        <f t="shared" si="83"/>
        <v>0</v>
      </c>
      <c r="L137" s="1467">
        <f>SUM(F137:K137)</f>
        <v>0</v>
      </c>
      <c r="M137" s="418">
        <f>L137-O132</f>
        <v>0</v>
      </c>
      <c r="N137" s="1417"/>
      <c r="O137" s="1417"/>
      <c r="P137" s="1417"/>
      <c r="Q137" s="1417"/>
      <c r="R137" s="1466"/>
    </row>
    <row r="138" spans="1:18" x14ac:dyDescent="0.25">
      <c r="A138" s="185">
        <v>9257015</v>
      </c>
      <c r="B138" t="str">
        <f t="shared" si="80"/>
        <v>9257015d</v>
      </c>
      <c r="C138" s="610" t="s">
        <v>1230</v>
      </c>
      <c r="D138" s="1465" t="s">
        <v>1186</v>
      </c>
      <c r="E138" s="81"/>
      <c r="F138" s="84">
        <f t="shared" ref="F138:K138" si="84">IF(F137&gt;0,(F137/F135),(0))</f>
        <v>0</v>
      </c>
      <c r="G138" s="84">
        <f t="shared" si="84"/>
        <v>0</v>
      </c>
      <c r="H138" s="84">
        <f t="shared" si="84"/>
        <v>0</v>
      </c>
      <c r="I138" s="84">
        <f t="shared" si="84"/>
        <v>0</v>
      </c>
      <c r="J138" s="84">
        <f t="shared" si="84"/>
        <v>0</v>
      </c>
      <c r="K138" s="84">
        <f t="shared" si="84"/>
        <v>0</v>
      </c>
      <c r="L138" s="418"/>
      <c r="M138" s="418"/>
      <c r="N138" s="1417"/>
      <c r="O138" s="1417"/>
      <c r="P138" s="1417"/>
      <c r="Q138" s="1417"/>
      <c r="R138" s="1466"/>
    </row>
    <row r="139" spans="1:18" x14ac:dyDescent="0.25">
      <c r="A139" s="1048"/>
      <c r="B139" s="1048" t="s">
        <v>80</v>
      </c>
      <c r="C139" s="1036"/>
      <c r="D139" s="1036"/>
      <c r="E139" s="1037"/>
      <c r="F139" s="1038"/>
      <c r="G139" s="1038"/>
      <c r="H139" s="1038"/>
      <c r="I139" s="1038"/>
      <c r="J139" s="1038"/>
      <c r="K139" s="1038"/>
      <c r="L139" s="1038"/>
      <c r="M139" s="1038"/>
      <c r="N139" s="1037"/>
      <c r="O139" s="1037"/>
      <c r="P139" s="1037"/>
      <c r="Q139" s="1037"/>
    </row>
    <row r="140" spans="1:18" x14ac:dyDescent="0.25">
      <c r="A140" s="185">
        <v>9257016</v>
      </c>
      <c r="B140" t="str">
        <f>CONCATENATE(A140,C140)</f>
        <v>92570162020/21</v>
      </c>
      <c r="C140" t="s">
        <v>937</v>
      </c>
      <c r="D140" s="612" t="s">
        <v>1183</v>
      </c>
      <c r="E140" s="1030">
        <f>'202021 MFG Protection'!E128</f>
        <v>0</v>
      </c>
      <c r="F140" s="1030">
        <f>'202021 MFG Protection'!F128</f>
        <v>0</v>
      </c>
      <c r="G140" s="1030">
        <f>'202021 MFG Protection'!G128</f>
        <v>0</v>
      </c>
      <c r="H140" s="1030">
        <f>'202021 MFG Protection'!H128</f>
        <v>0</v>
      </c>
      <c r="I140" s="1030">
        <f>'202021 MFG Protection'!I128</f>
        <v>0</v>
      </c>
      <c r="J140" s="1030">
        <f>'202021 MFG Protection'!J128</f>
        <v>0</v>
      </c>
      <c r="K140" s="1030">
        <f>'202021 MFG Protection'!K128</f>
        <v>0</v>
      </c>
      <c r="L140" s="1030">
        <f>'202021 MFG Protection'!L128</f>
        <v>0</v>
      </c>
      <c r="N140" s="16">
        <f>'202021 MFG Protection'!N123</f>
        <v>-445.82028854968303</v>
      </c>
      <c r="O140" s="16">
        <f>VLOOKUP(A140,'2021 Funding Detail'!$A$4:$W$23,23,(FALSE))</f>
        <v>0</v>
      </c>
      <c r="R140" s="1466"/>
    </row>
    <row r="141" spans="1:18" x14ac:dyDescent="0.25">
      <c r="A141" s="185">
        <v>9257016</v>
      </c>
      <c r="B141" t="str">
        <f>CONCATENATE(A141,C141)</f>
        <v>92570162021/22</v>
      </c>
      <c r="C141" t="s">
        <v>990</v>
      </c>
      <c r="D141" t="str">
        <f>CONCATENATE(A141,C141)</f>
        <v>92570162021/22</v>
      </c>
      <c r="E141" s="1030">
        <f>VLOOKUP(A141,'2122 Funding Detail'!$A$4:$M$21,13,(FALSE))</f>
        <v>162.08333333333334</v>
      </c>
      <c r="F141" s="1046">
        <f>$E$141*'2122 Band Calculations'!D23</f>
        <v>29.195134575569362</v>
      </c>
      <c r="G141" s="1046">
        <f>$E$141*'2122 Band Calculations'!E23</f>
        <v>25.168219461697721</v>
      </c>
      <c r="H141" s="1046">
        <f>$E$141*'2122 Band Calculations'!F23</f>
        <v>1.0067287784679089</v>
      </c>
      <c r="I141" s="1046">
        <f>$E$141*'2122 Band Calculations'!G23</f>
        <v>36.242236024844722</v>
      </c>
      <c r="J141" s="1046">
        <f>$E$141*'2122 Band Calculations'!H23</f>
        <v>34.228778467908903</v>
      </c>
      <c r="K141" s="1046">
        <f>$E$141*'2122 Band Calculations'!I23</f>
        <v>2.0134575569358177</v>
      </c>
      <c r="L141" s="1046">
        <f>$E$141*'2122 Band Calculations'!J23</f>
        <v>34.228778467908903</v>
      </c>
      <c r="N141" s="16">
        <f>IF(N140&gt;0,(N140),(0))</f>
        <v>0</v>
      </c>
      <c r="R141" s="1466"/>
    </row>
    <row r="142" spans="1:18" x14ac:dyDescent="0.25">
      <c r="A142" s="185">
        <v>9257016</v>
      </c>
      <c r="B142" t="str">
        <f t="shared" ref="B142:B146" si="85">CONCATENATE(A142,C142)</f>
        <v>9257016</v>
      </c>
      <c r="F142" s="1031">
        <f t="shared" ref="F142:K142" si="86">F141-F140</f>
        <v>29.195134575569362</v>
      </c>
      <c r="G142" s="1031">
        <f t="shared" si="86"/>
        <v>25.168219461697721</v>
      </c>
      <c r="H142" s="1031">
        <f t="shared" si="86"/>
        <v>1.0067287784679089</v>
      </c>
      <c r="I142" s="1031">
        <f t="shared" si="86"/>
        <v>36.242236024844722</v>
      </c>
      <c r="J142" s="1031">
        <f t="shared" si="86"/>
        <v>34.228778467908903</v>
      </c>
      <c r="K142" s="1031">
        <f t="shared" si="86"/>
        <v>2.0134575569358177</v>
      </c>
      <c r="R142" s="1466"/>
    </row>
    <row r="143" spans="1:18" x14ac:dyDescent="0.25">
      <c r="A143" s="185">
        <v>9257016</v>
      </c>
      <c r="B143" t="str">
        <f t="shared" si="85"/>
        <v>9257016a</v>
      </c>
      <c r="C143" s="1465" t="s">
        <v>1227</v>
      </c>
      <c r="D143" s="1465" t="s">
        <v>1183</v>
      </c>
      <c r="E143" s="81"/>
      <c r="F143" s="1046">
        <f t="shared" ref="F143:K143" si="87">IF(F140&gt;F141,(F141),(F140))</f>
        <v>0</v>
      </c>
      <c r="G143" s="1046">
        <f t="shared" si="87"/>
        <v>0</v>
      </c>
      <c r="H143" s="1046">
        <f t="shared" si="87"/>
        <v>0</v>
      </c>
      <c r="I143" s="1046">
        <f t="shared" si="87"/>
        <v>0</v>
      </c>
      <c r="J143" s="1046">
        <f t="shared" si="87"/>
        <v>0</v>
      </c>
      <c r="K143" s="1046">
        <f t="shared" si="87"/>
        <v>0</v>
      </c>
      <c r="L143" s="293"/>
      <c r="M143" s="418"/>
      <c r="O143" s="16"/>
      <c r="P143" s="16"/>
      <c r="R143" s="1466"/>
    </row>
    <row r="144" spans="1:18" x14ac:dyDescent="0.25">
      <c r="A144" s="185">
        <v>9257016</v>
      </c>
      <c r="B144" t="str">
        <f t="shared" si="85"/>
        <v>9257016b</v>
      </c>
      <c r="C144" s="610" t="s">
        <v>1228</v>
      </c>
      <c r="D144" s="1465" t="s">
        <v>1184</v>
      </c>
      <c r="E144" s="81"/>
      <c r="F144" s="84">
        <f>VLOOKUP($F$3,'2122 Band Values'!$A$5:$AU$24,47,(FALSE))</f>
        <v>58.711672125181849</v>
      </c>
      <c r="G144" s="84">
        <f>VLOOKUP($G$3,'2122 Band Values'!$A$5:$AU$24,47,(FALSE))</f>
        <v>70.45400655021831</v>
      </c>
      <c r="H144" s="84">
        <f>VLOOKUP($H$3,'2122 Band Values'!$A$5:$AU$24,47,(FALSE))</f>
        <v>211.36201965065447</v>
      </c>
      <c r="I144" s="84">
        <f>VLOOKUP($I$3,'2122 Band Values'!$A$5:$AU$24,47,(FALSE))</f>
        <v>264.20252456331764</v>
      </c>
      <c r="J144" s="84">
        <f>VLOOKUP($J$3,'2122 Band Values'!$A$5:$AU$24,47,(FALSE))</f>
        <v>264.20252456331764</v>
      </c>
      <c r="K144" s="84">
        <f>VLOOKUP($K$3,'2122 Band Values'!$A$5:$AU$24,47,(FALSE))</f>
        <v>234.8466885007274</v>
      </c>
      <c r="L144" s="293"/>
      <c r="M144" s="418"/>
      <c r="R144" s="1466"/>
    </row>
    <row r="145" spans="1:18" x14ac:dyDescent="0.25">
      <c r="A145" s="185">
        <v>9257016</v>
      </c>
      <c r="B145" t="str">
        <f>CONCATENATE(A145,C145)</f>
        <v>9257016c</v>
      </c>
      <c r="C145" s="610" t="s">
        <v>1229</v>
      </c>
      <c r="D145" s="1465" t="s">
        <v>645</v>
      </c>
      <c r="E145" s="81"/>
      <c r="F145" s="84">
        <f t="shared" ref="F145:K145" si="88">IF(F144&gt;$N$141,(0*F143),(($N$141-F144)*F143))</f>
        <v>0</v>
      </c>
      <c r="G145" s="84">
        <f t="shared" si="88"/>
        <v>0</v>
      </c>
      <c r="H145" s="84">
        <f t="shared" si="88"/>
        <v>0</v>
      </c>
      <c r="I145" s="84">
        <f t="shared" si="88"/>
        <v>0</v>
      </c>
      <c r="J145" s="84">
        <f t="shared" si="88"/>
        <v>0</v>
      </c>
      <c r="K145" s="84">
        <f t="shared" si="88"/>
        <v>0</v>
      </c>
      <c r="L145" s="1467">
        <f>SUM(F145:K145)</f>
        <v>0</v>
      </c>
      <c r="M145" s="418">
        <f>L145-O140</f>
        <v>0</v>
      </c>
      <c r="N145" s="1417"/>
      <c r="O145" s="1417"/>
      <c r="P145" s="1417"/>
      <c r="Q145" s="1417"/>
      <c r="R145" s="1466"/>
    </row>
    <row r="146" spans="1:18" x14ac:dyDescent="0.25">
      <c r="A146" s="185">
        <v>9257016</v>
      </c>
      <c r="B146" t="str">
        <f t="shared" si="85"/>
        <v>9257016d</v>
      </c>
      <c r="C146" s="610" t="s">
        <v>1230</v>
      </c>
      <c r="D146" s="1465" t="s">
        <v>1186</v>
      </c>
      <c r="E146" s="81"/>
      <c r="F146" s="84">
        <f t="shared" ref="F146:K146" si="89">IF(F145&gt;0,(F145/F143),(0))</f>
        <v>0</v>
      </c>
      <c r="G146" s="84">
        <f t="shared" si="89"/>
        <v>0</v>
      </c>
      <c r="H146" s="84">
        <f t="shared" si="89"/>
        <v>0</v>
      </c>
      <c r="I146" s="84">
        <f t="shared" si="89"/>
        <v>0</v>
      </c>
      <c r="J146" s="84">
        <f t="shared" si="89"/>
        <v>0</v>
      </c>
      <c r="K146" s="84">
        <f t="shared" si="89"/>
        <v>0</v>
      </c>
      <c r="L146" s="418"/>
      <c r="M146" s="418"/>
      <c r="N146" s="1417"/>
      <c r="O146" s="1417"/>
      <c r="P146" s="1417"/>
      <c r="Q146" s="1417"/>
      <c r="R146" s="1466"/>
    </row>
    <row r="147" spans="1:18" x14ac:dyDescent="0.25">
      <c r="A147" s="1036"/>
      <c r="B147" s="1036"/>
      <c r="C147" s="1036"/>
      <c r="D147" s="1036"/>
      <c r="E147" s="1037"/>
      <c r="F147" s="1038"/>
      <c r="G147" s="1038"/>
      <c r="H147" s="1038"/>
      <c r="I147" s="1038"/>
      <c r="J147" s="1038"/>
      <c r="K147" s="1038"/>
      <c r="L147" s="1038"/>
      <c r="M147" s="1038"/>
      <c r="N147" s="1037"/>
      <c r="O147" s="1037"/>
      <c r="P147" s="1037"/>
      <c r="Q147" s="1037"/>
    </row>
    <row r="149" spans="1:18" x14ac:dyDescent="0.25">
      <c r="E149"/>
      <c r="F149"/>
      <c r="G149"/>
      <c r="H149"/>
      <c r="I149"/>
      <c r="J149" s="672" t="s">
        <v>1187</v>
      </c>
      <c r="K149"/>
      <c r="L149" s="1467">
        <f>L9+L17+L25+L33+L41+L49+L57+L65+L73+L81+L89+L97+L105+L113+L121+L129+L137+L145</f>
        <v>266886.23647491651</v>
      </c>
      <c r="M149"/>
      <c r="N149"/>
      <c r="O149"/>
      <c r="P149"/>
      <c r="Q149"/>
      <c r="R149"/>
    </row>
    <row r="151" spans="1:18" x14ac:dyDescent="0.25">
      <c r="J151" s="672" t="s">
        <v>1188</v>
      </c>
      <c r="L151" s="16">
        <f>'202021 MFG Protection'!L131</f>
        <v>408593.27346645918</v>
      </c>
    </row>
    <row r="153" spans="1:18" x14ac:dyDescent="0.25">
      <c r="J153" s="672" t="s">
        <v>1189</v>
      </c>
      <c r="L153" s="16">
        <f>L149-L151</f>
        <v>-141707.03699154267</v>
      </c>
    </row>
  </sheetData>
  <mergeCells count="1">
    <mergeCell ref="T5:Y7"/>
  </mergeCells>
  <conditionalFormatting sqref="L153">
    <cfRule type="cellIs" dxfId="4" priority="1" operator="lessThan">
      <formula>0</formula>
    </cfRule>
  </conditionalFormatting>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129"/>
  <sheetViews>
    <sheetView topLeftCell="A88" workbookViewId="0">
      <pane xSplit="2" topLeftCell="T1" activePane="topRight" state="frozen"/>
      <selection activeCell="A88" sqref="A88"/>
      <selection pane="topRight" activeCell="AB127" sqref="AB127"/>
    </sheetView>
  </sheetViews>
  <sheetFormatPr defaultColWidth="10.26953125" defaultRowHeight="12.5" x14ac:dyDescent="0.25"/>
  <cols>
    <col min="1" max="1" width="9.1796875" style="34" customWidth="1"/>
    <col min="2" max="2" width="26.7265625" style="34" customWidth="1"/>
    <col min="3" max="3" width="6.26953125" style="34" bestFit="1" customWidth="1"/>
    <col min="4" max="5" width="11.26953125" style="34" customWidth="1"/>
    <col min="6" max="6" width="11.1796875" style="34" customWidth="1"/>
    <col min="7" max="8" width="10.26953125" style="34" customWidth="1"/>
    <col min="9" max="9" width="11.54296875" style="506" customWidth="1"/>
    <col min="10" max="10" width="11.1796875" style="506" customWidth="1"/>
    <col min="11" max="11" width="11" style="34" customWidth="1"/>
    <col min="12" max="12" width="11.1796875" style="34" customWidth="1"/>
    <col min="13" max="13" width="11.26953125" style="34" customWidth="1"/>
    <col min="14" max="14" width="10.54296875" style="34" customWidth="1"/>
    <col min="15" max="15" width="12.81640625" style="34" customWidth="1"/>
    <col min="16" max="16" width="11.54296875" style="34" customWidth="1"/>
    <col min="17" max="17" width="11" style="34" customWidth="1"/>
    <col min="18" max="18" width="11.54296875" style="34" customWidth="1"/>
    <col min="19" max="19" width="12.453125" style="34" customWidth="1"/>
    <col min="20" max="20" width="12.26953125" style="34" customWidth="1"/>
    <col min="21" max="22" width="11.26953125" style="34" bestFit="1" customWidth="1"/>
    <col min="23" max="24" width="10.26953125" style="34"/>
    <col min="25" max="25" width="11.1796875" style="34" bestFit="1" customWidth="1"/>
    <col min="26" max="26" width="11.26953125" style="34" bestFit="1" customWidth="1"/>
    <col min="27" max="27" width="11" style="34" customWidth="1"/>
    <col min="28" max="28" width="11.1796875" style="34" customWidth="1"/>
    <col min="29" max="36" width="10.26953125" style="34"/>
    <col min="37" max="37" width="2" style="34" customWidth="1"/>
    <col min="38" max="38" width="11" style="34" customWidth="1"/>
    <col min="39" max="16384" width="10.26953125" style="34"/>
  </cols>
  <sheetData>
    <row r="1" spans="1:27" x14ac:dyDescent="0.25">
      <c r="A1" s="63" t="s">
        <v>97</v>
      </c>
      <c r="C1" s="33"/>
      <c r="S1" s="1899" t="s">
        <v>379</v>
      </c>
      <c r="T1" s="338"/>
      <c r="U1" s="1902" t="s">
        <v>380</v>
      </c>
      <c r="V1" s="1902"/>
      <c r="W1" s="1902"/>
    </row>
    <row r="2" spans="1:27" ht="13" x14ac:dyDescent="0.3">
      <c r="A2" s="63"/>
      <c r="C2" s="33"/>
      <c r="E2" s="332" t="s">
        <v>529</v>
      </c>
      <c r="S2" s="1900"/>
      <c r="T2" s="339"/>
      <c r="U2" s="1902" t="s">
        <v>381</v>
      </c>
      <c r="V2" s="1902"/>
      <c r="W2" s="1902"/>
    </row>
    <row r="3" spans="1:27" ht="13" x14ac:dyDescent="0.3">
      <c r="A3" s="230" t="s">
        <v>282</v>
      </c>
      <c r="C3" s="47"/>
      <c r="I3" s="231" t="s">
        <v>530</v>
      </c>
      <c r="S3" s="1900"/>
      <c r="T3" s="340"/>
      <c r="U3" s="1902" t="s">
        <v>382</v>
      </c>
      <c r="V3" s="1902"/>
      <c r="W3" s="1902"/>
    </row>
    <row r="4" spans="1:27" x14ac:dyDescent="0.25">
      <c r="B4" s="35"/>
      <c r="C4" s="35"/>
      <c r="P4" s="1893" t="s">
        <v>332</v>
      </c>
      <c r="Q4" s="1894"/>
      <c r="S4" s="1901"/>
      <c r="T4" s="341"/>
      <c r="U4" s="1902" t="s">
        <v>383</v>
      </c>
      <c r="V4" s="1902"/>
      <c r="W4" s="1902"/>
    </row>
    <row r="5" spans="1:27" ht="37.5" x14ac:dyDescent="0.25">
      <c r="A5" s="183" t="s">
        <v>201</v>
      </c>
      <c r="B5" s="36" t="s">
        <v>66</v>
      </c>
      <c r="C5" s="508" t="s">
        <v>51</v>
      </c>
      <c r="D5" s="34" t="s">
        <v>256</v>
      </c>
      <c r="E5" s="34" t="s">
        <v>257</v>
      </c>
      <c r="F5" s="34" t="s">
        <v>258</v>
      </c>
      <c r="G5" s="34" t="s">
        <v>259</v>
      </c>
      <c r="H5" s="34" t="s">
        <v>260</v>
      </c>
      <c r="I5" s="507" t="s">
        <v>252</v>
      </c>
      <c r="J5" s="507" t="s">
        <v>253</v>
      </c>
      <c r="K5" s="507" t="s">
        <v>251</v>
      </c>
      <c r="L5" s="507" t="s">
        <v>385</v>
      </c>
      <c r="M5" s="507" t="s">
        <v>336</v>
      </c>
      <c r="N5" s="507" t="s">
        <v>386</v>
      </c>
      <c r="O5" s="507" t="s">
        <v>387</v>
      </c>
      <c r="P5" s="413" t="s">
        <v>337</v>
      </c>
      <c r="Q5" s="413" t="s">
        <v>338</v>
      </c>
    </row>
    <row r="6" spans="1:27" x14ac:dyDescent="0.25">
      <c r="A6" s="185">
        <v>9257010</v>
      </c>
      <c r="B6" s="38" t="s">
        <v>67</v>
      </c>
      <c r="C6" s="335">
        <v>3</v>
      </c>
      <c r="D6" s="49">
        <f>'Revised Band Returns'!F30</f>
        <v>0.40476190476190477</v>
      </c>
      <c r="E6" s="49">
        <f>'Revised Band Returns'!H30</f>
        <v>0.2857142857142857</v>
      </c>
      <c r="F6" s="49">
        <f>'Revised Band Returns'!J30</f>
        <v>0.11904761904761904</v>
      </c>
      <c r="G6" s="49">
        <f>'Revised Band Returns'!L30</f>
        <v>0.11904761904761904</v>
      </c>
      <c r="H6" s="49">
        <f>'Revised Band Returns'!N30</f>
        <v>7.1428571428571425E-2</v>
      </c>
      <c r="I6" s="233">
        <v>0</v>
      </c>
      <c r="J6" s="233">
        <v>34</v>
      </c>
      <c r="K6" s="168">
        <f>SUM(I6:J6)</f>
        <v>34</v>
      </c>
      <c r="L6" s="80">
        <f>((((I6*D6)*$G$92)+((I6*E6)*$G$94)+((I6*F6)*$G$96)+((I6*G6)*$G$98)+((I6*H6)*$G$100)))*(5/12)</f>
        <v>0</v>
      </c>
      <c r="M6" s="80">
        <f>((((J6*D6)*$G$92)+((J6*E6)*$G$94)+((J6*F6)*$G$96)+((J6*G6)*$G$98)+((J6*H6)*$G$100))*(5/12))</f>
        <v>138874.09345745452</v>
      </c>
      <c r="N6" s="80">
        <f>((K6*H6)*$G$102)*(5/12)</f>
        <v>2666.4175068952254</v>
      </c>
      <c r="O6" s="80">
        <f>SUM(L6:N6)</f>
        <v>141540.51096434976</v>
      </c>
      <c r="P6" s="414">
        <f>(K6*(5/12))*10000</f>
        <v>141666.66666666669</v>
      </c>
      <c r="Q6" s="414">
        <f>(VLOOKUP(A6,'2016-17 Funding Detail'!$A$4:$X$23,21,FALSE)*5/12)*K6</f>
        <v>120825.52780985726</v>
      </c>
      <c r="R6" s="42"/>
      <c r="S6" s="80"/>
      <c r="T6" s="42"/>
      <c r="U6" s="623" t="s">
        <v>566</v>
      </c>
      <c r="X6" s="42"/>
    </row>
    <row r="7" spans="1:27" ht="12.75" customHeight="1" x14ac:dyDescent="0.25">
      <c r="A7" s="185">
        <v>9257005</v>
      </c>
      <c r="B7" s="38" t="s">
        <v>68</v>
      </c>
      <c r="C7" s="335">
        <v>4</v>
      </c>
      <c r="D7" s="49">
        <f>'Revised Band Returns'!F31</f>
        <v>0.13157894736842105</v>
      </c>
      <c r="E7" s="49">
        <f>'Revised Band Returns'!H31</f>
        <v>0.35526315789473684</v>
      </c>
      <c r="F7" s="49">
        <f>'Revised Band Returns'!J31</f>
        <v>0.17105263157894737</v>
      </c>
      <c r="G7" s="49">
        <f>'Revised Band Returns'!L31</f>
        <v>0.14473684210526316</v>
      </c>
      <c r="H7" s="49">
        <f>'Revised Band Returns'!N31</f>
        <v>0.19736842105263158</v>
      </c>
      <c r="I7" s="233">
        <v>0</v>
      </c>
      <c r="J7" s="233">
        <v>48</v>
      </c>
      <c r="K7" s="168">
        <f t="shared" ref="K7:K23" si="0">SUM(I7:J7)</f>
        <v>48</v>
      </c>
      <c r="L7" s="80">
        <f t="shared" ref="L7:L23" si="1">((((I7*D7)*$G$92)+((I7*E7)*$G$94)+((I7*F7)*$G$96)+((I7*G7)*$G$98)+((I7*H7)*$G$100)))*(5/12)</f>
        <v>0</v>
      </c>
      <c r="M7" s="80">
        <f t="shared" ref="M7:M23" si="2">((((J7*D7)*$G$92)+((J7*E7)*$G$94)+((J7*F7)*$G$96)+((J7*G7)*$G$98)+((J7*H7)*$G$100))*(5/12))</f>
        <v>184351.3141961919</v>
      </c>
      <c r="N7" s="80">
        <f t="shared" ref="N7:N23" si="3">((K7*H7)*$G$102)*(5/12)</f>
        <v>10401.504825659393</v>
      </c>
      <c r="O7" s="80">
        <f>SUM(L7:N7)</f>
        <v>194752.81902185129</v>
      </c>
      <c r="P7" s="414">
        <f>(K7*(5/12))*10000</f>
        <v>200000</v>
      </c>
      <c r="Q7" s="414">
        <f>(VLOOKUP(A7,'2016-17 Funding Detail'!$A$4:$X$23,21,FALSE)*5/12)*K7</f>
        <v>129223.58389724477</v>
      </c>
      <c r="R7" s="42"/>
      <c r="S7" s="80"/>
      <c r="T7" s="626" t="s">
        <v>402</v>
      </c>
      <c r="U7" s="624" t="s">
        <v>567</v>
      </c>
      <c r="V7" s="33"/>
      <c r="W7" s="33"/>
      <c r="X7" s="42"/>
      <c r="Y7" s="617"/>
    </row>
    <row r="8" spans="1:27" ht="12.75" customHeight="1" x14ac:dyDescent="0.25">
      <c r="A8" s="185">
        <v>9257025</v>
      </c>
      <c r="B8" s="38" t="s">
        <v>69</v>
      </c>
      <c r="C8" s="335">
        <v>4</v>
      </c>
      <c r="D8" s="49">
        <f>'Revised Band Returns'!F32</f>
        <v>0.26415094339622641</v>
      </c>
      <c r="E8" s="49">
        <f>'Revised Band Returns'!H32</f>
        <v>0.41509433962264153</v>
      </c>
      <c r="F8" s="49">
        <f>'Revised Band Returns'!J32</f>
        <v>5.6603773584905662E-2</v>
      </c>
      <c r="G8" s="49">
        <f>'Revised Band Returns'!L32</f>
        <v>5.6603773584905662E-2</v>
      </c>
      <c r="H8" s="49">
        <f>'Revised Band Returns'!N32</f>
        <v>0.20754716981132076</v>
      </c>
      <c r="I8" s="233">
        <v>10</v>
      </c>
      <c r="J8" s="233">
        <v>39</v>
      </c>
      <c r="K8" s="168">
        <f t="shared" si="0"/>
        <v>49</v>
      </c>
      <c r="L8" s="80">
        <f t="shared" si="1"/>
        <v>39922.238535953147</v>
      </c>
      <c r="M8" s="80">
        <f t="shared" si="2"/>
        <v>155696.7302902173</v>
      </c>
      <c r="N8" s="80">
        <f t="shared" si="3"/>
        <v>11165.808272492439</v>
      </c>
      <c r="O8" s="80">
        <f t="shared" ref="O8:O23" si="4">SUM(L8:N8)</f>
        <v>206784.77709866286</v>
      </c>
      <c r="P8" s="414">
        <f t="shared" ref="P8:P23" si="5">(K8*(5/12))*10000</f>
        <v>204166.66666666669</v>
      </c>
      <c r="Q8" s="414">
        <f>(VLOOKUP(A8,'2016-17 Funding Detail'!$A$4:$X$23,21,FALSE)*5/12)*K8</f>
        <v>171757.24941422592</v>
      </c>
      <c r="R8" s="42"/>
      <c r="S8" s="80"/>
      <c r="T8" s="626" t="s">
        <v>402</v>
      </c>
      <c r="U8" s="1895" t="s">
        <v>592</v>
      </c>
      <c r="V8" s="1895"/>
      <c r="W8" s="1895"/>
      <c r="X8" s="1895"/>
      <c r="Y8" s="1895"/>
      <c r="Z8" s="1895"/>
      <c r="AA8" s="1895"/>
    </row>
    <row r="9" spans="1:27" x14ac:dyDescent="0.25">
      <c r="A9" s="185">
        <v>9257011</v>
      </c>
      <c r="B9" s="38" t="s">
        <v>70</v>
      </c>
      <c r="C9" s="337">
        <v>4</v>
      </c>
      <c r="D9" s="49">
        <f>'Revised Band Returns'!F33</f>
        <v>0.4</v>
      </c>
      <c r="E9" s="49">
        <f>'Revised Band Returns'!H33</f>
        <v>0.42222222222222222</v>
      </c>
      <c r="F9" s="49">
        <f>'Revised Band Returns'!J33</f>
        <v>0</v>
      </c>
      <c r="G9" s="49">
        <f>'Revised Band Returns'!L33</f>
        <v>2.2222222222222223E-2</v>
      </c>
      <c r="H9" s="49">
        <f>'Revised Band Returns'!N33</f>
        <v>0.15555555555555556</v>
      </c>
      <c r="I9" s="233">
        <v>0</v>
      </c>
      <c r="J9" s="233">
        <v>42</v>
      </c>
      <c r="K9" s="168">
        <f t="shared" si="0"/>
        <v>42</v>
      </c>
      <c r="L9" s="80">
        <f t="shared" si="1"/>
        <v>0</v>
      </c>
      <c r="M9" s="80">
        <f t="shared" si="2"/>
        <v>172528.70194845504</v>
      </c>
      <c r="N9" s="80">
        <f t="shared" si="3"/>
        <v>7173.1859205102928</v>
      </c>
      <c r="O9" s="80">
        <f t="shared" si="4"/>
        <v>179701.88786896534</v>
      </c>
      <c r="P9" s="414">
        <f t="shared" si="5"/>
        <v>175000</v>
      </c>
      <c r="Q9" s="414">
        <f>(VLOOKUP(A9,'2016-17 Funding Detail'!$A$4:$X$23,21,FALSE)*5/12)*K9</f>
        <v>187501.73448959435</v>
      </c>
      <c r="R9" s="42"/>
      <c r="S9" s="80"/>
      <c r="T9" s="626"/>
      <c r="U9" s="1895"/>
      <c r="V9" s="1895"/>
      <c r="W9" s="1895"/>
      <c r="X9" s="1895"/>
      <c r="Y9" s="1895"/>
      <c r="Z9" s="1895"/>
      <c r="AA9" s="1895"/>
    </row>
    <row r="10" spans="1:27" x14ac:dyDescent="0.25">
      <c r="A10" s="185">
        <v>9257024</v>
      </c>
      <c r="B10" s="38" t="s">
        <v>71</v>
      </c>
      <c r="C10" s="335">
        <v>3</v>
      </c>
      <c r="D10" s="49">
        <f>'Revised Band Returns'!F34</f>
        <v>0.2</v>
      </c>
      <c r="E10" s="49">
        <f>'Revised Band Returns'!H34</f>
        <v>0.5636363636363636</v>
      </c>
      <c r="F10" s="49">
        <f>'Revised Band Returns'!J34</f>
        <v>1.8181818181818181E-2</v>
      </c>
      <c r="G10" s="49">
        <f>'Revised Band Returns'!L34</f>
        <v>0.16363636363636364</v>
      </c>
      <c r="H10" s="49">
        <f>'Revised Band Returns'!N34</f>
        <v>5.4545454545454543E-2</v>
      </c>
      <c r="I10" s="233">
        <v>5</v>
      </c>
      <c r="J10" s="233">
        <v>39</v>
      </c>
      <c r="K10" s="168">
        <f t="shared" si="0"/>
        <v>44</v>
      </c>
      <c r="L10" s="80">
        <f t="shared" si="1"/>
        <v>19053.583315273478</v>
      </c>
      <c r="M10" s="80">
        <f t="shared" si="2"/>
        <v>148617.94985913316</v>
      </c>
      <c r="N10" s="80">
        <f t="shared" si="3"/>
        <v>2635.0478891670464</v>
      </c>
      <c r="O10" s="80">
        <f t="shared" si="4"/>
        <v>170306.58106357369</v>
      </c>
      <c r="P10" s="414">
        <f t="shared" si="5"/>
        <v>183333.33333333334</v>
      </c>
      <c r="Q10" s="414">
        <f>(VLOOKUP(A10,'2016-17 Funding Detail'!$A$4:$X$23,21,FALSE)*5/12)*K10</f>
        <v>117336.91985644816</v>
      </c>
      <c r="R10" s="42"/>
      <c r="S10" s="80"/>
      <c r="T10" s="626"/>
      <c r="U10" s="1895"/>
      <c r="V10" s="1895"/>
      <c r="W10" s="1895"/>
      <c r="X10" s="1895"/>
      <c r="Y10" s="1895"/>
      <c r="Z10" s="1895"/>
      <c r="AA10" s="1895"/>
    </row>
    <row r="11" spans="1:27" ht="12.75" customHeight="1" x14ac:dyDescent="0.25">
      <c r="A11" s="185">
        <v>9257031</v>
      </c>
      <c r="B11" s="38" t="s">
        <v>98</v>
      </c>
      <c r="C11" s="337">
        <v>4</v>
      </c>
      <c r="D11" s="49">
        <f>'Revised Band Returns'!F35</f>
        <v>0</v>
      </c>
      <c r="E11" s="49">
        <f>'Revised Band Returns'!H35</f>
        <v>0</v>
      </c>
      <c r="F11" s="49">
        <f>'Revised Band Returns'!J35</f>
        <v>0</v>
      </c>
      <c r="G11" s="49">
        <f>'Revised Band Returns'!L35</f>
        <v>0</v>
      </c>
      <c r="H11" s="49">
        <f>'Revised Band Returns'!N35</f>
        <v>1</v>
      </c>
      <c r="I11" s="233">
        <v>0</v>
      </c>
      <c r="J11" s="233">
        <v>62</v>
      </c>
      <c r="K11" s="168">
        <f t="shared" si="0"/>
        <v>62</v>
      </c>
      <c r="L11" s="80">
        <f t="shared" si="1"/>
        <v>0</v>
      </c>
      <c r="M11" s="80">
        <f t="shared" si="2"/>
        <v>302043.866484167</v>
      </c>
      <c r="N11" s="80">
        <f t="shared" si="3"/>
        <v>68072.070470148697</v>
      </c>
      <c r="O11" s="80">
        <f t="shared" si="4"/>
        <v>370115.93695431569</v>
      </c>
      <c r="P11" s="414">
        <f t="shared" si="5"/>
        <v>258333.33333333334</v>
      </c>
      <c r="Q11" s="414">
        <f>(VLOOKUP(A11,'2016-17 Funding Detail'!$A$4:$X$23,21,FALSE)*5/12)*K11</f>
        <v>281705.48674678168</v>
      </c>
      <c r="R11" s="42"/>
      <c r="S11" s="80"/>
      <c r="T11" s="626"/>
      <c r="U11" s="1895" t="s">
        <v>568</v>
      </c>
      <c r="V11" s="1895"/>
      <c r="W11" s="1895"/>
      <c r="X11" s="1895"/>
      <c r="Y11" s="1895"/>
      <c r="Z11" s="1895"/>
      <c r="AA11" s="1895"/>
    </row>
    <row r="12" spans="1:27" x14ac:dyDescent="0.25">
      <c r="A12" s="185">
        <v>9257033</v>
      </c>
      <c r="B12" s="38" t="s">
        <v>72</v>
      </c>
      <c r="C12" s="335">
        <v>3</v>
      </c>
      <c r="D12" s="49">
        <f>'Revised Band Returns'!F36</f>
        <v>3.6363636363636362E-2</v>
      </c>
      <c r="E12" s="49">
        <f>'Revised Band Returns'!H36</f>
        <v>0.29090909090909089</v>
      </c>
      <c r="F12" s="49">
        <f>'Revised Band Returns'!J36</f>
        <v>0.27272727272727271</v>
      </c>
      <c r="G12" s="49">
        <f>'Revised Band Returns'!L36</f>
        <v>5.4545454545454543E-2</v>
      </c>
      <c r="H12" s="49">
        <f>'Revised Band Returns'!N36</f>
        <v>0.34545454545454546</v>
      </c>
      <c r="I12" s="233">
        <v>10</v>
      </c>
      <c r="J12" s="233">
        <v>50</v>
      </c>
      <c r="K12" s="168">
        <f t="shared" si="0"/>
        <v>60</v>
      </c>
      <c r="L12" s="80">
        <f t="shared" si="1"/>
        <v>37262.62377713446</v>
      </c>
      <c r="M12" s="80">
        <f t="shared" si="2"/>
        <v>186313.11888567227</v>
      </c>
      <c r="N12" s="80">
        <f t="shared" si="3"/>
        <v>22757.231770079037</v>
      </c>
      <c r="O12" s="80">
        <f t="shared" si="4"/>
        <v>246332.97443288576</v>
      </c>
      <c r="P12" s="414">
        <f t="shared" si="5"/>
        <v>250000</v>
      </c>
      <c r="Q12" s="414">
        <f>(VLOOKUP(A12,'2016-17 Funding Detail'!$A$4:$X$23,21,FALSE)*5/12)*K12</f>
        <v>166360.48442786856</v>
      </c>
      <c r="R12" s="42"/>
      <c r="S12" s="80"/>
      <c r="T12" s="626"/>
      <c r="U12" s="1895"/>
      <c r="V12" s="1895"/>
      <c r="W12" s="1895"/>
      <c r="X12" s="1895"/>
      <c r="Y12" s="1895"/>
      <c r="Z12" s="1895"/>
      <c r="AA12" s="1895"/>
    </row>
    <row r="13" spans="1:27" x14ac:dyDescent="0.25">
      <c r="A13" s="185">
        <v>9257008</v>
      </c>
      <c r="B13" s="38" t="s">
        <v>73</v>
      </c>
      <c r="C13" s="335">
        <v>4</v>
      </c>
      <c r="D13" s="49">
        <f>'Revised Band Returns'!F37</f>
        <v>0</v>
      </c>
      <c r="E13" s="49">
        <f>'Revised Band Returns'!H37</f>
        <v>8.2352941176470587E-2</v>
      </c>
      <c r="F13" s="49">
        <f>'Revised Band Returns'!J37</f>
        <v>0.61176470588235299</v>
      </c>
      <c r="G13" s="49">
        <f>'Revised Band Returns'!L37</f>
        <v>2.3529411764705882E-2</v>
      </c>
      <c r="H13" s="49">
        <f>'Revised Band Returns'!N37</f>
        <v>0.28235294117647058</v>
      </c>
      <c r="I13" s="233">
        <v>10</v>
      </c>
      <c r="J13" s="233">
        <v>80</v>
      </c>
      <c r="K13" s="168">
        <f t="shared" si="0"/>
        <v>90</v>
      </c>
      <c r="L13" s="80">
        <f t="shared" si="1"/>
        <v>33339.078620055436</v>
      </c>
      <c r="M13" s="80">
        <f t="shared" si="2"/>
        <v>266712.62896044349</v>
      </c>
      <c r="N13" s="80">
        <f t="shared" si="3"/>
        <v>27900.507061768727</v>
      </c>
      <c r="O13" s="80">
        <f t="shared" si="4"/>
        <v>327952.21464226767</v>
      </c>
      <c r="P13" s="414">
        <f t="shared" si="5"/>
        <v>375000</v>
      </c>
      <c r="Q13" s="414">
        <f>(VLOOKUP(A13,'2016-17 Funding Detail'!$A$4:$X$23,21,FALSE)*5/12)*K13</f>
        <v>166765.61789210769</v>
      </c>
      <c r="R13" s="42"/>
      <c r="S13" s="80"/>
      <c r="T13" s="626"/>
      <c r="U13" s="1895"/>
      <c r="V13" s="1895"/>
      <c r="W13" s="1895"/>
      <c r="X13" s="1895"/>
      <c r="Y13" s="1895"/>
      <c r="Z13" s="1895"/>
      <c r="AA13" s="1895"/>
    </row>
    <row r="14" spans="1:27" x14ac:dyDescent="0.25">
      <c r="A14" s="185">
        <v>9257034</v>
      </c>
      <c r="B14" s="38" t="s">
        <v>74</v>
      </c>
      <c r="C14" s="335">
        <v>5</v>
      </c>
      <c r="D14" s="49">
        <f>'Revised Band Returns'!F38</f>
        <v>7.0866141732283464E-2</v>
      </c>
      <c r="E14" s="49">
        <f>'Revised Band Returns'!H38</f>
        <v>0.16535433070866143</v>
      </c>
      <c r="F14" s="49">
        <f>'Revised Band Returns'!J38</f>
        <v>0.51968503937007871</v>
      </c>
      <c r="G14" s="49">
        <f>'Revised Band Returns'!L38</f>
        <v>3.937007874015748E-2</v>
      </c>
      <c r="H14" s="49">
        <f>'Revised Band Returns'!N38</f>
        <v>0.20472440944881889</v>
      </c>
      <c r="I14" s="233">
        <v>0</v>
      </c>
      <c r="J14" s="233">
        <v>95</v>
      </c>
      <c r="K14" s="168">
        <f t="shared" si="0"/>
        <v>95</v>
      </c>
      <c r="L14" s="80">
        <f t="shared" si="1"/>
        <v>0</v>
      </c>
      <c r="M14" s="80">
        <f t="shared" si="2"/>
        <v>322314.18693984684</v>
      </c>
      <c r="N14" s="80">
        <f t="shared" si="3"/>
        <v>21353.570492921932</v>
      </c>
      <c r="O14" s="80">
        <f t="shared" si="4"/>
        <v>343667.75743276876</v>
      </c>
      <c r="P14" s="414">
        <f t="shared" si="5"/>
        <v>395833.33333333337</v>
      </c>
      <c r="Q14" s="414">
        <f>(VLOOKUP(A14,'2016-17 Funding Detail'!$A$4:$X$23,21,FALSE)*5/12)*K14</f>
        <v>125676.87488977927</v>
      </c>
      <c r="R14" s="42"/>
      <c r="S14" s="80"/>
      <c r="T14" s="626"/>
      <c r="U14" s="1895"/>
      <c r="V14" s="1895"/>
      <c r="W14" s="1895"/>
      <c r="X14" s="1895"/>
      <c r="Y14" s="1895"/>
      <c r="Z14" s="1895"/>
      <c r="AA14" s="1895"/>
    </row>
    <row r="15" spans="1:27" x14ac:dyDescent="0.25">
      <c r="A15" s="185">
        <v>9257002</v>
      </c>
      <c r="B15" s="38" t="s">
        <v>75</v>
      </c>
      <c r="C15" s="337">
        <v>5</v>
      </c>
      <c r="D15" s="49">
        <f>'Revised Band Returns'!F39</f>
        <v>8.4033613445378148E-3</v>
      </c>
      <c r="E15" s="49">
        <f>'Revised Band Returns'!H39</f>
        <v>0.27731092436974791</v>
      </c>
      <c r="F15" s="49">
        <f>'Revised Band Returns'!J39</f>
        <v>0.59663865546218486</v>
      </c>
      <c r="G15" s="49">
        <f>'Revised Band Returns'!L39</f>
        <v>2.5210084033613446E-2</v>
      </c>
      <c r="H15" s="49">
        <f>'Revised Band Returns'!N39</f>
        <v>9.2436974789915971E-2</v>
      </c>
      <c r="I15" s="233">
        <v>0</v>
      </c>
      <c r="J15" s="233">
        <v>122</v>
      </c>
      <c r="K15" s="168">
        <f t="shared" si="0"/>
        <v>122</v>
      </c>
      <c r="L15" s="80">
        <f t="shared" si="1"/>
        <v>0</v>
      </c>
      <c r="M15" s="80">
        <f t="shared" si="2"/>
        <v>367896.39637035807</v>
      </c>
      <c r="N15" s="80">
        <f t="shared" si="3"/>
        <v>12381.772644475408</v>
      </c>
      <c r="O15" s="80">
        <f t="shared" si="4"/>
        <v>380278.16901483346</v>
      </c>
      <c r="P15" s="414">
        <f t="shared" si="5"/>
        <v>508333.33333333337</v>
      </c>
      <c r="Q15" s="414">
        <f>(VLOOKUP(A15,'2016-17 Funding Detail'!$A$4:$X$23,21,FALSE)*5/12)*K15</f>
        <v>99896.027915379411</v>
      </c>
      <c r="R15" s="42"/>
      <c r="S15" s="80"/>
      <c r="T15" s="626"/>
      <c r="U15" s="1895"/>
      <c r="V15" s="1895"/>
      <c r="W15" s="1895"/>
      <c r="X15" s="1895"/>
      <c r="Y15" s="1895"/>
      <c r="Z15" s="1895"/>
      <c r="AA15" s="1895"/>
    </row>
    <row r="16" spans="1:27" x14ac:dyDescent="0.25">
      <c r="A16" s="185">
        <v>9257009</v>
      </c>
      <c r="B16" s="38" t="s">
        <v>76</v>
      </c>
      <c r="C16" s="335">
        <v>4</v>
      </c>
      <c r="D16" s="49">
        <f>'Revised Band Returns'!F40</f>
        <v>0</v>
      </c>
      <c r="E16" s="49">
        <f>'Revised Band Returns'!H40</f>
        <v>0.14615384615384616</v>
      </c>
      <c r="F16" s="49">
        <f>'Revised Band Returns'!J40</f>
        <v>0.7</v>
      </c>
      <c r="G16" s="49">
        <f>'Revised Band Returns'!L40</f>
        <v>1.5384615384615385E-2</v>
      </c>
      <c r="H16" s="49">
        <f>'Revised Band Returns'!N40</f>
        <v>0.13846153846153847</v>
      </c>
      <c r="I16" s="233">
        <v>0</v>
      </c>
      <c r="J16" s="233">
        <v>130</v>
      </c>
      <c r="K16" s="168">
        <f t="shared" si="0"/>
        <v>130</v>
      </c>
      <c r="L16" s="80">
        <f t="shared" si="1"/>
        <v>0</v>
      </c>
      <c r="M16" s="80">
        <f t="shared" si="2"/>
        <v>392363.34941922099</v>
      </c>
      <c r="N16" s="80">
        <f t="shared" si="3"/>
        <v>19762.85916875285</v>
      </c>
      <c r="O16" s="80">
        <f t="shared" si="4"/>
        <v>412126.20858797384</v>
      </c>
      <c r="P16" s="414">
        <f t="shared" si="5"/>
        <v>541666.66666666674</v>
      </c>
      <c r="Q16" s="414">
        <f>(VLOOKUP(A16,'2016-17 Funding Detail'!$A$4:$X$23,21,FALSE)*5/12)*K16</f>
        <v>85141.062354035952</v>
      </c>
      <c r="R16" s="42"/>
      <c r="S16" s="80"/>
      <c r="T16" s="626"/>
      <c r="U16" s="1895"/>
      <c r="V16" s="1895"/>
      <c r="W16" s="1895"/>
      <c r="X16" s="1895"/>
      <c r="Y16" s="1895"/>
      <c r="Z16" s="1895"/>
      <c r="AA16" s="1895"/>
    </row>
    <row r="17" spans="1:24" x14ac:dyDescent="0.25">
      <c r="A17" s="185">
        <v>9257029</v>
      </c>
      <c r="B17" s="38" t="s">
        <v>99</v>
      </c>
      <c r="C17" s="335">
        <v>3</v>
      </c>
      <c r="D17" s="49">
        <f>'Revised Band Returns'!F41</f>
        <v>0</v>
      </c>
      <c r="E17" s="49">
        <f>'Revised Band Returns'!H41</f>
        <v>0</v>
      </c>
      <c r="F17" s="49">
        <f>'Revised Band Returns'!J41</f>
        <v>0</v>
      </c>
      <c r="G17" s="49">
        <f>'Revised Band Returns'!L41</f>
        <v>0</v>
      </c>
      <c r="H17" s="49">
        <f>'Revised Band Returns'!N41</f>
        <v>1</v>
      </c>
      <c r="I17" s="233">
        <v>0</v>
      </c>
      <c r="J17" s="233">
        <v>55</v>
      </c>
      <c r="K17" s="168">
        <f t="shared" si="0"/>
        <v>55</v>
      </c>
      <c r="L17" s="80">
        <f t="shared" si="1"/>
        <v>0</v>
      </c>
      <c r="M17" s="80">
        <f t="shared" si="2"/>
        <v>267942.13962305133</v>
      </c>
      <c r="N17" s="80">
        <f t="shared" si="3"/>
        <v>60386.51412674482</v>
      </c>
      <c r="O17" s="80">
        <f t="shared" si="4"/>
        <v>328328.65374979615</v>
      </c>
      <c r="P17" s="414">
        <f t="shared" si="5"/>
        <v>229166.66666666669</v>
      </c>
      <c r="Q17" s="414">
        <f>(VLOOKUP(A17,'2016-17 Funding Detail'!$A$4:$X$23,21,FALSE)*5/12)*K17</f>
        <v>264376.12200871995</v>
      </c>
      <c r="R17" s="42"/>
      <c r="S17" s="80"/>
      <c r="T17" s="626" t="s">
        <v>402</v>
      </c>
      <c r="U17" s="625" t="s">
        <v>569</v>
      </c>
      <c r="X17" s="42"/>
    </row>
    <row r="18" spans="1:24" x14ac:dyDescent="0.25">
      <c r="A18" s="185">
        <v>9257032</v>
      </c>
      <c r="B18" s="38" t="s">
        <v>100</v>
      </c>
      <c r="C18" s="335">
        <v>4</v>
      </c>
      <c r="D18" s="49">
        <f>'Revised Band Returns'!F42</f>
        <v>0</v>
      </c>
      <c r="E18" s="49">
        <f>'Revised Band Returns'!H42</f>
        <v>0</v>
      </c>
      <c r="F18" s="49">
        <f>'Revised Band Returns'!J42</f>
        <v>0</v>
      </c>
      <c r="G18" s="49">
        <f>'Revised Band Returns'!L42</f>
        <v>0</v>
      </c>
      <c r="H18" s="49">
        <f>'Revised Band Returns'!N42</f>
        <v>1</v>
      </c>
      <c r="I18" s="233">
        <v>0</v>
      </c>
      <c r="J18" s="233">
        <v>60</v>
      </c>
      <c r="K18" s="168">
        <f t="shared" si="0"/>
        <v>60</v>
      </c>
      <c r="L18" s="80">
        <f t="shared" si="1"/>
        <v>0</v>
      </c>
      <c r="M18" s="80">
        <f t="shared" si="2"/>
        <v>292300.51595241966</v>
      </c>
      <c r="N18" s="80">
        <f t="shared" si="3"/>
        <v>65876.197229176163</v>
      </c>
      <c r="O18" s="80">
        <f t="shared" si="4"/>
        <v>358176.71318159584</v>
      </c>
      <c r="P18" s="414">
        <f t="shared" si="5"/>
        <v>250000</v>
      </c>
      <c r="Q18" s="414">
        <f>(VLOOKUP(A18,'2016-17 Funding Detail'!$A$4:$X$23,21,FALSE)*5/12)*K18</f>
        <v>284712.89351964992</v>
      </c>
      <c r="R18" s="42"/>
      <c r="S18" s="80"/>
      <c r="T18" s="42"/>
      <c r="X18" s="42"/>
    </row>
    <row r="19" spans="1:24" x14ac:dyDescent="0.25">
      <c r="A19" s="185">
        <v>9257030</v>
      </c>
      <c r="B19" s="38" t="s">
        <v>92</v>
      </c>
      <c r="C19" s="335">
        <v>4</v>
      </c>
      <c r="D19" s="49">
        <f>'Revised Band Returns'!F43</f>
        <v>0</v>
      </c>
      <c r="E19" s="49">
        <f>'Revised Band Returns'!H43</f>
        <v>0</v>
      </c>
      <c r="F19" s="49">
        <f>'Revised Band Returns'!J43</f>
        <v>0</v>
      </c>
      <c r="G19" s="49">
        <f>'Revised Band Returns'!L43</f>
        <v>0</v>
      </c>
      <c r="H19" s="49">
        <f>'Revised Band Returns'!N43</f>
        <v>1</v>
      </c>
      <c r="I19" s="233">
        <v>0</v>
      </c>
      <c r="J19" s="233">
        <v>60</v>
      </c>
      <c r="K19" s="168">
        <f t="shared" si="0"/>
        <v>60</v>
      </c>
      <c r="L19" s="80">
        <f t="shared" si="1"/>
        <v>0</v>
      </c>
      <c r="M19" s="80">
        <f t="shared" si="2"/>
        <v>292300.51595241966</v>
      </c>
      <c r="N19" s="80">
        <f t="shared" si="3"/>
        <v>65876.197229176163</v>
      </c>
      <c r="O19" s="80">
        <f t="shared" si="4"/>
        <v>358176.71318159584</v>
      </c>
      <c r="P19" s="414">
        <f t="shared" si="5"/>
        <v>250000</v>
      </c>
      <c r="Q19" s="414">
        <f>(VLOOKUP(A19,'2016-17 Funding Detail'!$A$4:$X$23,21,FALSE)*5/12)*K19</f>
        <v>286359.32531585381</v>
      </c>
      <c r="R19" s="42"/>
      <c r="S19" s="80"/>
      <c r="T19" s="42"/>
      <c r="X19" s="42"/>
    </row>
    <row r="20" spans="1:24" x14ac:dyDescent="0.25">
      <c r="A20" s="185">
        <v>9257028</v>
      </c>
      <c r="B20" s="38" t="s">
        <v>77</v>
      </c>
      <c r="C20" s="337">
        <v>5</v>
      </c>
      <c r="D20" s="49">
        <f>'Revised Band Returns'!F44</f>
        <v>0.23943661971830985</v>
      </c>
      <c r="E20" s="49">
        <f>'Revised Band Returns'!H44</f>
        <v>0.3380281690140845</v>
      </c>
      <c r="F20" s="49">
        <f>'Revised Band Returns'!J44</f>
        <v>0</v>
      </c>
      <c r="G20" s="49">
        <f>'Revised Band Returns'!L44</f>
        <v>0.18309859154929578</v>
      </c>
      <c r="H20" s="49">
        <f>'Revised Band Returns'!N44</f>
        <v>0.23943661971830985</v>
      </c>
      <c r="I20" s="523">
        <v>0</v>
      </c>
      <c r="J20" s="233">
        <v>55</v>
      </c>
      <c r="K20" s="168">
        <f t="shared" si="0"/>
        <v>55</v>
      </c>
      <c r="L20" s="525">
        <f t="shared" si="1"/>
        <v>0</v>
      </c>
      <c r="M20" s="80">
        <f t="shared" si="2"/>
        <v>234307.86807157795</v>
      </c>
      <c r="N20" s="80">
        <f t="shared" si="3"/>
        <v>14458.742819079744</v>
      </c>
      <c r="O20" s="80">
        <f t="shared" si="4"/>
        <v>248766.6108906577</v>
      </c>
      <c r="P20" s="414">
        <f t="shared" si="5"/>
        <v>229166.66666666669</v>
      </c>
      <c r="Q20" s="414">
        <f>(VLOOKUP(A20,'2016-17 Funding Detail'!$A$4:$X$23,21,FALSE)*5/12)*K20</f>
        <v>198868.04899592698</v>
      </c>
      <c r="R20" s="42"/>
      <c r="S20" s="80"/>
      <c r="T20" s="42"/>
      <c r="X20" s="42"/>
    </row>
    <row r="21" spans="1:24" x14ac:dyDescent="0.25">
      <c r="A21" s="185">
        <v>9257021</v>
      </c>
      <c r="B21" s="38" t="s">
        <v>78</v>
      </c>
      <c r="C21" s="337">
        <v>5</v>
      </c>
      <c r="D21" s="49">
        <f>'Revised Band Returns'!F45</f>
        <v>0</v>
      </c>
      <c r="E21" s="49">
        <f>'Revised Band Returns'!H45</f>
        <v>9.8591549295774641E-2</v>
      </c>
      <c r="F21" s="49">
        <f>'Revised Band Returns'!J45</f>
        <v>0.71830985915492962</v>
      </c>
      <c r="G21" s="49">
        <f>'Revised Band Returns'!L45</f>
        <v>4.2253521126760563E-2</v>
      </c>
      <c r="H21" s="49">
        <f>'Revised Band Returns'!N45</f>
        <v>0.14084507042253522</v>
      </c>
      <c r="I21" s="233">
        <v>0</v>
      </c>
      <c r="J21" s="233">
        <v>141</v>
      </c>
      <c r="K21" s="168">
        <f t="shared" si="0"/>
        <v>141</v>
      </c>
      <c r="L21" s="80">
        <f t="shared" si="1"/>
        <v>0</v>
      </c>
      <c r="M21" s="80">
        <f t="shared" si="2"/>
        <v>431835.01619482733</v>
      </c>
      <c r="N21" s="80">
        <f t="shared" si="3"/>
        <v>21804.093449093518</v>
      </c>
      <c r="O21" s="80">
        <f t="shared" si="4"/>
        <v>453639.10964392085</v>
      </c>
      <c r="P21" s="414">
        <f t="shared" si="5"/>
        <v>587500</v>
      </c>
      <c r="Q21" s="414">
        <f>(VLOOKUP(A21,'2016-17 Funding Detail'!$A$4:$X$23,21,FALSE)*5/12)*K21</f>
        <v>88574.415412085247</v>
      </c>
      <c r="R21" s="42"/>
      <c r="S21" s="80"/>
      <c r="T21" s="42"/>
      <c r="X21" s="42"/>
    </row>
    <row r="22" spans="1:24" x14ac:dyDescent="0.25">
      <c r="A22" s="185">
        <v>9257015</v>
      </c>
      <c r="B22" s="38" t="s">
        <v>55</v>
      </c>
      <c r="C22" s="335">
        <v>6</v>
      </c>
      <c r="D22" s="49">
        <f>'Revised Band Returns'!F46</f>
        <v>6.0483870967741937E-2</v>
      </c>
      <c r="E22" s="49">
        <f>'Revised Band Returns'!H46</f>
        <v>0.22177419354838709</v>
      </c>
      <c r="F22" s="49">
        <f>'Revised Band Returns'!J46</f>
        <v>0.65322580645161288</v>
      </c>
      <c r="G22" s="49">
        <f>'Revised Band Returns'!L46</f>
        <v>0</v>
      </c>
      <c r="H22" s="49">
        <f>'Revised Band Returns'!N46</f>
        <v>6.4516129032258063E-2</v>
      </c>
      <c r="I22" s="233">
        <v>10</v>
      </c>
      <c r="J22" s="233">
        <v>231</v>
      </c>
      <c r="K22" s="168">
        <f>SUM(I22:J22)</f>
        <v>241</v>
      </c>
      <c r="L22" s="80">
        <f t="shared" si="1"/>
        <v>29875.568123471203</v>
      </c>
      <c r="M22" s="80">
        <f t="shared" si="2"/>
        <v>690125.62365218473</v>
      </c>
      <c r="N22" s="80">
        <f t="shared" si="3"/>
        <v>17071.143583044573</v>
      </c>
      <c r="O22" s="80">
        <f t="shared" si="4"/>
        <v>737072.33535870048</v>
      </c>
      <c r="P22" s="414">
        <f t="shared" si="5"/>
        <v>1004166.6666666667</v>
      </c>
      <c r="Q22" s="414">
        <f>(VLOOKUP(A22,'2016-17 Funding Detail'!$A$4:$X$23,21,FALSE)*5/12)*K22</f>
        <v>0</v>
      </c>
      <c r="R22" s="42"/>
      <c r="S22" s="80"/>
      <c r="T22" s="42"/>
      <c r="X22" s="42"/>
    </row>
    <row r="23" spans="1:24" x14ac:dyDescent="0.25">
      <c r="A23" s="185">
        <v>9257016</v>
      </c>
      <c r="B23" s="38" t="s">
        <v>80</v>
      </c>
      <c r="C23" s="336">
        <v>6</v>
      </c>
      <c r="D23" s="49">
        <f>'Revised Band Returns'!F47</f>
        <v>0.50370370370370365</v>
      </c>
      <c r="E23" s="49">
        <f>'Revised Band Returns'!H47</f>
        <v>0</v>
      </c>
      <c r="F23" s="49">
        <f>'Revised Band Returns'!J47</f>
        <v>0.28888888888888886</v>
      </c>
      <c r="G23" s="49">
        <f>'Revised Band Returns'!L47</f>
        <v>0.2074074074074074</v>
      </c>
      <c r="H23" s="49">
        <f>'Revised Band Returns'!N47</f>
        <v>0</v>
      </c>
      <c r="I23" s="233">
        <v>0</v>
      </c>
      <c r="J23" s="233">
        <v>79</v>
      </c>
      <c r="K23" s="168">
        <f t="shared" si="0"/>
        <v>79</v>
      </c>
      <c r="L23" s="80">
        <f t="shared" si="1"/>
        <v>0</v>
      </c>
      <c r="M23" s="80">
        <f t="shared" si="2"/>
        <v>333053.08543802291</v>
      </c>
      <c r="N23" s="80">
        <f t="shared" si="3"/>
        <v>0</v>
      </c>
      <c r="O23" s="80">
        <f t="shared" si="4"/>
        <v>333053.08543802291</v>
      </c>
      <c r="P23" s="414">
        <f t="shared" si="5"/>
        <v>329166.66666666669</v>
      </c>
      <c r="Q23" s="414">
        <f>(VLOOKUP(A23,'2016-17 Funding Detail'!$A$4:$X$23,21,FALSE)*5/12)*K23</f>
        <v>209250.06541000379</v>
      </c>
      <c r="R23" s="628" t="s">
        <v>402</v>
      </c>
      <c r="S23" s="80"/>
      <c r="T23" s="42"/>
      <c r="X23" s="42"/>
    </row>
    <row r="24" spans="1:24" x14ac:dyDescent="0.25">
      <c r="A24" s="75"/>
      <c r="B24" s="50"/>
      <c r="C24" s="61"/>
      <c r="D24" s="628"/>
      <c r="E24" s="49"/>
      <c r="F24" s="49"/>
      <c r="G24" s="49"/>
      <c r="H24" s="628" t="s">
        <v>402</v>
      </c>
      <c r="I24" s="168"/>
      <c r="J24" s="168"/>
      <c r="K24" s="628" t="s">
        <v>402</v>
      </c>
      <c r="L24" s="80"/>
      <c r="M24" s="80"/>
      <c r="N24" s="80"/>
      <c r="O24" s="628" t="s">
        <v>402</v>
      </c>
      <c r="P24" s="168"/>
      <c r="Q24" s="168"/>
    </row>
    <row r="25" spans="1:24" ht="13" x14ac:dyDescent="0.3">
      <c r="A25" s="230" t="s">
        <v>283</v>
      </c>
      <c r="B25" s="50"/>
      <c r="C25" s="61"/>
      <c r="D25" s="49"/>
      <c r="E25" s="49"/>
      <c r="F25" s="49"/>
      <c r="G25" s="49"/>
      <c r="H25" s="49"/>
      <c r="I25" s="168"/>
      <c r="J25" s="168"/>
      <c r="K25" s="168"/>
      <c r="L25" s="80"/>
      <c r="M25" s="80"/>
      <c r="N25" s="80"/>
      <c r="O25" s="80"/>
      <c r="P25" s="168"/>
      <c r="Q25" s="168"/>
    </row>
    <row r="26" spans="1:24" x14ac:dyDescent="0.25">
      <c r="A26" s="75"/>
      <c r="B26" s="50"/>
      <c r="C26" s="61"/>
      <c r="D26" s="49"/>
      <c r="E26" s="49"/>
      <c r="F26" s="49"/>
      <c r="G26" s="49"/>
      <c r="H26" s="49"/>
      <c r="I26" s="231" t="s">
        <v>530</v>
      </c>
      <c r="J26" s="168"/>
      <c r="K26" s="168"/>
      <c r="L26" s="80"/>
      <c r="M26" s="1893" t="s">
        <v>332</v>
      </c>
      <c r="N26" s="1894"/>
      <c r="O26" s="80"/>
      <c r="P26" s="168"/>
      <c r="Q26" s="168"/>
    </row>
    <row r="27" spans="1:24" ht="37.5" x14ac:dyDescent="0.25">
      <c r="A27" s="183" t="s">
        <v>201</v>
      </c>
      <c r="B27" s="36" t="s">
        <v>66</v>
      </c>
      <c r="C27" s="508" t="s">
        <v>51</v>
      </c>
      <c r="D27" s="34" t="s">
        <v>256</v>
      </c>
      <c r="E27" s="34" t="s">
        <v>257</v>
      </c>
      <c r="F27" s="34" t="s">
        <v>258</v>
      </c>
      <c r="G27" s="34" t="s">
        <v>259</v>
      </c>
      <c r="H27" s="34" t="s">
        <v>260</v>
      </c>
      <c r="I27" s="507" t="s">
        <v>185</v>
      </c>
      <c r="J27" s="507" t="s">
        <v>288</v>
      </c>
      <c r="K27" s="507" t="s">
        <v>388</v>
      </c>
      <c r="L27" s="507" t="s">
        <v>288</v>
      </c>
      <c r="M27" s="252" t="s">
        <v>330</v>
      </c>
      <c r="N27" s="507" t="s">
        <v>339</v>
      </c>
      <c r="O27" s="507"/>
      <c r="P27" s="507"/>
      <c r="Q27" s="507"/>
    </row>
    <row r="28" spans="1:24" x14ac:dyDescent="0.25">
      <c r="A28" s="185">
        <v>9257010</v>
      </c>
      <c r="B28" s="38" t="s">
        <v>67</v>
      </c>
      <c r="C28" s="335">
        <v>3</v>
      </c>
      <c r="D28" s="49">
        <f>'Revised Band Returns'!F30</f>
        <v>0.40476190476190477</v>
      </c>
      <c r="E28" s="49">
        <f>'Revised Band Returns'!H30</f>
        <v>0.2857142857142857</v>
      </c>
      <c r="F28" s="49">
        <f>'Revised Band Returns'!J30</f>
        <v>0.11904761904761904</v>
      </c>
      <c r="G28" s="49">
        <f>'Revised Band Returns'!L30</f>
        <v>0.11904761904761904</v>
      </c>
      <c r="H28" s="49">
        <f>'Revised Band Returns'!N30</f>
        <v>7.1428571428571425E-2</v>
      </c>
      <c r="I28" s="233">
        <v>10</v>
      </c>
      <c r="J28" s="80">
        <f>((((I28*D28)*$G$92)+((I28*E28)*$G$94)+((I28*F28)*$G$96)+((I28*G28)*$G$98)+((I28*H28)*$G$100)))*(4/12)</f>
        <v>32676.257284106938</v>
      </c>
      <c r="K28" s="80">
        <f>((I28*H28)*$G$102)*(4/12)</f>
        <v>627.39235456358233</v>
      </c>
      <c r="L28" s="80">
        <f>SUM(J28:K28)</f>
        <v>33303.649638670518</v>
      </c>
      <c r="M28" s="414">
        <f>(I28*(4/12))*10000</f>
        <v>33333.333333333328</v>
      </c>
      <c r="N28" s="414">
        <f>(VLOOKUP(A28,'2016-17 Funding Detail'!$A$4:$X$23,21,FALSE)*4/12)*I28</f>
        <v>28429.53595526053</v>
      </c>
      <c r="O28" s="80"/>
      <c r="P28" s="80"/>
      <c r="Q28" s="80"/>
      <c r="R28" s="80"/>
      <c r="S28" s="42"/>
      <c r="T28" s="626" t="s">
        <v>402</v>
      </c>
      <c r="U28" s="625" t="s">
        <v>593</v>
      </c>
    </row>
    <row r="29" spans="1:24" x14ac:dyDescent="0.25">
      <c r="A29" s="185">
        <v>9257005</v>
      </c>
      <c r="B29" s="38" t="s">
        <v>68</v>
      </c>
      <c r="C29" s="335">
        <v>4</v>
      </c>
      <c r="D29" s="49">
        <f>'Revised Band Returns'!F31</f>
        <v>0.13157894736842105</v>
      </c>
      <c r="E29" s="49">
        <f>'Revised Band Returns'!H31</f>
        <v>0.35526315789473684</v>
      </c>
      <c r="F29" s="49">
        <f>'Revised Band Returns'!J31</f>
        <v>0.17105263157894737</v>
      </c>
      <c r="G29" s="49">
        <f>'Revised Band Returns'!L31</f>
        <v>0.14473684210526316</v>
      </c>
      <c r="H29" s="49">
        <f>'Revised Band Returns'!N31</f>
        <v>0.19736842105263158</v>
      </c>
      <c r="I29" s="233">
        <v>29</v>
      </c>
      <c r="J29" s="80">
        <f t="shared" ref="J29:J45" si="6">((((I29*D29)*$G$92)+((I29*E29)*$G$94)+((I29*F29)*$G$96)+((I29*G29)*$G$98)+((I29*H29)*$G$100)))*(4/12)</f>
        <v>89103.135194826071</v>
      </c>
      <c r="K29" s="80">
        <f t="shared" ref="K29:K45" si="7">((I29*H29)*$G$102)*(4/12)</f>
        <v>5027.3939990687068</v>
      </c>
      <c r="L29" s="80">
        <f>SUM(J29:K29)</f>
        <v>94130.529193894778</v>
      </c>
      <c r="M29" s="414">
        <f>(I29*(4/12))*10000</f>
        <v>96666.666666666657</v>
      </c>
      <c r="N29" s="414">
        <f>(VLOOKUP(A29,'2016-17 Funding Detail'!$A$4:$X$23,21,FALSE)*4/12)*I29</f>
        <v>62458.065550334963</v>
      </c>
      <c r="O29" s="80"/>
      <c r="P29" s="80"/>
      <c r="Q29" s="80"/>
      <c r="R29" s="80"/>
      <c r="S29" s="42"/>
      <c r="T29" s="42"/>
    </row>
    <row r="30" spans="1:24" x14ac:dyDescent="0.25">
      <c r="A30" s="185">
        <v>9257025</v>
      </c>
      <c r="B30" s="38" t="s">
        <v>69</v>
      </c>
      <c r="C30" s="335">
        <v>4</v>
      </c>
      <c r="D30" s="49">
        <f>'Revised Band Returns'!F32</f>
        <v>0.26415094339622641</v>
      </c>
      <c r="E30" s="49">
        <f>'Revised Band Returns'!H32</f>
        <v>0.41509433962264153</v>
      </c>
      <c r="F30" s="49">
        <f>'Revised Band Returns'!J32</f>
        <v>5.6603773584905662E-2</v>
      </c>
      <c r="G30" s="49">
        <f>'Revised Band Returns'!L32</f>
        <v>5.6603773584905662E-2</v>
      </c>
      <c r="H30" s="49">
        <f>'Revised Band Returns'!N32</f>
        <v>0.20754716981132076</v>
      </c>
      <c r="I30" s="233">
        <v>13</v>
      </c>
      <c r="J30" s="80">
        <f t="shared" si="6"/>
        <v>41519.128077391273</v>
      </c>
      <c r="K30" s="80">
        <f t="shared" si="7"/>
        <v>2369.8858374269662</v>
      </c>
      <c r="L30" s="80">
        <f t="shared" ref="L30:L45" si="8">SUM(J30:K30)</f>
        <v>43889.013914818242</v>
      </c>
      <c r="M30" s="414">
        <f t="shared" ref="M30:M45" si="9">(I30*(4/12))*10000</f>
        <v>43333.333333333328</v>
      </c>
      <c r="N30" s="414">
        <f>(VLOOKUP(A30,'2016-17 Funding Detail'!$A$4:$X$23,21,FALSE)*4/12)*I30</f>
        <v>36454.599875672437</v>
      </c>
      <c r="O30" s="80"/>
      <c r="P30" s="80"/>
      <c r="Q30" s="80"/>
      <c r="R30" s="80"/>
      <c r="S30" s="42"/>
      <c r="T30" s="42"/>
    </row>
    <row r="31" spans="1:24" x14ac:dyDescent="0.25">
      <c r="A31" s="185">
        <v>9257011</v>
      </c>
      <c r="B31" s="38" t="s">
        <v>70</v>
      </c>
      <c r="C31" s="337">
        <v>4</v>
      </c>
      <c r="D31" s="49">
        <f>'Revised Band Returns'!F33</f>
        <v>0.4</v>
      </c>
      <c r="E31" s="49">
        <f>'Revised Band Returns'!H33</f>
        <v>0.42222222222222222</v>
      </c>
      <c r="F31" s="49">
        <f>'Revised Band Returns'!J33</f>
        <v>0</v>
      </c>
      <c r="G31" s="49">
        <f>'Revised Band Returns'!L33</f>
        <v>2.2222222222222223E-2</v>
      </c>
      <c r="H31" s="49">
        <f>'Revised Band Returns'!N33</f>
        <v>0.15555555555555556</v>
      </c>
      <c r="I31" s="233">
        <v>3</v>
      </c>
      <c r="J31" s="80">
        <f t="shared" si="6"/>
        <v>9858.7829684831449</v>
      </c>
      <c r="K31" s="80">
        <f t="shared" si="7"/>
        <v>409.8963383148739</v>
      </c>
      <c r="L31" s="80">
        <f t="shared" si="8"/>
        <v>10268.679306798018</v>
      </c>
      <c r="M31" s="414">
        <f t="shared" si="9"/>
        <v>10000</v>
      </c>
      <c r="N31" s="414">
        <f>(VLOOKUP(A31,'2016-17 Funding Detail'!$A$4:$X$23,21,FALSE)*4/12)*I31</f>
        <v>10714.384827976821</v>
      </c>
      <c r="O31" s="80"/>
      <c r="P31" s="80"/>
      <c r="Q31" s="80"/>
      <c r="R31" s="80"/>
      <c r="S31" s="42"/>
      <c r="T31" s="42"/>
    </row>
    <row r="32" spans="1:24" x14ac:dyDescent="0.25">
      <c r="A32" s="185">
        <v>9257024</v>
      </c>
      <c r="B32" s="38" t="s">
        <v>71</v>
      </c>
      <c r="C32" s="335">
        <v>3</v>
      </c>
      <c r="D32" s="49">
        <f>'Revised Band Returns'!F34</f>
        <v>0.2</v>
      </c>
      <c r="E32" s="49">
        <f>'Revised Band Returns'!H34</f>
        <v>0.5636363636363636</v>
      </c>
      <c r="F32" s="49">
        <f>'Revised Band Returns'!J34</f>
        <v>1.8181818181818181E-2</v>
      </c>
      <c r="G32" s="49">
        <f>'Revised Band Returns'!L34</f>
        <v>0.16363636363636364</v>
      </c>
      <c r="H32" s="49">
        <f>'Revised Band Returns'!N34</f>
        <v>5.4545454545454543E-2</v>
      </c>
      <c r="I32" s="233">
        <v>13</v>
      </c>
      <c r="J32" s="80">
        <f t="shared" si="6"/>
        <v>39631.453295768835</v>
      </c>
      <c r="K32" s="80">
        <f t="shared" si="7"/>
        <v>622.82950107584725</v>
      </c>
      <c r="L32" s="80">
        <f t="shared" si="8"/>
        <v>40254.28279684468</v>
      </c>
      <c r="M32" s="414">
        <f t="shared" si="9"/>
        <v>43333.333333333328</v>
      </c>
      <c r="N32" s="414">
        <f>(VLOOKUP(A32,'2016-17 Funding Detail'!$A$4:$X$23,21,FALSE)*4/12)*I32</f>
        <v>27734.181056978658</v>
      </c>
      <c r="O32" s="80"/>
      <c r="P32" s="80"/>
      <c r="Q32" s="80"/>
      <c r="R32" s="80"/>
      <c r="S32" s="42"/>
      <c r="T32" s="42"/>
    </row>
    <row r="33" spans="1:20" x14ac:dyDescent="0.25">
      <c r="A33" s="185">
        <v>9257031</v>
      </c>
      <c r="B33" s="38" t="s">
        <v>98</v>
      </c>
      <c r="C33" s="337">
        <v>4</v>
      </c>
      <c r="D33" s="49">
        <f>'Revised Band Returns'!F35</f>
        <v>0</v>
      </c>
      <c r="E33" s="49">
        <f>'Revised Band Returns'!H35</f>
        <v>0</v>
      </c>
      <c r="F33" s="49">
        <f>'Revised Band Returns'!J35</f>
        <v>0</v>
      </c>
      <c r="G33" s="49">
        <f>'Revised Band Returns'!L35</f>
        <v>0</v>
      </c>
      <c r="H33" s="49">
        <f>'Revised Band Returns'!N35</f>
        <v>1</v>
      </c>
      <c r="I33" s="233">
        <v>0</v>
      </c>
      <c r="J33" s="80">
        <f t="shared" si="6"/>
        <v>0</v>
      </c>
      <c r="K33" s="80">
        <f t="shared" si="7"/>
        <v>0</v>
      </c>
      <c r="L33" s="80">
        <f t="shared" si="8"/>
        <v>0</v>
      </c>
      <c r="M33" s="414">
        <f t="shared" si="9"/>
        <v>0</v>
      </c>
      <c r="N33" s="414">
        <f>(VLOOKUP(A33,'2016-17 Funding Detail'!$A$4:$X$23,21,FALSE)*4/12)*I33</f>
        <v>0</v>
      </c>
      <c r="O33" s="80"/>
      <c r="P33" s="80"/>
      <c r="Q33" s="80"/>
      <c r="R33" s="80"/>
      <c r="S33" s="42"/>
      <c r="T33" s="42"/>
    </row>
    <row r="34" spans="1:20" x14ac:dyDescent="0.25">
      <c r="A34" s="185">
        <v>9257033</v>
      </c>
      <c r="B34" s="38" t="s">
        <v>72</v>
      </c>
      <c r="C34" s="335">
        <v>3</v>
      </c>
      <c r="D34" s="49">
        <f>'Revised Band Returns'!F36</f>
        <v>3.6363636363636362E-2</v>
      </c>
      <c r="E34" s="49">
        <f>'Revised Band Returns'!H36</f>
        <v>0.29090909090909089</v>
      </c>
      <c r="F34" s="49">
        <f>'Revised Band Returns'!J36</f>
        <v>0.27272727272727271</v>
      </c>
      <c r="G34" s="49">
        <f>'Revised Band Returns'!L36</f>
        <v>5.4545454545454543E-2</v>
      </c>
      <c r="H34" s="49">
        <f>'Revised Band Returns'!N36</f>
        <v>0.34545454545454546</v>
      </c>
      <c r="I34" s="233">
        <v>0</v>
      </c>
      <c r="J34" s="80">
        <f t="shared" si="6"/>
        <v>0</v>
      </c>
      <c r="K34" s="80">
        <f t="shared" si="7"/>
        <v>0</v>
      </c>
      <c r="L34" s="80">
        <f t="shared" si="8"/>
        <v>0</v>
      </c>
      <c r="M34" s="414">
        <f t="shared" si="9"/>
        <v>0</v>
      </c>
      <c r="N34" s="414">
        <f>(VLOOKUP(A34,'2016-17 Funding Detail'!$A$4:$X$23,21,FALSE)*4/12)*I34</f>
        <v>0</v>
      </c>
      <c r="O34" s="80"/>
      <c r="P34" s="80"/>
      <c r="Q34" s="80"/>
      <c r="R34" s="80"/>
      <c r="S34" s="42"/>
      <c r="T34" s="42"/>
    </row>
    <row r="35" spans="1:20" x14ac:dyDescent="0.25">
      <c r="A35" s="185">
        <v>9257008</v>
      </c>
      <c r="B35" s="38" t="s">
        <v>73</v>
      </c>
      <c r="C35" s="335">
        <v>4</v>
      </c>
      <c r="D35" s="49">
        <f>'Revised Band Returns'!F37</f>
        <v>0</v>
      </c>
      <c r="E35" s="49">
        <f>'Revised Band Returns'!H37</f>
        <v>8.2352941176470587E-2</v>
      </c>
      <c r="F35" s="49">
        <f>'Revised Band Returns'!J37</f>
        <v>0.61176470588235299</v>
      </c>
      <c r="G35" s="49">
        <f>'Revised Band Returns'!L37</f>
        <v>2.3529411764705882E-2</v>
      </c>
      <c r="H35" s="49">
        <f>'Revised Band Returns'!N37</f>
        <v>0.28235294117647058</v>
      </c>
      <c r="I35" s="233">
        <v>0</v>
      </c>
      <c r="J35" s="80">
        <f t="shared" si="6"/>
        <v>0</v>
      </c>
      <c r="K35" s="80">
        <f t="shared" si="7"/>
        <v>0</v>
      </c>
      <c r="L35" s="80">
        <f t="shared" si="8"/>
        <v>0</v>
      </c>
      <c r="M35" s="414">
        <f t="shared" si="9"/>
        <v>0</v>
      </c>
      <c r="N35" s="414">
        <f>(VLOOKUP(A35,'2016-17 Funding Detail'!$A$4:$X$23,21,FALSE)*4/12)*I35</f>
        <v>0</v>
      </c>
      <c r="O35" s="80"/>
      <c r="P35" s="80"/>
      <c r="Q35" s="80"/>
      <c r="R35" s="80"/>
      <c r="S35" s="42"/>
      <c r="T35" s="42"/>
    </row>
    <row r="36" spans="1:20" x14ac:dyDescent="0.25">
      <c r="A36" s="185">
        <v>9257034</v>
      </c>
      <c r="B36" s="38" t="s">
        <v>74</v>
      </c>
      <c r="C36" s="335">
        <v>5</v>
      </c>
      <c r="D36" s="49">
        <f>'Revised Band Returns'!F38</f>
        <v>7.0866141732283464E-2</v>
      </c>
      <c r="E36" s="49">
        <f>'Revised Band Returns'!H38</f>
        <v>0.16535433070866143</v>
      </c>
      <c r="F36" s="49">
        <f>'Revised Band Returns'!J38</f>
        <v>0.51968503937007871</v>
      </c>
      <c r="G36" s="49">
        <f>'Revised Band Returns'!L38</f>
        <v>3.937007874015748E-2</v>
      </c>
      <c r="H36" s="49">
        <f>'Revised Band Returns'!N38</f>
        <v>0.20472440944881889</v>
      </c>
      <c r="I36" s="233">
        <v>32</v>
      </c>
      <c r="J36" s="80">
        <f t="shared" si="6"/>
        <v>86855.19142800082</v>
      </c>
      <c r="K36" s="80">
        <f t="shared" si="7"/>
        <v>5754.2253117768569</v>
      </c>
      <c r="L36" s="80">
        <f t="shared" si="8"/>
        <v>92609.416739777676</v>
      </c>
      <c r="M36" s="414">
        <f t="shared" si="9"/>
        <v>106666.66666666666</v>
      </c>
      <c r="N36" s="414">
        <f>(VLOOKUP(A36,'2016-17 Funding Detail'!$A$4:$X$23,21,FALSE)*4/12)*I36</f>
        <v>33866.610496614208</v>
      </c>
      <c r="O36" s="80"/>
      <c r="P36" s="80"/>
      <c r="Q36" s="80"/>
      <c r="R36" s="80"/>
      <c r="S36" s="42"/>
      <c r="T36" s="42"/>
    </row>
    <row r="37" spans="1:20" x14ac:dyDescent="0.25">
      <c r="A37" s="185">
        <v>9257002</v>
      </c>
      <c r="B37" s="38" t="s">
        <v>75</v>
      </c>
      <c r="C37" s="337">
        <v>5</v>
      </c>
      <c r="D37" s="49">
        <f>'Revised Band Returns'!F39</f>
        <v>8.4033613445378148E-3</v>
      </c>
      <c r="E37" s="49">
        <f>'Revised Band Returns'!H39</f>
        <v>0.27731092436974791</v>
      </c>
      <c r="F37" s="49">
        <f>'Revised Band Returns'!J39</f>
        <v>0.59663865546218486</v>
      </c>
      <c r="G37" s="49">
        <f>'Revised Band Returns'!L39</f>
        <v>2.5210084033613446E-2</v>
      </c>
      <c r="H37" s="49">
        <f>'Revised Band Returns'!N39</f>
        <v>9.2436974789915971E-2</v>
      </c>
      <c r="I37" s="233">
        <v>0</v>
      </c>
      <c r="J37" s="80">
        <f t="shared" si="6"/>
        <v>0</v>
      </c>
      <c r="K37" s="80">
        <f t="shared" si="7"/>
        <v>0</v>
      </c>
      <c r="L37" s="80">
        <f t="shared" si="8"/>
        <v>0</v>
      </c>
      <c r="M37" s="414">
        <f t="shared" si="9"/>
        <v>0</v>
      </c>
      <c r="N37" s="414">
        <f>(VLOOKUP(A37,'2016-17 Funding Detail'!$A$4:$X$23,21,FALSE)*4/12)*I37</f>
        <v>0</v>
      </c>
      <c r="O37" s="80"/>
      <c r="P37" s="80"/>
      <c r="Q37" s="80"/>
      <c r="R37" s="80"/>
      <c r="S37" s="42"/>
      <c r="T37" s="42"/>
    </row>
    <row r="38" spans="1:20" x14ac:dyDescent="0.25">
      <c r="A38" s="185">
        <v>9257009</v>
      </c>
      <c r="B38" s="38" t="s">
        <v>76</v>
      </c>
      <c r="C38" s="335">
        <v>4</v>
      </c>
      <c r="D38" s="49">
        <f>'Revised Band Returns'!F40</f>
        <v>0</v>
      </c>
      <c r="E38" s="49">
        <f>'Revised Band Returns'!H40</f>
        <v>0.14615384615384616</v>
      </c>
      <c r="F38" s="49">
        <f>'Revised Band Returns'!J40</f>
        <v>0.7</v>
      </c>
      <c r="G38" s="49">
        <f>'Revised Band Returns'!L40</f>
        <v>1.5384615384615385E-2</v>
      </c>
      <c r="H38" s="49">
        <f>'Revised Band Returns'!N40</f>
        <v>0.13846153846153847</v>
      </c>
      <c r="I38" s="233">
        <v>0</v>
      </c>
      <c r="J38" s="80">
        <f t="shared" si="6"/>
        <v>0</v>
      </c>
      <c r="K38" s="80">
        <f t="shared" si="7"/>
        <v>0</v>
      </c>
      <c r="L38" s="80">
        <f t="shared" si="8"/>
        <v>0</v>
      </c>
      <c r="M38" s="414">
        <f t="shared" si="9"/>
        <v>0</v>
      </c>
      <c r="N38" s="414">
        <f>(VLOOKUP(A38,'2016-17 Funding Detail'!$A$4:$X$23,21,FALSE)*4/12)*I38</f>
        <v>0</v>
      </c>
      <c r="O38" s="80"/>
      <c r="P38" s="80"/>
      <c r="Q38" s="80"/>
      <c r="R38" s="80"/>
      <c r="S38" s="42"/>
      <c r="T38" s="42"/>
    </row>
    <row r="39" spans="1:20" x14ac:dyDescent="0.25">
      <c r="A39" s="185">
        <v>9257029</v>
      </c>
      <c r="B39" s="38" t="s">
        <v>99</v>
      </c>
      <c r="C39" s="335">
        <v>3</v>
      </c>
      <c r="D39" s="49">
        <f>'Revised Band Returns'!F41</f>
        <v>0</v>
      </c>
      <c r="E39" s="49">
        <f>'Revised Band Returns'!H41</f>
        <v>0</v>
      </c>
      <c r="F39" s="49">
        <f>'Revised Band Returns'!J41</f>
        <v>0</v>
      </c>
      <c r="G39" s="49">
        <f>'Revised Band Returns'!L41</f>
        <v>0</v>
      </c>
      <c r="H39" s="49">
        <f>'Revised Band Returns'!N41</f>
        <v>1</v>
      </c>
      <c r="I39" s="233">
        <v>0</v>
      </c>
      <c r="J39" s="80">
        <f t="shared" si="6"/>
        <v>0</v>
      </c>
      <c r="K39" s="80">
        <f t="shared" si="7"/>
        <v>0</v>
      </c>
      <c r="L39" s="80">
        <f t="shared" si="8"/>
        <v>0</v>
      </c>
      <c r="M39" s="414">
        <f t="shared" si="9"/>
        <v>0</v>
      </c>
      <c r="N39" s="414">
        <f>(VLOOKUP(A39,'2016-17 Funding Detail'!$A$4:$X$23,21,FALSE)*4/12)*I39</f>
        <v>0</v>
      </c>
      <c r="O39" s="80"/>
      <c r="P39" s="80"/>
      <c r="Q39" s="80"/>
      <c r="R39" s="80"/>
      <c r="S39" s="42"/>
      <c r="T39" s="42"/>
    </row>
    <row r="40" spans="1:20" x14ac:dyDescent="0.25">
      <c r="A40" s="185">
        <v>9257032</v>
      </c>
      <c r="B40" s="38" t="s">
        <v>100</v>
      </c>
      <c r="C40" s="335">
        <v>4</v>
      </c>
      <c r="D40" s="49">
        <f>'Revised Band Returns'!F42</f>
        <v>0</v>
      </c>
      <c r="E40" s="49">
        <f>'Revised Band Returns'!H42</f>
        <v>0</v>
      </c>
      <c r="F40" s="49">
        <f>'Revised Band Returns'!J42</f>
        <v>0</v>
      </c>
      <c r="G40" s="49">
        <f>'Revised Band Returns'!L42</f>
        <v>0</v>
      </c>
      <c r="H40" s="49">
        <f>'Revised Band Returns'!N42</f>
        <v>1</v>
      </c>
      <c r="I40" s="233">
        <v>0</v>
      </c>
      <c r="J40" s="80">
        <f t="shared" si="6"/>
        <v>0</v>
      </c>
      <c r="K40" s="80">
        <f t="shared" si="7"/>
        <v>0</v>
      </c>
      <c r="L40" s="80">
        <f t="shared" si="8"/>
        <v>0</v>
      </c>
      <c r="M40" s="414">
        <f t="shared" si="9"/>
        <v>0</v>
      </c>
      <c r="N40" s="414">
        <f>(VLOOKUP(A40,'2016-17 Funding Detail'!$A$4:$X$23,21,FALSE)*4/12)*I40</f>
        <v>0</v>
      </c>
      <c r="O40" s="80"/>
      <c r="P40" s="80"/>
      <c r="Q40" s="80"/>
      <c r="R40" s="80"/>
      <c r="S40" s="42"/>
      <c r="T40" s="42"/>
    </row>
    <row r="41" spans="1:20" x14ac:dyDescent="0.25">
      <c r="A41" s="185">
        <v>9257030</v>
      </c>
      <c r="B41" s="38" t="s">
        <v>92</v>
      </c>
      <c r="C41" s="335">
        <v>4</v>
      </c>
      <c r="D41" s="49">
        <f>'Revised Band Returns'!F43</f>
        <v>0</v>
      </c>
      <c r="E41" s="49">
        <f>'Revised Band Returns'!H43</f>
        <v>0</v>
      </c>
      <c r="F41" s="49">
        <f>'Revised Band Returns'!J43</f>
        <v>0</v>
      </c>
      <c r="G41" s="49">
        <f>'Revised Band Returns'!L43</f>
        <v>0</v>
      </c>
      <c r="H41" s="49">
        <f>'Revised Band Returns'!N43</f>
        <v>1</v>
      </c>
      <c r="I41" s="233">
        <v>0</v>
      </c>
      <c r="J41" s="80">
        <f t="shared" si="6"/>
        <v>0</v>
      </c>
      <c r="K41" s="80">
        <f t="shared" si="7"/>
        <v>0</v>
      </c>
      <c r="L41" s="80">
        <f t="shared" si="8"/>
        <v>0</v>
      </c>
      <c r="M41" s="414">
        <f t="shared" si="9"/>
        <v>0</v>
      </c>
      <c r="N41" s="414">
        <f>(VLOOKUP(A41,'2016-17 Funding Detail'!$A$4:$X$23,21,FALSE)*4/12)*I41</f>
        <v>0</v>
      </c>
      <c r="O41" s="80"/>
      <c r="P41" s="80"/>
      <c r="Q41" s="80"/>
      <c r="R41" s="80"/>
      <c r="S41" s="42"/>
      <c r="T41" s="42"/>
    </row>
    <row r="42" spans="1:20" x14ac:dyDescent="0.25">
      <c r="A42" s="185">
        <v>9257028</v>
      </c>
      <c r="B42" s="38" t="s">
        <v>77</v>
      </c>
      <c r="C42" s="337">
        <v>5</v>
      </c>
      <c r="D42" s="49">
        <f>'Revised Band Returns'!F44</f>
        <v>0.23943661971830985</v>
      </c>
      <c r="E42" s="49">
        <f>'Revised Band Returns'!H44</f>
        <v>0.3380281690140845</v>
      </c>
      <c r="F42" s="49">
        <f>'Revised Band Returns'!J44</f>
        <v>0</v>
      </c>
      <c r="G42" s="49">
        <f>'Revised Band Returns'!L44</f>
        <v>0.18309859154929578</v>
      </c>
      <c r="H42" s="49">
        <f>'Revised Band Returns'!N44</f>
        <v>0.23943661971830985</v>
      </c>
      <c r="I42" s="233">
        <v>16</v>
      </c>
      <c r="J42" s="80">
        <f t="shared" si="6"/>
        <v>54529.831114839952</v>
      </c>
      <c r="K42" s="80">
        <f t="shared" si="7"/>
        <v>3364.9437833494671</v>
      </c>
      <c r="L42" s="80">
        <f t="shared" si="8"/>
        <v>57894.774898189418</v>
      </c>
      <c r="M42" s="414">
        <f t="shared" si="9"/>
        <v>53333.333333333328</v>
      </c>
      <c r="N42" s="414">
        <f>(VLOOKUP(A42,'2016-17 Funding Detail'!$A$4:$X$23,21,FALSE)*4/12)*I42</f>
        <v>46282.01867541574</v>
      </c>
      <c r="O42" s="80"/>
      <c r="P42" s="80"/>
      <c r="Q42" s="80"/>
      <c r="R42" s="80"/>
      <c r="S42" s="42"/>
      <c r="T42" s="42"/>
    </row>
    <row r="43" spans="1:20" x14ac:dyDescent="0.25">
      <c r="A43" s="185">
        <v>9257021</v>
      </c>
      <c r="B43" s="38" t="s">
        <v>78</v>
      </c>
      <c r="C43" s="337">
        <v>5</v>
      </c>
      <c r="D43" s="49">
        <f>'Revised Band Returns'!F45</f>
        <v>0</v>
      </c>
      <c r="E43" s="49">
        <f>'Revised Band Returns'!H45</f>
        <v>9.8591549295774641E-2</v>
      </c>
      <c r="F43" s="49">
        <f>'Revised Band Returns'!J45</f>
        <v>0.71830985915492962</v>
      </c>
      <c r="G43" s="49">
        <f>'Revised Band Returns'!L45</f>
        <v>4.2253521126760563E-2</v>
      </c>
      <c r="H43" s="49">
        <f>'Revised Band Returns'!N45</f>
        <v>0.14084507042253522</v>
      </c>
      <c r="I43" s="233">
        <v>0</v>
      </c>
      <c r="J43" s="80">
        <f t="shared" si="6"/>
        <v>0</v>
      </c>
      <c r="K43" s="80">
        <f t="shared" si="7"/>
        <v>0</v>
      </c>
      <c r="L43" s="80">
        <f t="shared" si="8"/>
        <v>0</v>
      </c>
      <c r="M43" s="414">
        <f t="shared" si="9"/>
        <v>0</v>
      </c>
      <c r="N43" s="414">
        <f>(VLOOKUP(A43,'2016-17 Funding Detail'!$A$4:$X$23,21,FALSE)*4/12)*I43</f>
        <v>0</v>
      </c>
      <c r="O43" s="80"/>
      <c r="P43" s="80"/>
      <c r="Q43" s="80"/>
      <c r="R43" s="80"/>
      <c r="S43" s="42"/>
      <c r="T43" s="42"/>
    </row>
    <row r="44" spans="1:20" x14ac:dyDescent="0.25">
      <c r="A44" s="185">
        <v>9257015</v>
      </c>
      <c r="B44" s="38" t="s">
        <v>55</v>
      </c>
      <c r="C44" s="335">
        <v>6</v>
      </c>
      <c r="D44" s="49">
        <f>'Revised Band Returns'!F46</f>
        <v>6.0483870967741937E-2</v>
      </c>
      <c r="E44" s="49">
        <f>'Revised Band Returns'!H46</f>
        <v>0.22177419354838709</v>
      </c>
      <c r="F44" s="49">
        <f>'Revised Band Returns'!J46</f>
        <v>0.65322580645161288</v>
      </c>
      <c r="G44" s="49">
        <f>'Revised Band Returns'!L46</f>
        <v>0</v>
      </c>
      <c r="H44" s="49">
        <f>'Revised Band Returns'!N46</f>
        <v>6.4516129032258063E-2</v>
      </c>
      <c r="I44" s="233">
        <v>19</v>
      </c>
      <c r="J44" s="80">
        <f t="shared" si="6"/>
        <v>45410.863547676221</v>
      </c>
      <c r="K44" s="80">
        <f t="shared" si="7"/>
        <v>1076.6862342833092</v>
      </c>
      <c r="L44" s="80">
        <f t="shared" si="8"/>
        <v>46487.549781959533</v>
      </c>
      <c r="M44" s="414">
        <f t="shared" si="9"/>
        <v>63333.333333333328</v>
      </c>
      <c r="N44" s="414">
        <f>(VLOOKUP(A44,'2016-17 Funding Detail'!$A$4:$X$23,21,FALSE)*4/12)*I44</f>
        <v>0</v>
      </c>
      <c r="O44" s="80"/>
      <c r="P44" s="80"/>
      <c r="Q44" s="80"/>
      <c r="R44" s="80"/>
      <c r="S44" s="42"/>
      <c r="T44" s="42"/>
    </row>
    <row r="45" spans="1:20" x14ac:dyDescent="0.25">
      <c r="A45" s="185">
        <v>9257016</v>
      </c>
      <c r="B45" s="38" t="s">
        <v>80</v>
      </c>
      <c r="C45" s="336">
        <v>6</v>
      </c>
      <c r="D45" s="49">
        <f>'Revised Band Returns'!F47</f>
        <v>0.50370370370370365</v>
      </c>
      <c r="E45" s="49">
        <f>'Revised Band Returns'!H47</f>
        <v>0</v>
      </c>
      <c r="F45" s="49">
        <f>'Revised Band Returns'!J47</f>
        <v>0.28888888888888886</v>
      </c>
      <c r="G45" s="49">
        <f>'Revised Band Returns'!L47</f>
        <v>0.2074074074074074</v>
      </c>
      <c r="H45" s="49">
        <f>'Revised Band Returns'!N47</f>
        <v>0</v>
      </c>
      <c r="I45" s="233">
        <v>54</v>
      </c>
      <c r="J45" s="80">
        <f t="shared" si="6"/>
        <v>182125.23153066565</v>
      </c>
      <c r="K45" s="80">
        <f t="shared" si="7"/>
        <v>0</v>
      </c>
      <c r="L45" s="80">
        <f t="shared" si="8"/>
        <v>182125.23153066565</v>
      </c>
      <c r="M45" s="414">
        <f t="shared" si="9"/>
        <v>180000</v>
      </c>
      <c r="N45" s="414">
        <f>(VLOOKUP(A45,'2016-17 Funding Detail'!$A$4:$X$23,21,FALSE)*4/12)*I45</f>
        <v>114425.35222420462</v>
      </c>
      <c r="O45" s="628" t="s">
        <v>402</v>
      </c>
      <c r="P45" s="80"/>
      <c r="Q45" s="80"/>
      <c r="R45" s="80"/>
      <c r="S45" s="42"/>
      <c r="T45" s="42"/>
    </row>
    <row r="46" spans="1:20" x14ac:dyDescent="0.25">
      <c r="A46" s="75"/>
      <c r="B46" s="50"/>
      <c r="C46" s="61"/>
      <c r="D46" s="49"/>
      <c r="E46" s="49"/>
      <c r="F46" s="49"/>
      <c r="G46" s="49"/>
      <c r="H46" s="628" t="s">
        <v>402</v>
      </c>
      <c r="I46" s="628" t="s">
        <v>402</v>
      </c>
      <c r="J46" s="168"/>
      <c r="K46" s="168"/>
      <c r="L46" s="628" t="s">
        <v>402</v>
      </c>
      <c r="M46" s="80"/>
      <c r="N46" s="80"/>
      <c r="O46" s="80"/>
      <c r="P46" s="233"/>
      <c r="Q46" s="233"/>
      <c r="R46" s="40"/>
    </row>
    <row r="47" spans="1:20" ht="13" x14ac:dyDescent="0.3">
      <c r="A47" s="230" t="s">
        <v>285</v>
      </c>
      <c r="B47" s="50"/>
      <c r="C47" s="50"/>
    </row>
    <row r="48" spans="1:20" x14ac:dyDescent="0.25">
      <c r="B48" s="50"/>
      <c r="C48" s="50"/>
      <c r="I48" s="231" t="s">
        <v>530</v>
      </c>
      <c r="P48" s="1893" t="s">
        <v>332</v>
      </c>
      <c r="Q48" s="1894"/>
    </row>
    <row r="49" spans="1:21" ht="39.75" customHeight="1" x14ac:dyDescent="0.25">
      <c r="A49" s="183" t="s">
        <v>201</v>
      </c>
      <c r="B49" s="36" t="s">
        <v>66</v>
      </c>
      <c r="C49" s="508" t="s">
        <v>51</v>
      </c>
      <c r="D49" s="34" t="s">
        <v>256</v>
      </c>
      <c r="E49" s="34" t="s">
        <v>257</v>
      </c>
      <c r="F49" s="34" t="s">
        <v>258</v>
      </c>
      <c r="G49" s="34" t="s">
        <v>259</v>
      </c>
      <c r="H49" s="34" t="s">
        <v>260</v>
      </c>
      <c r="I49" s="507" t="s">
        <v>252</v>
      </c>
      <c r="J49" s="507" t="s">
        <v>253</v>
      </c>
      <c r="K49" s="507" t="s">
        <v>251</v>
      </c>
      <c r="L49" s="507" t="s">
        <v>389</v>
      </c>
      <c r="M49" s="507" t="s">
        <v>390</v>
      </c>
      <c r="N49" s="507" t="s">
        <v>391</v>
      </c>
      <c r="O49" s="507" t="s">
        <v>287</v>
      </c>
      <c r="P49" s="93" t="s">
        <v>329</v>
      </c>
      <c r="Q49" s="507" t="s">
        <v>340</v>
      </c>
    </row>
    <row r="50" spans="1:21" x14ac:dyDescent="0.25">
      <c r="A50" s="131">
        <v>9257010</v>
      </c>
      <c r="B50" s="38" t="s">
        <v>67</v>
      </c>
      <c r="C50" s="335">
        <v>3</v>
      </c>
      <c r="D50" s="232">
        <f>'Revised Band Returns'!F30</f>
        <v>0.40476190476190477</v>
      </c>
      <c r="E50" s="232">
        <f>'Revised Band Returns'!H30</f>
        <v>0.2857142857142857</v>
      </c>
      <c r="F50" s="232">
        <f>'Revised Band Returns'!J30</f>
        <v>0.11904761904761904</v>
      </c>
      <c r="G50" s="232">
        <f>'Revised Band Returns'!L30</f>
        <v>0.11904761904761904</v>
      </c>
      <c r="H50" s="232">
        <f>'Revised Band Returns'!N30</f>
        <v>7.1428571428571425E-2</v>
      </c>
      <c r="I50" s="233">
        <v>0</v>
      </c>
      <c r="J50" s="524">
        <v>39</v>
      </c>
      <c r="K50" s="233">
        <f>SUM(I50:J50)</f>
        <v>39</v>
      </c>
      <c r="L50" s="42">
        <f>((((I50*D50)*$G$92)+((I50*E50)*$G$94)+((I50*F50)*$G$96)+((I50*G50)*$G$98)+((I50*H50)*$G$100)))*(7/12)</f>
        <v>0</v>
      </c>
      <c r="M50" s="42">
        <f>((((J50*D50)*$G$92)+((J50*E50)*$G$94)+((J50*F50)*$G$96)+((J50*G50)*$G$98)+((J50*H50)*$G$100)))*(7/12)</f>
        <v>223015.45596402991</v>
      </c>
      <c r="N50" s="42">
        <f>((H50*K50)*$G$102)*(7/12)</f>
        <v>4281.9528198964508</v>
      </c>
      <c r="O50" s="42">
        <f>((((K50*D50)*$G$92)+((K50*E50)*$G$94)+((K50*F50)*$G$96)+((K50*G50)*$G$98)+((K50*H50)*$G$100)+((K50*H50)*$G$102)))*(7/12)</f>
        <v>227297.40878392637</v>
      </c>
      <c r="P50" s="414">
        <f>(K50*(7/12))*10000</f>
        <v>227500</v>
      </c>
      <c r="Q50" s="414">
        <f>(VLOOKUP(A50,'2016-17 Funding Detail'!$A$4:$X$23,21,FALSE)*7/12)*K50</f>
        <v>194031.58289465314</v>
      </c>
      <c r="R50" s="42"/>
      <c r="S50" s="42"/>
      <c r="T50" s="626" t="s">
        <v>402</v>
      </c>
      <c r="U50" s="625" t="s">
        <v>595</v>
      </c>
    </row>
    <row r="51" spans="1:21" x14ac:dyDescent="0.25">
      <c r="A51" s="131">
        <v>9257005</v>
      </c>
      <c r="B51" s="38" t="s">
        <v>68</v>
      </c>
      <c r="C51" s="335">
        <v>4</v>
      </c>
      <c r="D51" s="232">
        <f>'Revised Band Returns'!F31</f>
        <v>0.13157894736842105</v>
      </c>
      <c r="E51" s="232">
        <f>'Revised Band Returns'!H31</f>
        <v>0.35526315789473684</v>
      </c>
      <c r="F51" s="232">
        <f>'Revised Band Returns'!J31</f>
        <v>0.17105263157894737</v>
      </c>
      <c r="G51" s="232">
        <f>'Revised Band Returns'!L31</f>
        <v>0.14473684210526316</v>
      </c>
      <c r="H51" s="232">
        <f>'Revised Band Returns'!N31</f>
        <v>0.19736842105263158</v>
      </c>
      <c r="I51" s="233">
        <v>0</v>
      </c>
      <c r="J51" s="524">
        <v>45</v>
      </c>
      <c r="K51" s="233">
        <f t="shared" ref="K51:K67" si="10">SUM(I51:J51)</f>
        <v>45</v>
      </c>
      <c r="L51" s="42">
        <f t="shared" ref="L51:L67" si="11">((((I51*D51)*$G$92)+((I51*E51)*$G$94)+((I51*F51)*$G$96)+((I51*G51)*$G$98)+((I51*H51)*$G$100)))*(7/12)</f>
        <v>0</v>
      </c>
      <c r="M51" s="42">
        <f>((((J51*D51)*$G$92)+((J51*E51)*$G$94)+((J51*F51)*$G$96)+((J51*G51)*$G$98)+((J51*H51)*$G$100)))*(7/12)</f>
        <v>241961.09988250182</v>
      </c>
      <c r="N51" s="42">
        <f t="shared" ref="N51:N67" si="12">((H51*K51)*$G$102)*(7/12)</f>
        <v>13651.975083677955</v>
      </c>
      <c r="O51" s="42">
        <f t="shared" ref="O51:O67" si="13">((((K51*D51)*$G$92)+((K51*E51)*$G$94)+((K51*F51)*$G$96)+((K51*G51)*$G$98)+((K51*H51)*$G$100)+((K51*H51)*$G$102)))*(7/12)</f>
        <v>255613.07496617976</v>
      </c>
      <c r="P51" s="414">
        <f t="shared" ref="P51:P67" si="14">(K51*(7/12))*10000</f>
        <v>262500</v>
      </c>
      <c r="Q51" s="414">
        <f>(VLOOKUP(A51,'2016-17 Funding Detail'!$A$4:$X$23,21,FALSE)*7/12)*K51</f>
        <v>169605.95386513372</v>
      </c>
      <c r="R51" s="42"/>
      <c r="S51" s="42"/>
      <c r="T51" s="42"/>
    </row>
    <row r="52" spans="1:21" x14ac:dyDescent="0.25">
      <c r="A52" s="131">
        <v>9257025</v>
      </c>
      <c r="B52" s="38" t="s">
        <v>69</v>
      </c>
      <c r="C52" s="335">
        <v>4</v>
      </c>
      <c r="D52" s="232">
        <f>'Revised Band Returns'!F32</f>
        <v>0.26415094339622641</v>
      </c>
      <c r="E52" s="232">
        <f>'Revised Band Returns'!H32</f>
        <v>0.41509433962264153</v>
      </c>
      <c r="F52" s="232">
        <f>'Revised Band Returns'!J32</f>
        <v>5.6603773584905662E-2</v>
      </c>
      <c r="G52" s="232">
        <f>'Revised Band Returns'!L32</f>
        <v>5.6603773584905662E-2</v>
      </c>
      <c r="H52" s="232">
        <f>'Revised Band Returns'!N32</f>
        <v>0.20754716981132076</v>
      </c>
      <c r="I52" s="233">
        <v>0</v>
      </c>
      <c r="J52" s="524">
        <v>49</v>
      </c>
      <c r="K52" s="233">
        <f t="shared" si="10"/>
        <v>49</v>
      </c>
      <c r="L52" s="42">
        <f t="shared" si="11"/>
        <v>0</v>
      </c>
      <c r="M52" s="42">
        <f t="shared" ref="M52:M67" si="15">((((J52*D52)*$G$92)+((J52*E52)*$G$94)+((J52*F52)*$G$96)+((J52*G52)*$G$98)+((J52*H52)*$G$100)))*(7/12)</f>
        <v>273866.55635663867</v>
      </c>
      <c r="N52" s="42">
        <f t="shared" si="12"/>
        <v>15632.131581489413</v>
      </c>
      <c r="O52" s="42">
        <f t="shared" si="13"/>
        <v>289498.68793812807</v>
      </c>
      <c r="P52" s="414">
        <f t="shared" si="14"/>
        <v>285833.33333333337</v>
      </c>
      <c r="Q52" s="414">
        <f>(VLOOKUP(A52,'2016-17 Funding Detail'!$A$4:$X$23,21,FALSE)*7/12)*K52</f>
        <v>240460.14917991625</v>
      </c>
      <c r="R52" s="42"/>
      <c r="S52" s="42"/>
      <c r="T52" s="42"/>
    </row>
    <row r="53" spans="1:21" x14ac:dyDescent="0.25">
      <c r="A53" s="131">
        <v>9257011</v>
      </c>
      <c r="B53" s="38" t="s">
        <v>70</v>
      </c>
      <c r="C53" s="337">
        <v>4</v>
      </c>
      <c r="D53" s="232">
        <f>'Revised Band Returns'!F33</f>
        <v>0.4</v>
      </c>
      <c r="E53" s="232">
        <f>'Revised Band Returns'!H33</f>
        <v>0.42222222222222222</v>
      </c>
      <c r="F53" s="232">
        <f>'Revised Band Returns'!J33</f>
        <v>0</v>
      </c>
      <c r="G53" s="232">
        <f>'Revised Band Returns'!L33</f>
        <v>2.2222222222222223E-2</v>
      </c>
      <c r="H53" s="232">
        <f>'Revised Band Returns'!N33</f>
        <v>0.15555555555555556</v>
      </c>
      <c r="I53" s="233">
        <v>0</v>
      </c>
      <c r="J53" s="524">
        <v>47</v>
      </c>
      <c r="K53" s="233">
        <f t="shared" si="10"/>
        <v>47</v>
      </c>
      <c r="L53" s="42">
        <f t="shared" si="11"/>
        <v>0</v>
      </c>
      <c r="M53" s="42">
        <f t="shared" si="15"/>
        <v>270294.96638591285</v>
      </c>
      <c r="N53" s="42">
        <f t="shared" si="12"/>
        <v>11237.991275466125</v>
      </c>
      <c r="O53" s="42">
        <f t="shared" si="13"/>
        <v>281532.95766137895</v>
      </c>
      <c r="P53" s="414">
        <f t="shared" si="14"/>
        <v>274166.66666666669</v>
      </c>
      <c r="Q53" s="414">
        <f>(VLOOKUP(A53,'2016-17 Funding Detail'!$A$4:$X$23,21,FALSE)*7/12)*K53</f>
        <v>293752.7173670312</v>
      </c>
      <c r="R53" s="42"/>
      <c r="S53" s="42"/>
      <c r="T53" s="42"/>
    </row>
    <row r="54" spans="1:21" x14ac:dyDescent="0.25">
      <c r="A54" s="131">
        <v>9257024</v>
      </c>
      <c r="B54" s="38" t="s">
        <v>71</v>
      </c>
      <c r="C54" s="335">
        <v>3</v>
      </c>
      <c r="D54" s="232">
        <f>'Revised Band Returns'!F34</f>
        <v>0.2</v>
      </c>
      <c r="E54" s="232">
        <f>'Revised Band Returns'!H34</f>
        <v>0.5636363636363636</v>
      </c>
      <c r="F54" s="232">
        <f>'Revised Band Returns'!J34</f>
        <v>1.8181818181818181E-2</v>
      </c>
      <c r="G54" s="232">
        <f>'Revised Band Returns'!L34</f>
        <v>0.16363636363636364</v>
      </c>
      <c r="H54" s="232">
        <f>'Revised Band Returns'!N34</f>
        <v>5.4545454545454543E-2</v>
      </c>
      <c r="I54" s="233">
        <v>0</v>
      </c>
      <c r="J54" s="524">
        <v>45</v>
      </c>
      <c r="K54" s="233">
        <f t="shared" si="10"/>
        <v>45</v>
      </c>
      <c r="L54" s="42">
        <f t="shared" si="11"/>
        <v>0</v>
      </c>
      <c r="M54" s="42">
        <f t="shared" si="15"/>
        <v>240075.14977244587</v>
      </c>
      <c r="N54" s="42">
        <f t="shared" si="12"/>
        <v>3772.909477670999</v>
      </c>
      <c r="O54" s="42">
        <f t="shared" si="13"/>
        <v>243848.05925011684</v>
      </c>
      <c r="P54" s="414">
        <f t="shared" si="14"/>
        <v>262500</v>
      </c>
      <c r="Q54" s="414">
        <f>(VLOOKUP(A54,'2016-17 Funding Detail'!$A$4:$X$23,21,FALSE)*7/12)*K54</f>
        <v>168005.13524900534</v>
      </c>
      <c r="R54" s="42"/>
      <c r="S54" s="42"/>
      <c r="T54" s="42"/>
    </row>
    <row r="55" spans="1:21" x14ac:dyDescent="0.25">
      <c r="A55" s="131">
        <v>9257031</v>
      </c>
      <c r="B55" s="38" t="s">
        <v>98</v>
      </c>
      <c r="C55" s="337">
        <v>4</v>
      </c>
      <c r="D55" s="232">
        <f>'Revised Band Returns'!F35</f>
        <v>0</v>
      </c>
      <c r="E55" s="232">
        <f>'Revised Band Returns'!H35</f>
        <v>0</v>
      </c>
      <c r="F55" s="232">
        <f>'Revised Band Returns'!J35</f>
        <v>0</v>
      </c>
      <c r="G55" s="232">
        <f>'Revised Band Returns'!L35</f>
        <v>0</v>
      </c>
      <c r="H55" s="232">
        <f>'Revised Band Returns'!N35</f>
        <v>1</v>
      </c>
      <c r="I55" s="233">
        <v>0</v>
      </c>
      <c r="J55" s="524">
        <v>68</v>
      </c>
      <c r="K55" s="233">
        <f t="shared" si="10"/>
        <v>68</v>
      </c>
      <c r="L55" s="42">
        <f t="shared" si="11"/>
        <v>0</v>
      </c>
      <c r="M55" s="42">
        <f t="shared" si="15"/>
        <v>463783.48531117255</v>
      </c>
      <c r="N55" s="42">
        <f t="shared" si="12"/>
        <v>104523.56627029285</v>
      </c>
      <c r="O55" s="42">
        <f t="shared" si="13"/>
        <v>568307.05158146541</v>
      </c>
      <c r="P55" s="414">
        <f t="shared" si="14"/>
        <v>396666.66666666669</v>
      </c>
      <c r="Q55" s="414">
        <f>(VLOOKUP(A55,'2016-17 Funding Detail'!$A$4:$X$23,21,FALSE)*7/12)*K55</f>
        <v>432554.23126280023</v>
      </c>
      <c r="R55" s="42"/>
      <c r="S55" s="42"/>
      <c r="T55" s="42"/>
    </row>
    <row r="56" spans="1:21" x14ac:dyDescent="0.25">
      <c r="A56" s="131">
        <v>9257033</v>
      </c>
      <c r="B56" s="38" t="s">
        <v>72</v>
      </c>
      <c r="C56" s="335">
        <v>3</v>
      </c>
      <c r="D56" s="232">
        <f>'Revised Band Returns'!F36</f>
        <v>3.6363636363636362E-2</v>
      </c>
      <c r="E56" s="232">
        <f>'Revised Band Returns'!H36</f>
        <v>0.29090909090909089</v>
      </c>
      <c r="F56" s="232">
        <f>'Revised Band Returns'!J36</f>
        <v>0.27272727272727271</v>
      </c>
      <c r="G56" s="232">
        <f>'Revised Band Returns'!L36</f>
        <v>5.4545454545454543E-2</v>
      </c>
      <c r="H56" s="232">
        <f>'Revised Band Returns'!N36</f>
        <v>0.34545454545454546</v>
      </c>
      <c r="I56" s="233">
        <v>0</v>
      </c>
      <c r="J56" s="524">
        <v>57</v>
      </c>
      <c r="K56" s="233">
        <f t="shared" si="10"/>
        <v>57</v>
      </c>
      <c r="L56" s="42">
        <f t="shared" si="11"/>
        <v>0</v>
      </c>
      <c r="M56" s="42">
        <f t="shared" si="15"/>
        <v>297355.73774153297</v>
      </c>
      <c r="N56" s="42">
        <f t="shared" si="12"/>
        <v>30267.118254205125</v>
      </c>
      <c r="O56" s="42">
        <f t="shared" si="13"/>
        <v>327622.85599573806</v>
      </c>
      <c r="P56" s="414">
        <f t="shared" si="14"/>
        <v>332500</v>
      </c>
      <c r="Q56" s="414">
        <f>(VLOOKUP(A56,'2016-17 Funding Detail'!$A$4:$X$23,21,FALSE)*7/12)*K56</f>
        <v>221259.44428906526</v>
      </c>
      <c r="R56" s="42"/>
      <c r="S56" s="42"/>
      <c r="T56" s="42"/>
    </row>
    <row r="57" spans="1:21" x14ac:dyDescent="0.25">
      <c r="A57" s="131">
        <v>9257008</v>
      </c>
      <c r="B57" s="38" t="s">
        <v>73</v>
      </c>
      <c r="C57" s="335">
        <v>4</v>
      </c>
      <c r="D57" s="232">
        <f>'Revised Band Returns'!F37</f>
        <v>0</v>
      </c>
      <c r="E57" s="232">
        <f>'Revised Band Returns'!H37</f>
        <v>8.2352941176470587E-2</v>
      </c>
      <c r="F57" s="232">
        <f>'Revised Band Returns'!J37</f>
        <v>0.61176470588235299</v>
      </c>
      <c r="G57" s="232">
        <f>'Revised Band Returns'!L37</f>
        <v>2.3529411764705882E-2</v>
      </c>
      <c r="H57" s="232">
        <f>'Revised Band Returns'!N37</f>
        <v>0.28235294117647058</v>
      </c>
      <c r="I57" s="233">
        <v>0</v>
      </c>
      <c r="J57" s="524">
        <v>90</v>
      </c>
      <c r="K57" s="233">
        <f t="shared" si="10"/>
        <v>90</v>
      </c>
      <c r="L57" s="42">
        <f t="shared" si="11"/>
        <v>0</v>
      </c>
      <c r="M57" s="42">
        <f t="shared" si="15"/>
        <v>420072.39061269845</v>
      </c>
      <c r="N57" s="42">
        <f t="shared" si="12"/>
        <v>39060.709886476216</v>
      </c>
      <c r="O57" s="42">
        <f t="shared" si="13"/>
        <v>459133.10049917467</v>
      </c>
      <c r="P57" s="414">
        <f t="shared" si="14"/>
        <v>525000</v>
      </c>
      <c r="Q57" s="414">
        <f>(VLOOKUP(A57,'2016-17 Funding Detail'!$A$4:$X$23,21,FALSE)*7/12)*K57</f>
        <v>233471.86504895071</v>
      </c>
      <c r="R57" s="42"/>
      <c r="S57" s="42"/>
      <c r="T57" s="42"/>
    </row>
    <row r="58" spans="1:21" x14ac:dyDescent="0.25">
      <c r="A58" s="131">
        <v>9257034</v>
      </c>
      <c r="B58" s="38" t="s">
        <v>74</v>
      </c>
      <c r="C58" s="335">
        <v>5</v>
      </c>
      <c r="D58" s="232">
        <f>'Revised Band Returns'!F38</f>
        <v>7.0866141732283464E-2</v>
      </c>
      <c r="E58" s="232">
        <f>'Revised Band Returns'!H38</f>
        <v>0.16535433070866143</v>
      </c>
      <c r="F58" s="232">
        <f>'Revised Band Returns'!J38</f>
        <v>0.51968503937007871</v>
      </c>
      <c r="G58" s="232">
        <f>'Revised Band Returns'!L38</f>
        <v>3.937007874015748E-2</v>
      </c>
      <c r="H58" s="232">
        <f>'Revised Band Returns'!N38</f>
        <v>0.20472440944881889</v>
      </c>
      <c r="I58" s="233">
        <v>0</v>
      </c>
      <c r="J58" s="524">
        <v>89</v>
      </c>
      <c r="K58" s="233">
        <f t="shared" si="10"/>
        <v>89</v>
      </c>
      <c r="L58" s="42">
        <f t="shared" si="11"/>
        <v>0</v>
      </c>
      <c r="M58" s="42">
        <f t="shared" si="15"/>
        <v>422740.50202847278</v>
      </c>
      <c r="N58" s="42">
        <f t="shared" si="12"/>
        <v>28006.893509663922</v>
      </c>
      <c r="O58" s="42">
        <f t="shared" si="13"/>
        <v>450747.39553813671</v>
      </c>
      <c r="P58" s="414">
        <f t="shared" si="14"/>
        <v>519166.66666666669</v>
      </c>
      <c r="Q58" s="414">
        <f>(VLOOKUP(A58,'2016-17 Funding Detail'!$A$4:$X$23,21,FALSE)*7/12)*K58</f>
        <v>164835.14327648946</v>
      </c>
      <c r="R58" s="42"/>
      <c r="S58" s="42"/>
      <c r="T58" s="42"/>
    </row>
    <row r="59" spans="1:21" x14ac:dyDescent="0.25">
      <c r="A59" s="131">
        <v>9257002</v>
      </c>
      <c r="B59" s="38" t="s">
        <v>75</v>
      </c>
      <c r="C59" s="337">
        <v>5</v>
      </c>
      <c r="D59" s="232">
        <f>'Revised Band Returns'!F39</f>
        <v>8.4033613445378148E-3</v>
      </c>
      <c r="E59" s="232">
        <f>'Revised Band Returns'!H39</f>
        <v>0.27731092436974791</v>
      </c>
      <c r="F59" s="232">
        <f>'Revised Band Returns'!J39</f>
        <v>0.59663865546218486</v>
      </c>
      <c r="G59" s="232">
        <f>'Revised Band Returns'!L39</f>
        <v>2.5210084033613446E-2</v>
      </c>
      <c r="H59" s="232">
        <f>'Revised Band Returns'!N39</f>
        <v>9.2436974789915971E-2</v>
      </c>
      <c r="I59" s="233">
        <v>0</v>
      </c>
      <c r="J59" s="524">
        <v>125</v>
      </c>
      <c r="K59" s="233">
        <f t="shared" si="10"/>
        <v>125</v>
      </c>
      <c r="L59" s="42">
        <f t="shared" si="11"/>
        <v>0</v>
      </c>
      <c r="M59" s="42">
        <f t="shared" si="15"/>
        <v>527720.24069518573</v>
      </c>
      <c r="N59" s="42">
        <f t="shared" si="12"/>
        <v>17760.73944904259</v>
      </c>
      <c r="O59" s="42">
        <f t="shared" si="13"/>
        <v>545480.98014422832</v>
      </c>
      <c r="P59" s="414">
        <f t="shared" si="14"/>
        <v>729166.66666666674</v>
      </c>
      <c r="Q59" s="414">
        <f>(VLOOKUP(A59,'2016-17 Funding Detail'!$A$4:$X$23,21,FALSE)*7/12)*K59</f>
        <v>143293.48266550325</v>
      </c>
      <c r="R59" s="42"/>
      <c r="S59" s="42"/>
      <c r="T59" s="42"/>
    </row>
    <row r="60" spans="1:21" x14ac:dyDescent="0.25">
      <c r="A60" s="131">
        <v>9257009</v>
      </c>
      <c r="B60" s="38" t="s">
        <v>76</v>
      </c>
      <c r="C60" s="335">
        <v>4</v>
      </c>
      <c r="D60" s="232">
        <f>'Revised Band Returns'!F40</f>
        <v>0</v>
      </c>
      <c r="E60" s="232">
        <f>'Revised Band Returns'!H40</f>
        <v>0.14615384615384616</v>
      </c>
      <c r="F60" s="232">
        <f>'Revised Band Returns'!J40</f>
        <v>0.7</v>
      </c>
      <c r="G60" s="232">
        <f>'Revised Band Returns'!L40</f>
        <v>1.5384615384615385E-2</v>
      </c>
      <c r="H60" s="232">
        <f>'Revised Band Returns'!N40</f>
        <v>0.13846153846153847</v>
      </c>
      <c r="I60" s="233">
        <v>0</v>
      </c>
      <c r="J60" s="524">
        <v>128</v>
      </c>
      <c r="K60" s="233">
        <f t="shared" si="10"/>
        <v>128</v>
      </c>
      <c r="L60" s="42">
        <f t="shared" si="11"/>
        <v>0</v>
      </c>
      <c r="M60" s="42">
        <f t="shared" si="15"/>
        <v>540857.78627634153</v>
      </c>
      <c r="N60" s="42">
        <f t="shared" si="12"/>
        <v>27242.341254157775</v>
      </c>
      <c r="O60" s="42">
        <f t="shared" si="13"/>
        <v>568100.12753049936</v>
      </c>
      <c r="P60" s="414">
        <f t="shared" si="14"/>
        <v>746666.66666666674</v>
      </c>
      <c r="Q60" s="414">
        <f>(VLOOKUP(A60,'2016-17 Funding Detail'!$A$4:$X$23,21,FALSE)*7/12)*K60</f>
        <v>117363.67979879417</v>
      </c>
      <c r="R60" s="42"/>
      <c r="S60" s="42"/>
      <c r="T60" s="42"/>
    </row>
    <row r="61" spans="1:21" x14ac:dyDescent="0.25">
      <c r="A61" s="131">
        <v>9257029</v>
      </c>
      <c r="B61" s="38" t="s">
        <v>99</v>
      </c>
      <c r="C61" s="335">
        <v>3</v>
      </c>
      <c r="D61" s="232">
        <f>'Revised Band Returns'!F41</f>
        <v>0</v>
      </c>
      <c r="E61" s="232">
        <f>'Revised Band Returns'!H41</f>
        <v>0</v>
      </c>
      <c r="F61" s="232">
        <f>'Revised Band Returns'!J41</f>
        <v>0</v>
      </c>
      <c r="G61" s="232">
        <f>'Revised Band Returns'!L41</f>
        <v>0</v>
      </c>
      <c r="H61" s="232">
        <f>'Revised Band Returns'!N41</f>
        <v>1</v>
      </c>
      <c r="I61" s="233">
        <v>0</v>
      </c>
      <c r="J61" s="524">
        <v>44</v>
      </c>
      <c r="K61" s="233">
        <f t="shared" si="10"/>
        <v>44</v>
      </c>
      <c r="L61" s="42">
        <f t="shared" si="11"/>
        <v>0</v>
      </c>
      <c r="M61" s="42">
        <f t="shared" si="15"/>
        <v>300095.19637781754</v>
      </c>
      <c r="N61" s="42">
        <f t="shared" si="12"/>
        <v>67632.895821954196</v>
      </c>
      <c r="O61" s="42">
        <f t="shared" si="13"/>
        <v>367728.09219977172</v>
      </c>
      <c r="P61" s="414">
        <f t="shared" si="14"/>
        <v>256666.66666666669</v>
      </c>
      <c r="Q61" s="414">
        <f>(VLOOKUP(A61,'2016-17 Funding Detail'!$A$4:$X$23,21,FALSE)*7/12)*K61</f>
        <v>296101.25664976641</v>
      </c>
      <c r="R61" s="42"/>
      <c r="S61" s="42"/>
      <c r="T61" s="42"/>
    </row>
    <row r="62" spans="1:21" x14ac:dyDescent="0.25">
      <c r="A62" s="131">
        <v>9257032</v>
      </c>
      <c r="B62" s="38" t="s">
        <v>100</v>
      </c>
      <c r="C62" s="335">
        <v>4</v>
      </c>
      <c r="D62" s="232">
        <f>'Revised Band Returns'!F42</f>
        <v>0</v>
      </c>
      <c r="E62" s="232">
        <f>'Revised Band Returns'!H42</f>
        <v>0</v>
      </c>
      <c r="F62" s="232">
        <f>'Revised Band Returns'!J42</f>
        <v>0</v>
      </c>
      <c r="G62" s="232">
        <f>'Revised Band Returns'!L42</f>
        <v>0</v>
      </c>
      <c r="H62" s="232">
        <f>'Revised Band Returns'!N42</f>
        <v>1</v>
      </c>
      <c r="I62" s="233">
        <v>0</v>
      </c>
      <c r="J62" s="524">
        <v>60</v>
      </c>
      <c r="K62" s="233">
        <f t="shared" si="10"/>
        <v>60</v>
      </c>
      <c r="L62" s="42">
        <f t="shared" si="11"/>
        <v>0</v>
      </c>
      <c r="M62" s="42">
        <f t="shared" si="15"/>
        <v>409220.72233338753</v>
      </c>
      <c r="N62" s="42">
        <f t="shared" si="12"/>
        <v>92226.67612084662</v>
      </c>
      <c r="O62" s="42">
        <f t="shared" si="13"/>
        <v>501447.39845423424</v>
      </c>
      <c r="P62" s="414">
        <f t="shared" si="14"/>
        <v>350000</v>
      </c>
      <c r="Q62" s="414">
        <f>(VLOOKUP(A62,'2016-17 Funding Detail'!$A$4:$X$23,21,FALSE)*7/12)*K62</f>
        <v>398598.05092751002</v>
      </c>
      <c r="R62" s="42"/>
      <c r="S62" s="42"/>
      <c r="T62" s="42"/>
    </row>
    <row r="63" spans="1:21" x14ac:dyDescent="0.25">
      <c r="A63" s="131">
        <v>9257030</v>
      </c>
      <c r="B63" s="38" t="s">
        <v>92</v>
      </c>
      <c r="C63" s="335">
        <v>4</v>
      </c>
      <c r="D63" s="232">
        <f>'Revised Band Returns'!F43</f>
        <v>0</v>
      </c>
      <c r="E63" s="232">
        <f>'Revised Band Returns'!H43</f>
        <v>0</v>
      </c>
      <c r="F63" s="232">
        <f>'Revised Band Returns'!J43</f>
        <v>0</v>
      </c>
      <c r="G63" s="232">
        <f>'Revised Band Returns'!L43</f>
        <v>0</v>
      </c>
      <c r="H63" s="232">
        <f>'Revised Band Returns'!N43</f>
        <v>1</v>
      </c>
      <c r="I63" s="233">
        <v>0</v>
      </c>
      <c r="J63" s="524">
        <v>65</v>
      </c>
      <c r="K63" s="233">
        <f t="shared" si="10"/>
        <v>65</v>
      </c>
      <c r="L63" s="42">
        <f t="shared" si="11"/>
        <v>0</v>
      </c>
      <c r="M63" s="42">
        <f t="shared" si="15"/>
        <v>443322.44919450319</v>
      </c>
      <c r="N63" s="42">
        <f t="shared" si="12"/>
        <v>99912.232464250512</v>
      </c>
      <c r="O63" s="42">
        <f t="shared" si="13"/>
        <v>543234.68165875366</v>
      </c>
      <c r="P63" s="414">
        <f t="shared" si="14"/>
        <v>379166.66666666669</v>
      </c>
      <c r="Q63" s="414">
        <f>(VLOOKUP(A63,'2016-17 Funding Detail'!$A$4:$X$23,21,FALSE)*7/12)*K63</f>
        <v>434311.64339571173</v>
      </c>
      <c r="R63" s="42"/>
      <c r="S63" s="42"/>
      <c r="T63" s="42"/>
    </row>
    <row r="64" spans="1:21" x14ac:dyDescent="0.25">
      <c r="A64" s="131">
        <v>9257028</v>
      </c>
      <c r="B64" s="38" t="s">
        <v>77</v>
      </c>
      <c r="C64" s="337">
        <v>5</v>
      </c>
      <c r="D64" s="232">
        <f>'Revised Band Returns'!F44</f>
        <v>0.23943661971830985</v>
      </c>
      <c r="E64" s="232">
        <f>'Revised Band Returns'!H44</f>
        <v>0.3380281690140845</v>
      </c>
      <c r="F64" s="232">
        <f>'Revised Band Returns'!J44</f>
        <v>0</v>
      </c>
      <c r="G64" s="232">
        <f>'Revised Band Returns'!L44</f>
        <v>0.18309859154929578</v>
      </c>
      <c r="H64" s="232">
        <f>'Revised Band Returns'!N44</f>
        <v>0.23943661971830985</v>
      </c>
      <c r="I64" s="523">
        <v>0</v>
      </c>
      <c r="J64" s="524">
        <v>53</v>
      </c>
      <c r="K64" s="233">
        <f t="shared" si="10"/>
        <v>53</v>
      </c>
      <c r="L64" s="42">
        <f t="shared" si="11"/>
        <v>0</v>
      </c>
      <c r="M64" s="42">
        <f t="shared" si="15"/>
        <v>316102.61474383785</v>
      </c>
      <c r="N64" s="42">
        <f t="shared" si="12"/>
        <v>19506.158494103944</v>
      </c>
      <c r="O64" s="42">
        <f t="shared" si="13"/>
        <v>335608.77323794179</v>
      </c>
      <c r="P64" s="414">
        <f t="shared" si="14"/>
        <v>309166.66666666669</v>
      </c>
      <c r="Q64" s="414">
        <f>(VLOOKUP(A64,'2016-17 Funding Detail'!$A$4:$X$23,21,FALSE)*7/12)*K64</f>
        <v>268291.07700905058</v>
      </c>
      <c r="R64" s="42"/>
      <c r="S64" s="42"/>
      <c r="T64" s="42"/>
    </row>
    <row r="65" spans="1:21" x14ac:dyDescent="0.25">
      <c r="A65" s="131">
        <v>9257021</v>
      </c>
      <c r="B65" s="38" t="s">
        <v>78</v>
      </c>
      <c r="C65" s="337">
        <v>5</v>
      </c>
      <c r="D65" s="232">
        <f>'Revised Band Returns'!F45</f>
        <v>0</v>
      </c>
      <c r="E65" s="232">
        <f>'Revised Band Returns'!H45</f>
        <v>9.8591549295774641E-2</v>
      </c>
      <c r="F65" s="232">
        <f>'Revised Band Returns'!J45</f>
        <v>0.71830985915492962</v>
      </c>
      <c r="G65" s="232">
        <f>'Revised Band Returns'!L45</f>
        <v>4.2253521126760563E-2</v>
      </c>
      <c r="H65" s="232">
        <f>'Revised Band Returns'!N45</f>
        <v>0.14084507042253522</v>
      </c>
      <c r="I65" s="233">
        <v>0</v>
      </c>
      <c r="J65" s="524">
        <v>154</v>
      </c>
      <c r="K65" s="233">
        <f t="shared" si="10"/>
        <v>154</v>
      </c>
      <c r="L65" s="42">
        <f t="shared" si="11"/>
        <v>0</v>
      </c>
      <c r="M65" s="42">
        <f t="shared" si="15"/>
        <v>660309.42901847372</v>
      </c>
      <c r="N65" s="42">
        <f t="shared" si="12"/>
        <v>33340.159912230942</v>
      </c>
      <c r="O65" s="42">
        <f t="shared" si="13"/>
        <v>693649.58893070475</v>
      </c>
      <c r="P65" s="414">
        <f t="shared" si="14"/>
        <v>898333.33333333337</v>
      </c>
      <c r="Q65" s="414">
        <f>(VLOOKUP(A65,'2016-17 Funding Detail'!$A$4:$X$23,21,FALSE)*7/12)*K65</f>
        <v>135437.19122585517</v>
      </c>
      <c r="R65" s="42"/>
      <c r="S65" s="42"/>
      <c r="T65" s="42"/>
    </row>
    <row r="66" spans="1:21" x14ac:dyDescent="0.25">
      <c r="A66" s="131">
        <v>9257015</v>
      </c>
      <c r="B66" s="38" t="s">
        <v>55</v>
      </c>
      <c r="C66" s="335">
        <v>6</v>
      </c>
      <c r="D66" s="232">
        <f>'Revised Band Returns'!F46</f>
        <v>6.0483870967741937E-2</v>
      </c>
      <c r="E66" s="232">
        <f>'Revised Band Returns'!H46</f>
        <v>0.22177419354838709</v>
      </c>
      <c r="F66" s="232">
        <f>'Revised Band Returns'!J46</f>
        <v>0.65322580645161288</v>
      </c>
      <c r="G66" s="232">
        <f>'Revised Band Returns'!L46</f>
        <v>0</v>
      </c>
      <c r="H66" s="232">
        <f>'Revised Band Returns'!N46</f>
        <v>6.4516129032258063E-2</v>
      </c>
      <c r="I66" s="233">
        <v>0</v>
      </c>
      <c r="J66" s="524">
        <v>263</v>
      </c>
      <c r="K66" s="233">
        <f t="shared" si="10"/>
        <v>263</v>
      </c>
      <c r="L66" s="42">
        <f t="shared" si="11"/>
        <v>0</v>
      </c>
      <c r="M66" s="42">
        <f t="shared" si="15"/>
        <v>1100018.4183062098</v>
      </c>
      <c r="N66" s="42">
        <f t="shared" si="12"/>
        <v>26081.307333099638</v>
      </c>
      <c r="O66" s="42">
        <f t="shared" si="13"/>
        <v>1126099.7256393095</v>
      </c>
      <c r="P66" s="414">
        <f t="shared" si="14"/>
        <v>1534166.6666666667</v>
      </c>
      <c r="Q66" s="414">
        <f>(VLOOKUP(A66,'2016-17 Funding Detail'!$A$4:$X$23,21,FALSE)*7/12)*K66</f>
        <v>0</v>
      </c>
      <c r="R66" s="42"/>
      <c r="S66" s="42"/>
      <c r="T66" s="42"/>
    </row>
    <row r="67" spans="1:21" x14ac:dyDescent="0.25">
      <c r="A67" s="131">
        <v>9257016</v>
      </c>
      <c r="B67" s="38" t="s">
        <v>80</v>
      </c>
      <c r="C67" s="336">
        <v>6</v>
      </c>
      <c r="D67" s="232">
        <f>'Revised Band Returns'!F47</f>
        <v>0.50370370370370365</v>
      </c>
      <c r="E67" s="232">
        <f>'Revised Band Returns'!H47</f>
        <v>0</v>
      </c>
      <c r="F67" s="232">
        <f>'Revised Band Returns'!J47</f>
        <v>0.28888888888888886</v>
      </c>
      <c r="G67" s="232">
        <f>'Revised Band Returns'!L47</f>
        <v>0.2074074074074074</v>
      </c>
      <c r="H67" s="232">
        <f>'Revised Band Returns'!N47</f>
        <v>0</v>
      </c>
      <c r="I67" s="233">
        <v>0</v>
      </c>
      <c r="J67" s="524">
        <v>97</v>
      </c>
      <c r="K67" s="233">
        <f t="shared" si="10"/>
        <v>97</v>
      </c>
      <c r="L67" s="42">
        <f t="shared" si="11"/>
        <v>0</v>
      </c>
      <c r="M67" s="42">
        <f t="shared" si="15"/>
        <v>572514.03800612036</v>
      </c>
      <c r="N67" s="42">
        <f t="shared" si="12"/>
        <v>0</v>
      </c>
      <c r="O67" s="42">
        <f t="shared" si="13"/>
        <v>572514.03800612036</v>
      </c>
      <c r="P67" s="414">
        <f t="shared" si="14"/>
        <v>565833.33333333337</v>
      </c>
      <c r="Q67" s="414">
        <f>(VLOOKUP(A67,'2016-17 Funding Detail'!$A$4:$X$23,21,FALSE)*7/12)*K67</f>
        <v>359698.21370479133</v>
      </c>
      <c r="R67" s="628" t="s">
        <v>402</v>
      </c>
      <c r="S67" s="42"/>
      <c r="T67" s="42"/>
    </row>
    <row r="68" spans="1:21" x14ac:dyDescent="0.25">
      <c r="B68" s="50"/>
      <c r="C68" s="50"/>
      <c r="H68" s="628" t="s">
        <v>402</v>
      </c>
      <c r="I68" s="628" t="s">
        <v>402</v>
      </c>
      <c r="K68" s="628" t="s">
        <v>402</v>
      </c>
      <c r="O68" s="628" t="s">
        <v>402</v>
      </c>
    </row>
    <row r="69" spans="1:21" ht="13" x14ac:dyDescent="0.3">
      <c r="A69" s="230" t="s">
        <v>292</v>
      </c>
      <c r="B69" s="50"/>
      <c r="C69" s="50"/>
    </row>
    <row r="70" spans="1:21" x14ac:dyDescent="0.25">
      <c r="B70" s="50"/>
      <c r="C70" s="50"/>
      <c r="M70" s="1893" t="s">
        <v>332</v>
      </c>
      <c r="N70" s="1894"/>
    </row>
    <row r="71" spans="1:21" ht="37.5" x14ac:dyDescent="0.25">
      <c r="A71" s="183" t="s">
        <v>201</v>
      </c>
      <c r="B71" s="36" t="s">
        <v>66</v>
      </c>
      <c r="C71" s="508" t="s">
        <v>51</v>
      </c>
      <c r="D71" s="34" t="s">
        <v>256</v>
      </c>
      <c r="E71" s="34" t="s">
        <v>257</v>
      </c>
      <c r="F71" s="34" t="s">
        <v>258</v>
      </c>
      <c r="G71" s="34" t="s">
        <v>259</v>
      </c>
      <c r="H71" s="34" t="s">
        <v>260</v>
      </c>
      <c r="I71" s="507" t="s">
        <v>185</v>
      </c>
      <c r="J71" s="507" t="s">
        <v>289</v>
      </c>
      <c r="K71" s="507" t="s">
        <v>392</v>
      </c>
      <c r="L71" s="507" t="s">
        <v>289</v>
      </c>
      <c r="M71" s="507" t="s">
        <v>330</v>
      </c>
      <c r="N71" s="507" t="s">
        <v>341</v>
      </c>
      <c r="O71" s="507"/>
      <c r="P71" s="507"/>
      <c r="Q71" s="507"/>
    </row>
    <row r="72" spans="1:21" x14ac:dyDescent="0.25">
      <c r="A72" s="185">
        <v>9257010</v>
      </c>
      <c r="B72" s="38" t="s">
        <v>67</v>
      </c>
      <c r="C72" s="335">
        <v>3</v>
      </c>
      <c r="D72" s="49">
        <f>'Revised Band Returns'!F30</f>
        <v>0.40476190476190477</v>
      </c>
      <c r="E72" s="49">
        <f>'Revised Band Returns'!H30</f>
        <v>0.2857142857142857</v>
      </c>
      <c r="F72" s="49">
        <f>'Revised Band Returns'!J30</f>
        <v>0.11904761904761904</v>
      </c>
      <c r="G72" s="49">
        <f>'Revised Band Returns'!L30</f>
        <v>0.11904761904761904</v>
      </c>
      <c r="H72" s="49">
        <f>'Revised Band Returns'!N30</f>
        <v>7.1428571428571425E-2</v>
      </c>
      <c r="I72" s="524">
        <v>10</v>
      </c>
      <c r="J72" s="42">
        <f>(((I72*D72)*$G$92)+((I72*E72)*$G$94)+((I72*F72)*$G$96)+((I72*G72)*$G$98)+((I72*H72)*$G$100))*(8/12)</f>
        <v>65352.514568213875</v>
      </c>
      <c r="K72" s="42">
        <f>((H72*I72)*$G$102)*(8/12)</f>
        <v>1254.7847091271647</v>
      </c>
      <c r="L72" s="42">
        <f>SUM(J72:K72)</f>
        <v>66607.299277341037</v>
      </c>
      <c r="M72" s="414">
        <f>(I72*(8/12))*10000</f>
        <v>66666.666666666657</v>
      </c>
      <c r="N72" s="414">
        <f>(VLOOKUP(A72,'2016-17 Funding Detail'!$A$4:$X$23,21,FALSE)*8/12)*I72</f>
        <v>56859.071910521059</v>
      </c>
      <c r="O72" s="80"/>
      <c r="P72" s="42"/>
      <c r="Q72" s="168"/>
      <c r="R72" s="348"/>
      <c r="T72" s="626" t="s">
        <v>402</v>
      </c>
      <c r="U72" s="625" t="s">
        <v>594</v>
      </c>
    </row>
    <row r="73" spans="1:21" x14ac:dyDescent="0.25">
      <c r="A73" s="185">
        <v>9257005</v>
      </c>
      <c r="B73" s="38" t="s">
        <v>68</v>
      </c>
      <c r="C73" s="335">
        <v>4</v>
      </c>
      <c r="D73" s="49">
        <f>'Revised Band Returns'!F31</f>
        <v>0.13157894736842105</v>
      </c>
      <c r="E73" s="49">
        <f>'Revised Band Returns'!H31</f>
        <v>0.35526315789473684</v>
      </c>
      <c r="F73" s="49">
        <f>'Revised Band Returns'!J31</f>
        <v>0.17105263157894737</v>
      </c>
      <c r="G73" s="49">
        <f>'Revised Band Returns'!L31</f>
        <v>0.14473684210526316</v>
      </c>
      <c r="H73" s="49">
        <f>'Revised Band Returns'!N31</f>
        <v>0.19736842105263158</v>
      </c>
      <c r="I73" s="524">
        <v>29</v>
      </c>
      <c r="J73" s="42">
        <f t="shared" ref="J73:J89" si="16">(((I73*D73)*$G$92)+((I73*E73)*$G$94)+((I73*F73)*$G$96)+((I73*G73)*$G$98)+((I73*H73)*$G$100))*(8/12)</f>
        <v>178206.27038965214</v>
      </c>
      <c r="K73" s="42">
        <f t="shared" ref="K73:K89" si="17">((H73*I73)*$G$102)*(8/12)</f>
        <v>10054.787998137414</v>
      </c>
      <c r="L73" s="42">
        <f>SUM(J73:K73)</f>
        <v>188261.05838778956</v>
      </c>
      <c r="M73" s="414">
        <f t="shared" ref="M73:M89" si="18">(I73*(8/12))*10000</f>
        <v>193333.33333333331</v>
      </c>
      <c r="N73" s="414">
        <f>(VLOOKUP(A73,'2016-17 Funding Detail'!$A$4:$X$23,21,FALSE)*8/12)*I73</f>
        <v>124916.13110066993</v>
      </c>
      <c r="O73" s="80"/>
      <c r="P73" s="42"/>
      <c r="Q73" s="168"/>
      <c r="R73" s="348"/>
    </row>
    <row r="74" spans="1:21" x14ac:dyDescent="0.25">
      <c r="A74" s="185">
        <v>9257025</v>
      </c>
      <c r="B74" s="38" t="s">
        <v>69</v>
      </c>
      <c r="C74" s="335">
        <v>4</v>
      </c>
      <c r="D74" s="49">
        <f>'Revised Band Returns'!F32</f>
        <v>0.26415094339622641</v>
      </c>
      <c r="E74" s="49">
        <f>'Revised Band Returns'!H32</f>
        <v>0.41509433962264153</v>
      </c>
      <c r="F74" s="49">
        <f>'Revised Band Returns'!J32</f>
        <v>5.6603773584905662E-2</v>
      </c>
      <c r="G74" s="49">
        <f>'Revised Band Returns'!L32</f>
        <v>5.6603773584905662E-2</v>
      </c>
      <c r="H74" s="49">
        <f>'Revised Band Returns'!N32</f>
        <v>0.20754716981132076</v>
      </c>
      <c r="I74" s="524">
        <v>13</v>
      </c>
      <c r="J74" s="42">
        <f t="shared" si="16"/>
        <v>83038.256154782546</v>
      </c>
      <c r="K74" s="42">
        <f t="shared" si="17"/>
        <v>4739.7716748539324</v>
      </c>
      <c r="L74" s="42">
        <f t="shared" ref="L74:L89" si="19">SUM(J74:K74)</f>
        <v>87778.027829636485</v>
      </c>
      <c r="M74" s="414">
        <f t="shared" si="18"/>
        <v>86666.666666666657</v>
      </c>
      <c r="N74" s="414">
        <f>(VLOOKUP(A74,'2016-17 Funding Detail'!$A$4:$X$23,21,FALSE)*8/12)*I74</f>
        <v>72909.199751344873</v>
      </c>
      <c r="O74" s="80"/>
      <c r="P74" s="42"/>
      <c r="Q74" s="168"/>
      <c r="R74" s="348"/>
    </row>
    <row r="75" spans="1:21" x14ac:dyDescent="0.25">
      <c r="A75" s="185">
        <v>9257011</v>
      </c>
      <c r="B75" s="38" t="s">
        <v>70</v>
      </c>
      <c r="C75" s="337">
        <v>4</v>
      </c>
      <c r="D75" s="49">
        <f>'Revised Band Returns'!F33</f>
        <v>0.4</v>
      </c>
      <c r="E75" s="49">
        <f>'Revised Band Returns'!H33</f>
        <v>0.42222222222222222</v>
      </c>
      <c r="F75" s="49">
        <f>'Revised Band Returns'!J33</f>
        <v>0</v>
      </c>
      <c r="G75" s="49">
        <f>'Revised Band Returns'!L33</f>
        <v>2.2222222222222223E-2</v>
      </c>
      <c r="H75" s="49">
        <f>'Revised Band Returns'!N33</f>
        <v>0.15555555555555556</v>
      </c>
      <c r="I75" s="524">
        <v>3</v>
      </c>
      <c r="J75" s="42">
        <f t="shared" si="16"/>
        <v>19717.56593696629</v>
      </c>
      <c r="K75" s="42">
        <f t="shared" si="17"/>
        <v>819.7926766297478</v>
      </c>
      <c r="L75" s="42">
        <f t="shared" si="19"/>
        <v>20537.358613596036</v>
      </c>
      <c r="M75" s="414">
        <f t="shared" si="18"/>
        <v>20000</v>
      </c>
      <c r="N75" s="414">
        <f>(VLOOKUP(A75,'2016-17 Funding Detail'!$A$4:$X$23,21,FALSE)*8/12)*I75</f>
        <v>21428.769655953642</v>
      </c>
      <c r="O75" s="80"/>
      <c r="P75" s="42"/>
      <c r="Q75" s="168"/>
      <c r="R75" s="348"/>
    </row>
    <row r="76" spans="1:21" x14ac:dyDescent="0.25">
      <c r="A76" s="185">
        <v>9257024</v>
      </c>
      <c r="B76" s="38" t="s">
        <v>71</v>
      </c>
      <c r="C76" s="335">
        <v>3</v>
      </c>
      <c r="D76" s="49">
        <f>'Revised Band Returns'!F34</f>
        <v>0.2</v>
      </c>
      <c r="E76" s="49">
        <f>'Revised Band Returns'!H34</f>
        <v>0.5636363636363636</v>
      </c>
      <c r="F76" s="49">
        <f>'Revised Band Returns'!J34</f>
        <v>1.8181818181818181E-2</v>
      </c>
      <c r="G76" s="49">
        <f>'Revised Band Returns'!L34</f>
        <v>0.16363636363636364</v>
      </c>
      <c r="H76" s="49">
        <f>'Revised Band Returns'!N34</f>
        <v>5.4545454545454543E-2</v>
      </c>
      <c r="I76" s="524">
        <v>13</v>
      </c>
      <c r="J76" s="42">
        <f t="shared" si="16"/>
        <v>79262.90659153767</v>
      </c>
      <c r="K76" s="42">
        <f t="shared" si="17"/>
        <v>1245.6590021516945</v>
      </c>
      <c r="L76" s="42">
        <f t="shared" si="19"/>
        <v>80508.56559368936</v>
      </c>
      <c r="M76" s="414">
        <f t="shared" si="18"/>
        <v>86666.666666666657</v>
      </c>
      <c r="N76" s="414">
        <f>(VLOOKUP(A76,'2016-17 Funding Detail'!$A$4:$X$23,21,FALSE)*8/12)*I76</f>
        <v>55468.362113957315</v>
      </c>
      <c r="O76" s="80"/>
      <c r="P76" s="42"/>
      <c r="Q76" s="168"/>
      <c r="R76" s="348"/>
    </row>
    <row r="77" spans="1:21" x14ac:dyDescent="0.25">
      <c r="A77" s="185">
        <v>9257031</v>
      </c>
      <c r="B77" s="38" t="s">
        <v>98</v>
      </c>
      <c r="C77" s="337">
        <v>4</v>
      </c>
      <c r="D77" s="49">
        <f>'Revised Band Returns'!F35</f>
        <v>0</v>
      </c>
      <c r="E77" s="49">
        <f>'Revised Band Returns'!H35</f>
        <v>0</v>
      </c>
      <c r="F77" s="49">
        <f>'Revised Band Returns'!J35</f>
        <v>0</v>
      </c>
      <c r="G77" s="49">
        <f>'Revised Band Returns'!L35</f>
        <v>0</v>
      </c>
      <c r="H77" s="49">
        <f>'Revised Band Returns'!N35</f>
        <v>1</v>
      </c>
      <c r="I77" s="524">
        <v>0</v>
      </c>
      <c r="J77" s="42">
        <f t="shared" si="16"/>
        <v>0</v>
      </c>
      <c r="K77" s="42">
        <f t="shared" si="17"/>
        <v>0</v>
      </c>
      <c r="L77" s="42">
        <f t="shared" si="19"/>
        <v>0</v>
      </c>
      <c r="M77" s="414">
        <f t="shared" si="18"/>
        <v>0</v>
      </c>
      <c r="N77" s="414">
        <f>(VLOOKUP(A77,'2016-17 Funding Detail'!$A$4:$X$23,21,FALSE)*8/12)*I77</f>
        <v>0</v>
      </c>
      <c r="O77" s="80"/>
      <c r="P77" s="42"/>
      <c r="Q77" s="168"/>
      <c r="R77" s="348"/>
    </row>
    <row r="78" spans="1:21" x14ac:dyDescent="0.25">
      <c r="A78" s="185">
        <v>9257033</v>
      </c>
      <c r="B78" s="38" t="s">
        <v>72</v>
      </c>
      <c r="C78" s="335">
        <v>3</v>
      </c>
      <c r="D78" s="49">
        <f>'Revised Band Returns'!F36</f>
        <v>3.6363636363636362E-2</v>
      </c>
      <c r="E78" s="49">
        <f>'Revised Band Returns'!H36</f>
        <v>0.29090909090909089</v>
      </c>
      <c r="F78" s="49">
        <f>'Revised Band Returns'!J36</f>
        <v>0.27272727272727271</v>
      </c>
      <c r="G78" s="49">
        <f>'Revised Band Returns'!L36</f>
        <v>5.4545454545454543E-2</v>
      </c>
      <c r="H78" s="49">
        <f>'Revised Band Returns'!N36</f>
        <v>0.34545454545454546</v>
      </c>
      <c r="I78" s="524">
        <v>0</v>
      </c>
      <c r="J78" s="42">
        <f t="shared" si="16"/>
        <v>0</v>
      </c>
      <c r="K78" s="42">
        <f t="shared" si="17"/>
        <v>0</v>
      </c>
      <c r="L78" s="42">
        <f t="shared" si="19"/>
        <v>0</v>
      </c>
      <c r="M78" s="414">
        <f t="shared" si="18"/>
        <v>0</v>
      </c>
      <c r="N78" s="414">
        <f>(VLOOKUP(A78,'2016-17 Funding Detail'!$A$4:$X$23,21,FALSE)*8/12)*I78</f>
        <v>0</v>
      </c>
      <c r="O78" s="80"/>
      <c r="P78" s="42"/>
      <c r="Q78" s="168"/>
      <c r="R78" s="348"/>
    </row>
    <row r="79" spans="1:21" x14ac:dyDescent="0.25">
      <c r="A79" s="185">
        <v>9257008</v>
      </c>
      <c r="B79" s="38" t="s">
        <v>73</v>
      </c>
      <c r="C79" s="335">
        <v>4</v>
      </c>
      <c r="D79" s="49">
        <f>'Revised Band Returns'!F37</f>
        <v>0</v>
      </c>
      <c r="E79" s="49">
        <f>'Revised Band Returns'!H37</f>
        <v>8.2352941176470587E-2</v>
      </c>
      <c r="F79" s="49">
        <f>'Revised Band Returns'!J37</f>
        <v>0.61176470588235299</v>
      </c>
      <c r="G79" s="49">
        <f>'Revised Band Returns'!L37</f>
        <v>2.3529411764705882E-2</v>
      </c>
      <c r="H79" s="49">
        <f>'Revised Band Returns'!N37</f>
        <v>0.28235294117647058</v>
      </c>
      <c r="I79" s="524">
        <v>0</v>
      </c>
      <c r="J79" s="42">
        <f t="shared" si="16"/>
        <v>0</v>
      </c>
      <c r="K79" s="42">
        <f t="shared" si="17"/>
        <v>0</v>
      </c>
      <c r="L79" s="42">
        <f t="shared" si="19"/>
        <v>0</v>
      </c>
      <c r="M79" s="414">
        <f t="shared" si="18"/>
        <v>0</v>
      </c>
      <c r="N79" s="414">
        <f>(VLOOKUP(A79,'2016-17 Funding Detail'!$A$4:$X$23,21,FALSE)*8/12)*I79</f>
        <v>0</v>
      </c>
      <c r="O79" s="80"/>
      <c r="P79" s="42"/>
      <c r="Q79" s="168"/>
      <c r="R79" s="348"/>
    </row>
    <row r="80" spans="1:21" x14ac:dyDescent="0.25">
      <c r="A80" s="185">
        <v>9257034</v>
      </c>
      <c r="B80" s="38" t="s">
        <v>74</v>
      </c>
      <c r="C80" s="335">
        <v>5</v>
      </c>
      <c r="D80" s="49">
        <f>'Revised Band Returns'!F38</f>
        <v>7.0866141732283464E-2</v>
      </c>
      <c r="E80" s="49">
        <f>'Revised Band Returns'!H38</f>
        <v>0.16535433070866143</v>
      </c>
      <c r="F80" s="49">
        <f>'Revised Band Returns'!J38</f>
        <v>0.51968503937007871</v>
      </c>
      <c r="G80" s="49">
        <f>'Revised Band Returns'!L38</f>
        <v>3.937007874015748E-2</v>
      </c>
      <c r="H80" s="49">
        <f>'Revised Band Returns'!N38</f>
        <v>0.20472440944881889</v>
      </c>
      <c r="I80" s="524">
        <v>32</v>
      </c>
      <c r="J80" s="42">
        <f t="shared" si="16"/>
        <v>173710.38285600164</v>
      </c>
      <c r="K80" s="42">
        <f t="shared" si="17"/>
        <v>11508.450623553714</v>
      </c>
      <c r="L80" s="42">
        <f t="shared" si="19"/>
        <v>185218.83347955535</v>
      </c>
      <c r="M80" s="414">
        <f t="shared" si="18"/>
        <v>213333.33333333331</v>
      </c>
      <c r="N80" s="414">
        <f>(VLOOKUP(A80,'2016-17 Funding Detail'!$A$4:$X$23,21,FALSE)*8/12)*I80</f>
        <v>67733.220993228417</v>
      </c>
      <c r="O80" s="80"/>
      <c r="P80" s="42"/>
      <c r="Q80" s="168"/>
      <c r="R80" s="348"/>
    </row>
    <row r="81" spans="1:18" x14ac:dyDescent="0.25">
      <c r="A81" s="185">
        <v>9257002</v>
      </c>
      <c r="B81" s="38" t="s">
        <v>75</v>
      </c>
      <c r="C81" s="337">
        <v>5</v>
      </c>
      <c r="D81" s="49">
        <f>'Revised Band Returns'!F39</f>
        <v>8.4033613445378148E-3</v>
      </c>
      <c r="E81" s="49">
        <f>'Revised Band Returns'!H39</f>
        <v>0.27731092436974791</v>
      </c>
      <c r="F81" s="49">
        <f>'Revised Band Returns'!J39</f>
        <v>0.59663865546218486</v>
      </c>
      <c r="G81" s="49">
        <f>'Revised Band Returns'!L39</f>
        <v>2.5210084033613446E-2</v>
      </c>
      <c r="H81" s="49">
        <f>'Revised Band Returns'!N39</f>
        <v>9.2436974789915971E-2</v>
      </c>
      <c r="I81" s="524">
        <v>0</v>
      </c>
      <c r="J81" s="42">
        <f t="shared" si="16"/>
        <v>0</v>
      </c>
      <c r="K81" s="42">
        <f t="shared" si="17"/>
        <v>0</v>
      </c>
      <c r="L81" s="42">
        <f t="shared" si="19"/>
        <v>0</v>
      </c>
      <c r="M81" s="414">
        <f t="shared" si="18"/>
        <v>0</v>
      </c>
      <c r="N81" s="414">
        <f>(VLOOKUP(A81,'2016-17 Funding Detail'!$A$4:$X$23,21,FALSE)*8/12)*I81</f>
        <v>0</v>
      </c>
      <c r="O81" s="80"/>
      <c r="P81" s="42"/>
      <c r="Q81" s="168"/>
      <c r="R81" s="348"/>
    </row>
    <row r="82" spans="1:18" x14ac:dyDescent="0.25">
      <c r="A82" s="185">
        <v>9257009</v>
      </c>
      <c r="B82" s="38" t="s">
        <v>76</v>
      </c>
      <c r="C82" s="335">
        <v>4</v>
      </c>
      <c r="D82" s="49">
        <f>'Revised Band Returns'!F40</f>
        <v>0</v>
      </c>
      <c r="E82" s="49">
        <f>'Revised Band Returns'!H40</f>
        <v>0.14615384615384616</v>
      </c>
      <c r="F82" s="49">
        <f>'Revised Band Returns'!J40</f>
        <v>0.7</v>
      </c>
      <c r="G82" s="49">
        <f>'Revised Band Returns'!L40</f>
        <v>1.5384615384615385E-2</v>
      </c>
      <c r="H82" s="49">
        <f>'Revised Band Returns'!N40</f>
        <v>0.13846153846153847</v>
      </c>
      <c r="I82" s="524">
        <v>0</v>
      </c>
      <c r="J82" s="42">
        <f t="shared" si="16"/>
        <v>0</v>
      </c>
      <c r="K82" s="42">
        <f t="shared" si="17"/>
        <v>0</v>
      </c>
      <c r="L82" s="42">
        <f t="shared" si="19"/>
        <v>0</v>
      </c>
      <c r="M82" s="414">
        <f t="shared" si="18"/>
        <v>0</v>
      </c>
      <c r="N82" s="414">
        <f>(VLOOKUP(A82,'2016-17 Funding Detail'!$A$4:$X$23,21,FALSE)*8/12)*I82</f>
        <v>0</v>
      </c>
      <c r="O82" s="80"/>
      <c r="P82" s="42"/>
      <c r="Q82" s="168"/>
      <c r="R82" s="348"/>
    </row>
    <row r="83" spans="1:18" x14ac:dyDescent="0.25">
      <c r="A83" s="185">
        <v>9257029</v>
      </c>
      <c r="B83" s="38" t="s">
        <v>99</v>
      </c>
      <c r="C83" s="335">
        <v>3</v>
      </c>
      <c r="D83" s="49">
        <f>'Revised Band Returns'!F41</f>
        <v>0</v>
      </c>
      <c r="E83" s="49">
        <f>'Revised Band Returns'!H41</f>
        <v>0</v>
      </c>
      <c r="F83" s="49">
        <f>'Revised Band Returns'!J41</f>
        <v>0</v>
      </c>
      <c r="G83" s="49">
        <f>'Revised Band Returns'!L41</f>
        <v>0</v>
      </c>
      <c r="H83" s="49">
        <f>'Revised Band Returns'!N41</f>
        <v>1</v>
      </c>
      <c r="I83" s="524">
        <v>0</v>
      </c>
      <c r="J83" s="42">
        <f t="shared" si="16"/>
        <v>0</v>
      </c>
      <c r="K83" s="42">
        <f t="shared" si="17"/>
        <v>0</v>
      </c>
      <c r="L83" s="42">
        <f t="shared" si="19"/>
        <v>0</v>
      </c>
      <c r="M83" s="414">
        <f t="shared" si="18"/>
        <v>0</v>
      </c>
      <c r="N83" s="414">
        <f>(VLOOKUP(A83,'2016-17 Funding Detail'!$A$4:$X$23,21,FALSE)*8/12)*I83</f>
        <v>0</v>
      </c>
      <c r="O83" s="80"/>
      <c r="P83" s="42"/>
      <c r="Q83" s="168"/>
      <c r="R83" s="348"/>
    </row>
    <row r="84" spans="1:18" x14ac:dyDescent="0.25">
      <c r="A84" s="185">
        <v>9257032</v>
      </c>
      <c r="B84" s="38" t="s">
        <v>100</v>
      </c>
      <c r="C84" s="335">
        <v>4</v>
      </c>
      <c r="D84" s="49">
        <f>'Revised Band Returns'!F42</f>
        <v>0</v>
      </c>
      <c r="E84" s="49">
        <f>'Revised Band Returns'!H42</f>
        <v>0</v>
      </c>
      <c r="F84" s="49">
        <f>'Revised Band Returns'!J42</f>
        <v>0</v>
      </c>
      <c r="G84" s="49">
        <f>'Revised Band Returns'!L42</f>
        <v>0</v>
      </c>
      <c r="H84" s="49">
        <f>'Revised Band Returns'!N42</f>
        <v>1</v>
      </c>
      <c r="I84" s="524">
        <v>0</v>
      </c>
      <c r="J84" s="42">
        <f t="shared" si="16"/>
        <v>0</v>
      </c>
      <c r="K84" s="42">
        <f t="shared" si="17"/>
        <v>0</v>
      </c>
      <c r="L84" s="42">
        <f t="shared" si="19"/>
        <v>0</v>
      </c>
      <c r="M84" s="414">
        <f t="shared" si="18"/>
        <v>0</v>
      </c>
      <c r="N84" s="414">
        <f>(VLOOKUP(A84,'2016-17 Funding Detail'!$A$4:$X$23,21,FALSE)*8/12)*I84</f>
        <v>0</v>
      </c>
      <c r="O84" s="80"/>
      <c r="P84" s="42"/>
      <c r="Q84" s="168"/>
      <c r="R84" s="348"/>
    </row>
    <row r="85" spans="1:18" x14ac:dyDescent="0.25">
      <c r="A85" s="185">
        <v>9257030</v>
      </c>
      <c r="B85" s="38" t="s">
        <v>92</v>
      </c>
      <c r="C85" s="335">
        <v>4</v>
      </c>
      <c r="D85" s="49">
        <f>'Revised Band Returns'!F43</f>
        <v>0</v>
      </c>
      <c r="E85" s="49">
        <f>'Revised Band Returns'!H43</f>
        <v>0</v>
      </c>
      <c r="F85" s="49">
        <f>'Revised Band Returns'!J43</f>
        <v>0</v>
      </c>
      <c r="G85" s="49">
        <f>'Revised Band Returns'!L43</f>
        <v>0</v>
      </c>
      <c r="H85" s="49">
        <f>'Revised Band Returns'!N43</f>
        <v>1</v>
      </c>
      <c r="I85" s="524">
        <v>0</v>
      </c>
      <c r="J85" s="42">
        <f t="shared" si="16"/>
        <v>0</v>
      </c>
      <c r="K85" s="42">
        <f t="shared" si="17"/>
        <v>0</v>
      </c>
      <c r="L85" s="42">
        <f t="shared" si="19"/>
        <v>0</v>
      </c>
      <c r="M85" s="414">
        <f t="shared" si="18"/>
        <v>0</v>
      </c>
      <c r="N85" s="414">
        <f>(VLOOKUP(A85,'2016-17 Funding Detail'!$A$4:$X$23,21,FALSE)*8/12)*I85</f>
        <v>0</v>
      </c>
      <c r="O85" s="80"/>
      <c r="P85" s="42"/>
      <c r="Q85" s="168"/>
      <c r="R85" s="348"/>
    </row>
    <row r="86" spans="1:18" x14ac:dyDescent="0.25">
      <c r="A86" s="185">
        <v>9257028</v>
      </c>
      <c r="B86" s="38" t="s">
        <v>77</v>
      </c>
      <c r="C86" s="337">
        <v>5</v>
      </c>
      <c r="D86" s="49">
        <f>'Revised Band Returns'!F44</f>
        <v>0.23943661971830985</v>
      </c>
      <c r="E86" s="49">
        <f>'Revised Band Returns'!H44</f>
        <v>0.3380281690140845</v>
      </c>
      <c r="F86" s="49">
        <f>'Revised Band Returns'!J44</f>
        <v>0</v>
      </c>
      <c r="G86" s="49">
        <f>'Revised Band Returns'!L44</f>
        <v>0.18309859154929578</v>
      </c>
      <c r="H86" s="49">
        <f>'Revised Band Returns'!N44</f>
        <v>0.23943661971830985</v>
      </c>
      <c r="I86" s="524">
        <v>16</v>
      </c>
      <c r="J86" s="42">
        <f t="shared" si="16"/>
        <v>109059.6622296799</v>
      </c>
      <c r="K86" s="42">
        <f t="shared" si="17"/>
        <v>6729.8875666989343</v>
      </c>
      <c r="L86" s="42">
        <f t="shared" si="19"/>
        <v>115789.54979637884</v>
      </c>
      <c r="M86" s="414">
        <f t="shared" si="18"/>
        <v>106666.66666666666</v>
      </c>
      <c r="N86" s="414">
        <f>(VLOOKUP(A86,'2016-17 Funding Detail'!$A$4:$X$23,21,FALSE)*8/12)*I86</f>
        <v>92564.037350831481</v>
      </c>
      <c r="O86" s="80"/>
      <c r="P86" s="42"/>
      <c r="Q86" s="168"/>
      <c r="R86" s="348"/>
    </row>
    <row r="87" spans="1:18" x14ac:dyDescent="0.25">
      <c r="A87" s="185">
        <v>9257021</v>
      </c>
      <c r="B87" s="38" t="s">
        <v>78</v>
      </c>
      <c r="C87" s="337">
        <v>5</v>
      </c>
      <c r="D87" s="49">
        <f>'Revised Band Returns'!F45</f>
        <v>0</v>
      </c>
      <c r="E87" s="49">
        <f>'Revised Band Returns'!H45</f>
        <v>9.8591549295774641E-2</v>
      </c>
      <c r="F87" s="49">
        <f>'Revised Band Returns'!J45</f>
        <v>0.71830985915492962</v>
      </c>
      <c r="G87" s="49">
        <f>'Revised Band Returns'!L45</f>
        <v>4.2253521126760563E-2</v>
      </c>
      <c r="H87" s="49">
        <f>'Revised Band Returns'!N45</f>
        <v>0.14084507042253522</v>
      </c>
      <c r="I87" s="524">
        <v>0</v>
      </c>
      <c r="J87" s="42">
        <f t="shared" si="16"/>
        <v>0</v>
      </c>
      <c r="K87" s="42">
        <f t="shared" si="17"/>
        <v>0</v>
      </c>
      <c r="L87" s="42">
        <f t="shared" si="19"/>
        <v>0</v>
      </c>
      <c r="M87" s="414">
        <f t="shared" si="18"/>
        <v>0</v>
      </c>
      <c r="N87" s="414">
        <f>(VLOOKUP(A87,'2016-17 Funding Detail'!$A$4:$X$23,21,FALSE)*8/12)*I87</f>
        <v>0</v>
      </c>
      <c r="O87" s="80"/>
      <c r="P87" s="42"/>
      <c r="Q87" s="168"/>
      <c r="R87" s="348"/>
    </row>
    <row r="88" spans="1:18" x14ac:dyDescent="0.25">
      <c r="A88" s="185">
        <v>9257015</v>
      </c>
      <c r="B88" s="38" t="s">
        <v>55</v>
      </c>
      <c r="C88" s="335">
        <v>6</v>
      </c>
      <c r="D88" s="49">
        <f>'Revised Band Returns'!F46</f>
        <v>6.0483870967741937E-2</v>
      </c>
      <c r="E88" s="49">
        <f>'Revised Band Returns'!H46</f>
        <v>0.22177419354838709</v>
      </c>
      <c r="F88" s="49">
        <f>'Revised Band Returns'!J46</f>
        <v>0.65322580645161288</v>
      </c>
      <c r="G88" s="49">
        <f>'Revised Band Returns'!L46</f>
        <v>0</v>
      </c>
      <c r="H88" s="49">
        <f>'Revised Band Returns'!N46</f>
        <v>6.4516129032258063E-2</v>
      </c>
      <c r="I88" s="524">
        <v>19</v>
      </c>
      <c r="J88" s="42">
        <f t="shared" si="16"/>
        <v>90821.727095352442</v>
      </c>
      <c r="K88" s="42">
        <f t="shared" si="17"/>
        <v>2153.3724685666184</v>
      </c>
      <c r="L88" s="42">
        <f t="shared" si="19"/>
        <v>92975.099563919066</v>
      </c>
      <c r="M88" s="414">
        <f t="shared" si="18"/>
        <v>126666.66666666666</v>
      </c>
      <c r="N88" s="414">
        <f>(VLOOKUP(A88,'2016-17 Funding Detail'!$A$4:$X$23,21,FALSE)*8/12)*I88</f>
        <v>0</v>
      </c>
      <c r="O88" s="80"/>
      <c r="P88" s="42"/>
      <c r="Q88" s="168"/>
      <c r="R88" s="348"/>
    </row>
    <row r="89" spans="1:18" x14ac:dyDescent="0.25">
      <c r="A89" s="185">
        <v>9257016</v>
      </c>
      <c r="B89" s="38" t="s">
        <v>80</v>
      </c>
      <c r="C89" s="336">
        <v>6</v>
      </c>
      <c r="D89" s="49">
        <f>'Revised Band Returns'!F47</f>
        <v>0.50370370370370365</v>
      </c>
      <c r="E89" s="49">
        <f>'Revised Band Returns'!H47</f>
        <v>0</v>
      </c>
      <c r="F89" s="49">
        <f>'Revised Band Returns'!J47</f>
        <v>0.28888888888888886</v>
      </c>
      <c r="G89" s="49">
        <f>'Revised Band Returns'!L47</f>
        <v>0.2074074074074074</v>
      </c>
      <c r="H89" s="49">
        <f>'Revised Band Returns'!N47</f>
        <v>0</v>
      </c>
      <c r="I89" s="524">
        <v>54</v>
      </c>
      <c r="J89" s="42">
        <f t="shared" si="16"/>
        <v>364250.46306133131</v>
      </c>
      <c r="K89" s="42">
        <f t="shared" si="17"/>
        <v>0</v>
      </c>
      <c r="L89" s="42">
        <f t="shared" si="19"/>
        <v>364250.46306133131</v>
      </c>
      <c r="M89" s="414">
        <f t="shared" si="18"/>
        <v>360000</v>
      </c>
      <c r="N89" s="414">
        <f>(VLOOKUP(A89,'2016-17 Funding Detail'!$A$4:$X$23,21,FALSE)*8/12)*I89</f>
        <v>228850.70444840923</v>
      </c>
      <c r="O89" s="628" t="s">
        <v>402</v>
      </c>
      <c r="P89" s="42"/>
      <c r="Q89" s="168"/>
      <c r="R89" s="348"/>
    </row>
    <row r="90" spans="1:18" x14ac:dyDescent="0.25">
      <c r="B90" s="50"/>
      <c r="C90" s="50"/>
      <c r="H90" s="628" t="s">
        <v>402</v>
      </c>
      <c r="I90" s="628" t="s">
        <v>402</v>
      </c>
      <c r="L90" s="628" t="s">
        <v>402</v>
      </c>
    </row>
    <row r="92" spans="1:18" x14ac:dyDescent="0.25">
      <c r="C92" s="51"/>
      <c r="D92" s="52"/>
      <c r="E92" s="34" t="s">
        <v>2</v>
      </c>
      <c r="G92" s="42">
        <f>'Funding Model'!D7</f>
        <v>11692.020638096787</v>
      </c>
      <c r="H92" s="53"/>
      <c r="I92" s="53"/>
      <c r="J92" s="53"/>
      <c r="K92" s="53"/>
      <c r="L92" s="53"/>
      <c r="M92" s="53"/>
      <c r="N92" s="53"/>
      <c r="O92" s="53"/>
      <c r="P92" s="53"/>
      <c r="Q92" s="53"/>
    </row>
    <row r="93" spans="1:18" x14ac:dyDescent="0.25">
      <c r="C93" s="54"/>
      <c r="D93" s="52"/>
      <c r="G93" s="42"/>
      <c r="H93" s="53"/>
      <c r="I93" s="53"/>
      <c r="J93" s="53"/>
      <c r="K93" s="53"/>
      <c r="L93" s="53"/>
      <c r="M93" s="53"/>
      <c r="N93" s="53"/>
      <c r="O93" s="53"/>
      <c r="P93" s="53"/>
      <c r="Q93" s="53"/>
    </row>
    <row r="94" spans="1:18" x14ac:dyDescent="0.25">
      <c r="C94" s="51"/>
      <c r="D94" s="52"/>
      <c r="E94" s="34" t="s">
        <v>3</v>
      </c>
      <c r="G94" s="42">
        <f>'Funding Model'!D9</f>
        <v>7350.1419469065795</v>
      </c>
      <c r="H94" s="53"/>
      <c r="I94" s="53"/>
      <c r="J94" s="53"/>
      <c r="K94" s="53"/>
      <c r="L94" s="53"/>
      <c r="M94" s="53"/>
      <c r="N94" s="53"/>
      <c r="O94" s="53"/>
      <c r="P94" s="53"/>
      <c r="Q94" s="53"/>
    </row>
    <row r="95" spans="1:18" x14ac:dyDescent="0.25">
      <c r="C95" s="54"/>
      <c r="D95" s="52"/>
      <c r="G95" s="42"/>
      <c r="H95" s="53"/>
      <c r="I95" s="53"/>
      <c r="J95" s="53"/>
      <c r="K95" s="53"/>
      <c r="L95" s="53"/>
      <c r="M95" s="53"/>
      <c r="N95" s="53"/>
      <c r="O95" s="53"/>
      <c r="P95" s="53"/>
      <c r="Q95" s="53"/>
    </row>
    <row r="96" spans="1:18" x14ac:dyDescent="0.25">
      <c r="C96" s="51"/>
      <c r="D96" s="52"/>
      <c r="E96" s="34" t="s">
        <v>5</v>
      </c>
      <c r="G96" s="42">
        <f>'Funding Model'!D11</f>
        <v>6243.7244928897762</v>
      </c>
      <c r="H96" s="53"/>
      <c r="I96" s="53"/>
      <c r="J96" s="53"/>
      <c r="K96" s="53"/>
      <c r="L96" s="53"/>
      <c r="M96" s="53"/>
      <c r="N96" s="53"/>
      <c r="O96" s="53"/>
      <c r="P96" s="53"/>
      <c r="Q96" s="53"/>
    </row>
    <row r="97" spans="1:41" x14ac:dyDescent="0.25">
      <c r="C97" s="54"/>
      <c r="D97" s="52"/>
      <c r="G97" s="42"/>
      <c r="H97" s="53"/>
      <c r="I97" s="53"/>
      <c r="J97" s="53"/>
      <c r="K97" s="53"/>
      <c r="L97" s="53"/>
      <c r="M97" s="53"/>
      <c r="N97" s="53"/>
      <c r="O97" s="53"/>
      <c r="P97" s="53"/>
      <c r="Q97" s="53"/>
    </row>
    <row r="98" spans="1:41" x14ac:dyDescent="0.25">
      <c r="C98" s="51"/>
      <c r="D98" s="52"/>
      <c r="E98" s="34" t="s">
        <v>7</v>
      </c>
      <c r="G98" s="42">
        <f>'Funding Model'!D13</f>
        <v>11692.020638096787</v>
      </c>
      <c r="H98" s="53"/>
      <c r="I98" s="53"/>
      <c r="J98" s="53"/>
      <c r="K98" s="53"/>
      <c r="L98" s="53"/>
      <c r="M98" s="53"/>
      <c r="N98" s="53"/>
      <c r="O98" s="53"/>
      <c r="P98" s="53"/>
      <c r="Q98" s="53"/>
    </row>
    <row r="99" spans="1:41" x14ac:dyDescent="0.25">
      <c r="C99" s="54"/>
      <c r="D99" s="52"/>
      <c r="G99" s="42"/>
      <c r="H99" s="53"/>
      <c r="I99" s="53"/>
      <c r="J99" s="53"/>
      <c r="K99" s="53"/>
      <c r="L99" s="53"/>
      <c r="M99" s="53"/>
      <c r="N99" s="53"/>
      <c r="O99" s="53"/>
      <c r="P99" s="53"/>
      <c r="Q99" s="53"/>
    </row>
    <row r="100" spans="1:41" x14ac:dyDescent="0.25">
      <c r="C100" s="51"/>
      <c r="D100" s="52"/>
      <c r="E100" s="34" t="s">
        <v>8</v>
      </c>
      <c r="G100" s="42">
        <f>'Funding Model'!D15</f>
        <v>11692.020638096787</v>
      </c>
      <c r="H100" s="53"/>
      <c r="I100" s="53"/>
      <c r="J100" s="53"/>
      <c r="K100" s="53"/>
      <c r="L100" s="53"/>
      <c r="M100" s="53"/>
      <c r="N100" s="53"/>
      <c r="O100" s="53"/>
      <c r="P100" s="53"/>
      <c r="Q100" s="53"/>
    </row>
    <row r="101" spans="1:41" ht="14" x14ac:dyDescent="0.3">
      <c r="B101" s="55"/>
      <c r="C101" s="56"/>
      <c r="D101" s="57"/>
      <c r="E101" s="58"/>
      <c r="H101" s="66"/>
      <c r="I101" s="53"/>
      <c r="J101" s="53"/>
      <c r="K101" s="66"/>
      <c r="L101" s="66"/>
      <c r="M101" s="66"/>
      <c r="N101" s="66"/>
      <c r="O101" s="66"/>
      <c r="P101" s="66"/>
      <c r="Q101" s="66"/>
    </row>
    <row r="102" spans="1:41" ht="14" x14ac:dyDescent="0.3">
      <c r="B102" s="59"/>
      <c r="C102" s="60"/>
      <c r="E102" s="34" t="s">
        <v>108</v>
      </c>
      <c r="G102" s="42">
        <f>'Funding Model'!D17</f>
        <v>2635.0478891670464</v>
      </c>
      <c r="H102" s="53"/>
      <c r="I102" s="53"/>
      <c r="J102" s="53"/>
      <c r="K102" s="53"/>
      <c r="L102" s="53"/>
      <c r="M102" s="53"/>
      <c r="N102" s="53"/>
      <c r="O102" s="53"/>
      <c r="P102" s="53"/>
      <c r="Q102" s="53"/>
    </row>
    <row r="106" spans="1:41" ht="13" x14ac:dyDescent="0.3">
      <c r="D106" s="1896" t="s">
        <v>397</v>
      </c>
      <c r="E106" s="1897"/>
      <c r="F106" s="1898"/>
      <c r="G106" s="1896" t="s">
        <v>397</v>
      </c>
      <c r="H106" s="1897"/>
      <c r="I106" s="1898"/>
      <c r="J106" s="1896" t="s">
        <v>185</v>
      </c>
      <c r="K106" s="1897"/>
      <c r="L106" s="1898"/>
      <c r="M106" s="390" t="s">
        <v>399</v>
      </c>
      <c r="N106" s="1896" t="s">
        <v>397</v>
      </c>
      <c r="O106" s="1897"/>
      <c r="P106" s="1898"/>
      <c r="Q106" s="1896" t="s">
        <v>185</v>
      </c>
      <c r="R106" s="1897"/>
      <c r="S106" s="1898"/>
      <c r="T106" s="390" t="s">
        <v>399</v>
      </c>
      <c r="U106" s="391" t="s">
        <v>399</v>
      </c>
      <c r="V106" s="392"/>
      <c r="W106" s="393"/>
      <c r="AL106" s="1891" t="s">
        <v>467</v>
      </c>
    </row>
    <row r="107" spans="1:41" ht="41.25" customHeight="1" x14ac:dyDescent="0.3">
      <c r="A107" s="388" t="s">
        <v>201</v>
      </c>
      <c r="B107" s="389" t="s">
        <v>66</v>
      </c>
      <c r="C107" s="508" t="s">
        <v>51</v>
      </c>
      <c r="D107" s="510" t="str">
        <f t="shared" ref="D107:D125" si="20">L5</f>
        <v>Assessment Funding (Apr-Aug)</v>
      </c>
      <c r="E107" s="511" t="str">
        <f t="shared" ref="E107:E125" si="21">L49</f>
        <v>Assessment Funding (Sept-Mar)</v>
      </c>
      <c r="F107" s="509" t="s">
        <v>393</v>
      </c>
      <c r="G107" s="511" t="str">
        <f t="shared" ref="G107:G125" si="22">M5</f>
        <v>Pre-16 Funding (Apr-Aug)</v>
      </c>
      <c r="H107" s="510" t="str">
        <f t="shared" ref="H107:H125" si="23">M49</f>
        <v>Pre-16 Funding (Sept-Mar)</v>
      </c>
      <c r="I107" s="509" t="s">
        <v>394</v>
      </c>
      <c r="J107" s="510" t="str">
        <f t="shared" ref="J107:J125" si="24">J27</f>
        <v>Post-16 Funding (Apr-Jul)</v>
      </c>
      <c r="K107" s="511" t="str">
        <f t="shared" ref="K107:K125" si="25">J71</f>
        <v>Post-16 Funding (Aug-Mar)</v>
      </c>
      <c r="L107" s="509" t="s">
        <v>395</v>
      </c>
      <c r="M107" s="509" t="s">
        <v>295</v>
      </c>
      <c r="N107" s="511" t="str">
        <f t="shared" ref="N107:N125" si="26">N5</f>
        <v>Additionality Funding (Apr-Aug)</v>
      </c>
      <c r="O107" s="511" t="str">
        <f t="shared" ref="O107:O125" si="27">N49</f>
        <v>Additionality Funding (Sept-Mar)</v>
      </c>
      <c r="P107" s="509" t="s">
        <v>396</v>
      </c>
      <c r="Q107" s="511" t="str">
        <f t="shared" ref="Q107:Q125" si="28">K27</f>
        <v>Additionality Funding (Apr-Jul)</v>
      </c>
      <c r="R107" s="510" t="str">
        <f t="shared" ref="R107:R125" si="29">K71</f>
        <v>Additionality Funding (Aug-Mar)</v>
      </c>
      <c r="S107" s="509" t="s">
        <v>396</v>
      </c>
      <c r="T107" s="509" t="s">
        <v>401</v>
      </c>
      <c r="U107" s="509" t="s">
        <v>103</v>
      </c>
      <c r="V107" s="511" t="s">
        <v>398</v>
      </c>
      <c r="W107" s="394" t="s">
        <v>261</v>
      </c>
      <c r="X107" s="36"/>
      <c r="Y107" s="511" t="s">
        <v>328</v>
      </c>
      <c r="Z107" s="511" t="s">
        <v>330</v>
      </c>
      <c r="AA107" s="509" t="s">
        <v>331</v>
      </c>
      <c r="AB107" s="509" t="s">
        <v>103</v>
      </c>
      <c r="AC107" s="511" t="s">
        <v>310</v>
      </c>
      <c r="AD107" s="511" t="s">
        <v>335</v>
      </c>
      <c r="AE107" s="511" t="s">
        <v>343</v>
      </c>
      <c r="AF107" s="509" t="s">
        <v>465</v>
      </c>
      <c r="AG107" s="511" t="s">
        <v>342</v>
      </c>
      <c r="AH107" s="511" t="s">
        <v>344</v>
      </c>
      <c r="AI107" s="509" t="s">
        <v>466</v>
      </c>
      <c r="AJ107" s="509" t="s">
        <v>345</v>
      </c>
      <c r="AK107" s="389"/>
      <c r="AL107" s="1892"/>
    </row>
    <row r="108" spans="1:41" ht="13" x14ac:dyDescent="0.3">
      <c r="A108" s="185">
        <v>9257010</v>
      </c>
      <c r="B108" s="38" t="s">
        <v>67</v>
      </c>
      <c r="C108" s="335">
        <v>3</v>
      </c>
      <c r="D108" s="512">
        <f t="shared" si="20"/>
        <v>0</v>
      </c>
      <c r="E108" s="512">
        <f t="shared" si="21"/>
        <v>0</v>
      </c>
      <c r="F108" s="156">
        <f>SUM(D108:E108)</f>
        <v>0</v>
      </c>
      <c r="G108" s="512">
        <f t="shared" si="22"/>
        <v>138874.09345745452</v>
      </c>
      <c r="H108" s="512">
        <f t="shared" si="23"/>
        <v>223015.45596402991</v>
      </c>
      <c r="I108" s="156">
        <f>SUM(G108:H108)</f>
        <v>361889.54942148447</v>
      </c>
      <c r="J108" s="512">
        <f t="shared" si="24"/>
        <v>32676.257284106938</v>
      </c>
      <c r="K108" s="512">
        <f t="shared" si="25"/>
        <v>65352.514568213875</v>
      </c>
      <c r="L108" s="156">
        <f>SUM(J108:K108)</f>
        <v>98028.771852320817</v>
      </c>
      <c r="M108" s="156">
        <f>I108+L108</f>
        <v>459918.32127380528</v>
      </c>
      <c r="N108" s="512">
        <f t="shared" si="26"/>
        <v>2666.4175068952254</v>
      </c>
      <c r="O108" s="512">
        <f t="shared" si="27"/>
        <v>4281.9528198964508</v>
      </c>
      <c r="P108" s="156">
        <f>SUM(N108:O108)</f>
        <v>6948.3703267916762</v>
      </c>
      <c r="Q108" s="512">
        <f t="shared" si="28"/>
        <v>627.39235456358233</v>
      </c>
      <c r="R108" s="512">
        <f t="shared" si="29"/>
        <v>1254.7847091271647</v>
      </c>
      <c r="S108" s="156">
        <f>SUM(Q108:R108)</f>
        <v>1882.177063690747</v>
      </c>
      <c r="T108" s="156">
        <f>P108+S108</f>
        <v>8830.547390482423</v>
      </c>
      <c r="U108" s="156">
        <f>F108+I108+L108+P108+S108</f>
        <v>468748.86866428767</v>
      </c>
      <c r="V108" s="334">
        <f>(K6*(5/12))+(K50*(7/12))+(I28*(4/12))+(I72*(8/12))</f>
        <v>46.916666666666671</v>
      </c>
      <c r="W108" s="512">
        <f t="shared" ref="W108:W125" si="30">U108/V108</f>
        <v>9991.0948916011566</v>
      </c>
      <c r="X108" s="36"/>
      <c r="Y108" s="94">
        <f>P6+P50</f>
        <v>369166.66666666669</v>
      </c>
      <c r="Z108" s="512">
        <f>M28+M72</f>
        <v>99999.999999999985</v>
      </c>
      <c r="AA108" s="512">
        <f>Y108+Z108</f>
        <v>469166.66666666669</v>
      </c>
      <c r="AB108" s="512">
        <f>VLOOKUP(A108,'2016-17 Funding Detail'!$A$4:$X$23,24,FALSE)</f>
        <v>869312.38523695874</v>
      </c>
      <c r="AC108" s="512">
        <f>AB108-AA108</f>
        <v>400145.71857029205</v>
      </c>
      <c r="AD108" s="512">
        <f>Q6</f>
        <v>120825.52780985726</v>
      </c>
      <c r="AE108" s="512">
        <f>Q50</f>
        <v>194031.58289465314</v>
      </c>
      <c r="AF108" s="512">
        <f>AD108+AE108</f>
        <v>314857.11070451041</v>
      </c>
      <c r="AG108" s="512">
        <f t="shared" ref="AG108:AG125" si="31">N28</f>
        <v>28429.53595526053</v>
      </c>
      <c r="AH108" s="512">
        <f t="shared" ref="AH108:AH125" si="32">N72</f>
        <v>56859.071910521059</v>
      </c>
      <c r="AI108" s="512">
        <f>AG108+AH108</f>
        <v>85288.607865781581</v>
      </c>
      <c r="AJ108" s="512">
        <f>AF108+AI108</f>
        <v>400145.718570292</v>
      </c>
      <c r="AK108" s="134"/>
      <c r="AL108" s="512">
        <f>AA108+AF108+AI108</f>
        <v>869312.38523695874</v>
      </c>
      <c r="AM108" s="125" t="s">
        <v>402</v>
      </c>
      <c r="AN108" s="627" t="s">
        <v>402</v>
      </c>
      <c r="AO108" s="125"/>
    </row>
    <row r="109" spans="1:41" ht="13" x14ac:dyDescent="0.3">
      <c r="A109" s="185">
        <v>9257005</v>
      </c>
      <c r="B109" s="38" t="s">
        <v>68</v>
      </c>
      <c r="C109" s="335">
        <v>4</v>
      </c>
      <c r="D109" s="512">
        <f t="shared" si="20"/>
        <v>0</v>
      </c>
      <c r="E109" s="512">
        <f t="shared" si="21"/>
        <v>0</v>
      </c>
      <c r="F109" s="156">
        <f t="shared" ref="F109:F125" si="33">SUM(D109:E109)</f>
        <v>0</v>
      </c>
      <c r="G109" s="512">
        <f t="shared" si="22"/>
        <v>184351.3141961919</v>
      </c>
      <c r="H109" s="512">
        <f t="shared" si="23"/>
        <v>241961.09988250182</v>
      </c>
      <c r="I109" s="156">
        <f t="shared" ref="I109:I125" si="34">SUM(G109:H109)</f>
        <v>426312.41407869372</v>
      </c>
      <c r="J109" s="512">
        <f t="shared" si="24"/>
        <v>89103.135194826071</v>
      </c>
      <c r="K109" s="512">
        <f t="shared" si="25"/>
        <v>178206.27038965214</v>
      </c>
      <c r="L109" s="156">
        <f t="shared" ref="L109:L125" si="35">SUM(J109:K109)</f>
        <v>267309.40558447823</v>
      </c>
      <c r="M109" s="156">
        <f t="shared" ref="M109:M124" si="36">I109+L109</f>
        <v>693621.81966317189</v>
      </c>
      <c r="N109" s="512">
        <f t="shared" si="26"/>
        <v>10401.504825659393</v>
      </c>
      <c r="O109" s="512">
        <f t="shared" si="27"/>
        <v>13651.975083677955</v>
      </c>
      <c r="P109" s="156">
        <f t="shared" ref="P109:P125" si="37">SUM(N109:O109)</f>
        <v>24053.479909337348</v>
      </c>
      <c r="Q109" s="512">
        <f t="shared" si="28"/>
        <v>5027.3939990687068</v>
      </c>
      <c r="R109" s="512">
        <f t="shared" si="29"/>
        <v>10054.787998137414</v>
      </c>
      <c r="S109" s="156">
        <f t="shared" ref="S109:S125" si="38">SUM(Q109:R109)</f>
        <v>15082.18199720612</v>
      </c>
      <c r="T109" s="156">
        <f t="shared" ref="T109:T125" si="39">P109+S109</f>
        <v>39135.661906543464</v>
      </c>
      <c r="U109" s="156">
        <f t="shared" ref="U109:U125" si="40">F109+I109+L109+P109+S109</f>
        <v>732757.48156971531</v>
      </c>
      <c r="V109" s="334">
        <f t="shared" ref="V109:V125" si="41">(K7*(5/12))+(K51*(7/12))+(I29*(4/12))+(I73*(8/12))</f>
        <v>75.25</v>
      </c>
      <c r="W109" s="512">
        <f t="shared" si="30"/>
        <v>9737.6409510925623</v>
      </c>
      <c r="X109" s="36"/>
      <c r="Y109" s="94">
        <f t="shared" ref="Y109:Y125" si="42">P7+P51</f>
        <v>462500</v>
      </c>
      <c r="Z109" s="512">
        <f t="shared" ref="Z109:Z125" si="43">M29+M73</f>
        <v>290000</v>
      </c>
      <c r="AA109" s="512">
        <f t="shared" ref="AA109:AA125" si="44">Y109+Z109</f>
        <v>752500</v>
      </c>
      <c r="AB109" s="512">
        <f>VLOOKUP(A109,'2016-17 Funding Detail'!$A$4:$X$23,24,FALSE)</f>
        <v>1238703.7344133833</v>
      </c>
      <c r="AC109" s="512">
        <f t="shared" ref="AC109:AC125" si="45">AB109-AA109</f>
        <v>486203.7344133833</v>
      </c>
      <c r="AD109" s="512">
        <f t="shared" ref="AD109:AD125" si="46">Q7</f>
        <v>129223.58389724477</v>
      </c>
      <c r="AE109" s="512">
        <f t="shared" ref="AE109:AE125" si="47">Q51</f>
        <v>169605.95386513372</v>
      </c>
      <c r="AF109" s="512">
        <f t="shared" ref="AF109:AF125" si="48">AD109+AE109</f>
        <v>298829.53776237846</v>
      </c>
      <c r="AG109" s="512">
        <f t="shared" si="31"/>
        <v>62458.065550334963</v>
      </c>
      <c r="AH109" s="512">
        <f t="shared" si="32"/>
        <v>124916.13110066993</v>
      </c>
      <c r="AI109" s="512">
        <f t="shared" ref="AI109:AI125" si="49">AG109+AH109</f>
        <v>187374.1966510049</v>
      </c>
      <c r="AJ109" s="512">
        <f t="shared" ref="AJ109:AJ125" si="50">AF109+AI109</f>
        <v>486203.73441338335</v>
      </c>
      <c r="AK109" s="134"/>
      <c r="AL109" s="512">
        <f t="shared" ref="AL109:AL125" si="51">AA109+AF109+AI109</f>
        <v>1238703.7344133833</v>
      </c>
      <c r="AM109" s="125" t="s">
        <v>402</v>
      </c>
      <c r="AN109" s="627" t="s">
        <v>402</v>
      </c>
      <c r="AO109" s="125"/>
    </row>
    <row r="110" spans="1:41" ht="13" x14ac:dyDescent="0.3">
      <c r="A110" s="185">
        <v>9257025</v>
      </c>
      <c r="B110" s="38" t="s">
        <v>69</v>
      </c>
      <c r="C110" s="335">
        <v>4</v>
      </c>
      <c r="D110" s="512">
        <f t="shared" si="20"/>
        <v>39922.238535953147</v>
      </c>
      <c r="E110" s="512">
        <f t="shared" si="21"/>
        <v>0</v>
      </c>
      <c r="F110" s="156">
        <f>SUM(D110:E110)</f>
        <v>39922.238535953147</v>
      </c>
      <c r="G110" s="512">
        <f t="shared" si="22"/>
        <v>155696.7302902173</v>
      </c>
      <c r="H110" s="512">
        <f t="shared" si="23"/>
        <v>273866.55635663867</v>
      </c>
      <c r="I110" s="156">
        <f t="shared" si="34"/>
        <v>429563.286646856</v>
      </c>
      <c r="J110" s="512">
        <f t="shared" si="24"/>
        <v>41519.128077391273</v>
      </c>
      <c r="K110" s="512">
        <f t="shared" si="25"/>
        <v>83038.256154782546</v>
      </c>
      <c r="L110" s="156">
        <f t="shared" si="35"/>
        <v>124557.38423217382</v>
      </c>
      <c r="M110" s="156">
        <f t="shared" si="36"/>
        <v>554120.67087902979</v>
      </c>
      <c r="N110" s="512">
        <f t="shared" si="26"/>
        <v>11165.808272492439</v>
      </c>
      <c r="O110" s="512">
        <f t="shared" si="27"/>
        <v>15632.131581489413</v>
      </c>
      <c r="P110" s="156">
        <f t="shared" si="37"/>
        <v>26797.93985398185</v>
      </c>
      <c r="Q110" s="512">
        <f t="shared" si="28"/>
        <v>2369.8858374269662</v>
      </c>
      <c r="R110" s="512">
        <f t="shared" si="29"/>
        <v>4739.7716748539324</v>
      </c>
      <c r="S110" s="156">
        <f t="shared" si="38"/>
        <v>7109.657512280899</v>
      </c>
      <c r="T110" s="156">
        <f t="shared" si="39"/>
        <v>33907.597366262751</v>
      </c>
      <c r="U110" s="156">
        <f t="shared" si="40"/>
        <v>627950.5067812457</v>
      </c>
      <c r="V110" s="334">
        <f t="shared" si="41"/>
        <v>62</v>
      </c>
      <c r="W110" s="512">
        <f t="shared" si="30"/>
        <v>10128.233980342673</v>
      </c>
      <c r="X110" s="36"/>
      <c r="Y110" s="94">
        <f t="shared" si="42"/>
        <v>490000.00000000006</v>
      </c>
      <c r="Z110" s="512">
        <f t="shared" si="43"/>
        <v>129999.99999999999</v>
      </c>
      <c r="AA110" s="512">
        <f t="shared" si="44"/>
        <v>620000</v>
      </c>
      <c r="AB110" s="512">
        <f>VLOOKUP(A110,'2016-17 Funding Detail'!$A$4:$X$23,24,FALSE)</f>
        <v>1141581.1982211594</v>
      </c>
      <c r="AC110" s="512">
        <f t="shared" si="45"/>
        <v>521581.1982211594</v>
      </c>
      <c r="AD110" s="512">
        <f t="shared" si="46"/>
        <v>171757.24941422592</v>
      </c>
      <c r="AE110" s="512">
        <f t="shared" si="47"/>
        <v>240460.14917991625</v>
      </c>
      <c r="AF110" s="512">
        <f t="shared" si="48"/>
        <v>412217.39859414217</v>
      </c>
      <c r="AG110" s="512">
        <f t="shared" si="31"/>
        <v>36454.599875672437</v>
      </c>
      <c r="AH110" s="512">
        <f t="shared" si="32"/>
        <v>72909.199751344873</v>
      </c>
      <c r="AI110" s="512">
        <f t="shared" si="49"/>
        <v>109363.79962701732</v>
      </c>
      <c r="AJ110" s="512">
        <f t="shared" si="50"/>
        <v>521581.19822115952</v>
      </c>
      <c r="AK110" s="134"/>
      <c r="AL110" s="512">
        <f t="shared" si="51"/>
        <v>1141581.1982211594</v>
      </c>
      <c r="AM110" s="125" t="s">
        <v>402</v>
      </c>
      <c r="AN110" s="627" t="s">
        <v>402</v>
      </c>
      <c r="AO110" s="125"/>
    </row>
    <row r="111" spans="1:41" ht="13" x14ac:dyDescent="0.3">
      <c r="A111" s="185">
        <v>9257011</v>
      </c>
      <c r="B111" s="38" t="s">
        <v>70</v>
      </c>
      <c r="C111" s="337">
        <v>4</v>
      </c>
      <c r="D111" s="512">
        <f t="shared" si="20"/>
        <v>0</v>
      </c>
      <c r="E111" s="512">
        <f t="shared" si="21"/>
        <v>0</v>
      </c>
      <c r="F111" s="156">
        <f t="shared" si="33"/>
        <v>0</v>
      </c>
      <c r="G111" s="512">
        <f t="shared" si="22"/>
        <v>172528.70194845504</v>
      </c>
      <c r="H111" s="512">
        <f t="shared" si="23"/>
        <v>270294.96638591285</v>
      </c>
      <c r="I111" s="156">
        <f t="shared" si="34"/>
        <v>442823.66833436792</v>
      </c>
      <c r="J111" s="512">
        <f t="shared" si="24"/>
        <v>9858.7829684831449</v>
      </c>
      <c r="K111" s="512">
        <f t="shared" si="25"/>
        <v>19717.56593696629</v>
      </c>
      <c r="L111" s="156">
        <f t="shared" si="35"/>
        <v>29576.348905449435</v>
      </c>
      <c r="M111" s="156">
        <f t="shared" si="36"/>
        <v>472400.01723981736</v>
      </c>
      <c r="N111" s="512">
        <f t="shared" si="26"/>
        <v>7173.1859205102928</v>
      </c>
      <c r="O111" s="512">
        <f t="shared" si="27"/>
        <v>11237.991275466125</v>
      </c>
      <c r="P111" s="156">
        <f t="shared" si="37"/>
        <v>18411.177195976419</v>
      </c>
      <c r="Q111" s="512">
        <f t="shared" si="28"/>
        <v>409.8963383148739</v>
      </c>
      <c r="R111" s="512">
        <f t="shared" si="29"/>
        <v>819.7926766297478</v>
      </c>
      <c r="S111" s="156">
        <f t="shared" si="38"/>
        <v>1229.6890149446217</v>
      </c>
      <c r="T111" s="156">
        <f t="shared" si="39"/>
        <v>19640.866210921042</v>
      </c>
      <c r="U111" s="156">
        <f t="shared" si="40"/>
        <v>492040.88345073839</v>
      </c>
      <c r="V111" s="334">
        <f t="shared" si="41"/>
        <v>47.916666666666671</v>
      </c>
      <c r="W111" s="512">
        <f t="shared" si="30"/>
        <v>10268.679306798018</v>
      </c>
      <c r="X111" s="36"/>
      <c r="Y111" s="94">
        <f t="shared" si="42"/>
        <v>449166.66666666669</v>
      </c>
      <c r="Z111" s="512">
        <f t="shared" si="43"/>
        <v>30000</v>
      </c>
      <c r="AA111" s="512">
        <f t="shared" si="44"/>
        <v>479166.66666666669</v>
      </c>
      <c r="AB111" s="512">
        <f>VLOOKUP(A111,'2016-17 Funding Detail'!$A$4:$X$23,24,FALSE)</f>
        <v>992564.2730072228</v>
      </c>
      <c r="AC111" s="512">
        <f t="shared" si="45"/>
        <v>513397.60634055611</v>
      </c>
      <c r="AD111" s="512">
        <f t="shared" si="46"/>
        <v>187501.73448959435</v>
      </c>
      <c r="AE111" s="512">
        <f t="shared" si="47"/>
        <v>293752.7173670312</v>
      </c>
      <c r="AF111" s="512">
        <f t="shared" si="48"/>
        <v>481254.45185662556</v>
      </c>
      <c r="AG111" s="512">
        <f t="shared" si="31"/>
        <v>10714.384827976821</v>
      </c>
      <c r="AH111" s="512">
        <f t="shared" si="32"/>
        <v>21428.769655953642</v>
      </c>
      <c r="AI111" s="512">
        <f t="shared" si="49"/>
        <v>32143.154483930462</v>
      </c>
      <c r="AJ111" s="512">
        <f t="shared" si="50"/>
        <v>513397.606340556</v>
      </c>
      <c r="AK111" s="134"/>
      <c r="AL111" s="512">
        <f t="shared" si="51"/>
        <v>992564.27300722268</v>
      </c>
      <c r="AM111" s="125" t="s">
        <v>402</v>
      </c>
      <c r="AN111" s="627" t="s">
        <v>402</v>
      </c>
      <c r="AO111" s="125"/>
    </row>
    <row r="112" spans="1:41" ht="13" x14ac:dyDescent="0.3">
      <c r="A112" s="185">
        <v>9257024</v>
      </c>
      <c r="B112" s="38" t="s">
        <v>71</v>
      </c>
      <c r="C112" s="335">
        <v>3</v>
      </c>
      <c r="D112" s="512">
        <f t="shared" si="20"/>
        <v>19053.583315273478</v>
      </c>
      <c r="E112" s="512">
        <f t="shared" si="21"/>
        <v>0</v>
      </c>
      <c r="F112" s="156">
        <f t="shared" si="33"/>
        <v>19053.583315273478</v>
      </c>
      <c r="G112" s="512">
        <f t="shared" si="22"/>
        <v>148617.94985913316</v>
      </c>
      <c r="H112" s="512">
        <f t="shared" si="23"/>
        <v>240075.14977244587</v>
      </c>
      <c r="I112" s="156">
        <f t="shared" si="34"/>
        <v>388693.09963157901</v>
      </c>
      <c r="J112" s="512">
        <f t="shared" si="24"/>
        <v>39631.453295768835</v>
      </c>
      <c r="K112" s="512">
        <f t="shared" si="25"/>
        <v>79262.90659153767</v>
      </c>
      <c r="L112" s="156">
        <f t="shared" si="35"/>
        <v>118894.35988730651</v>
      </c>
      <c r="M112" s="156">
        <f t="shared" si="36"/>
        <v>507587.45951888553</v>
      </c>
      <c r="N112" s="512">
        <f t="shared" si="26"/>
        <v>2635.0478891670464</v>
      </c>
      <c r="O112" s="512">
        <f t="shared" si="27"/>
        <v>3772.909477670999</v>
      </c>
      <c r="P112" s="156">
        <f t="shared" si="37"/>
        <v>6407.9573668380453</v>
      </c>
      <c r="Q112" s="512">
        <f t="shared" si="28"/>
        <v>622.82950107584725</v>
      </c>
      <c r="R112" s="512">
        <f t="shared" si="29"/>
        <v>1245.6590021516945</v>
      </c>
      <c r="S112" s="156">
        <f t="shared" si="38"/>
        <v>1868.4885032275417</v>
      </c>
      <c r="T112" s="156">
        <f t="shared" si="39"/>
        <v>8276.4458700655869</v>
      </c>
      <c r="U112" s="156">
        <f t="shared" si="40"/>
        <v>534917.48870422458</v>
      </c>
      <c r="V112" s="334">
        <f t="shared" si="41"/>
        <v>57.583333333333336</v>
      </c>
      <c r="W112" s="512">
        <f t="shared" si="30"/>
        <v>9289.4498761949271</v>
      </c>
      <c r="X112" s="36"/>
      <c r="Y112" s="94">
        <f t="shared" si="42"/>
        <v>445833.33333333337</v>
      </c>
      <c r="Z112" s="512">
        <f t="shared" si="43"/>
        <v>129999.99999999999</v>
      </c>
      <c r="AA112" s="512">
        <f t="shared" si="44"/>
        <v>575833.33333333337</v>
      </c>
      <c r="AB112" s="512">
        <f>VLOOKUP(A112,'2016-17 Funding Detail'!$A$4:$X$23,24,FALSE)</f>
        <v>944377.9316097229</v>
      </c>
      <c r="AC112" s="512">
        <f t="shared" si="45"/>
        <v>368544.59827638953</v>
      </c>
      <c r="AD112" s="512">
        <f t="shared" si="46"/>
        <v>117336.91985644816</v>
      </c>
      <c r="AE112" s="512">
        <f t="shared" si="47"/>
        <v>168005.13524900534</v>
      </c>
      <c r="AF112" s="512">
        <f t="shared" si="48"/>
        <v>285342.05510545347</v>
      </c>
      <c r="AG112" s="512">
        <f t="shared" si="31"/>
        <v>27734.181056978658</v>
      </c>
      <c r="AH112" s="512">
        <f t="shared" si="32"/>
        <v>55468.362113957315</v>
      </c>
      <c r="AI112" s="512">
        <f t="shared" si="49"/>
        <v>83202.543170935969</v>
      </c>
      <c r="AJ112" s="512">
        <f t="shared" si="50"/>
        <v>368544.59827638941</v>
      </c>
      <c r="AK112" s="134"/>
      <c r="AL112" s="512">
        <f t="shared" si="51"/>
        <v>944377.93160972279</v>
      </c>
      <c r="AM112" s="125" t="s">
        <v>402</v>
      </c>
      <c r="AN112" s="627" t="s">
        <v>402</v>
      </c>
      <c r="AO112" s="125"/>
    </row>
    <row r="113" spans="1:41" ht="13" x14ac:dyDescent="0.3">
      <c r="A113" s="185">
        <v>9257031</v>
      </c>
      <c r="B113" s="38" t="s">
        <v>98</v>
      </c>
      <c r="C113" s="337">
        <v>4</v>
      </c>
      <c r="D113" s="512">
        <f t="shared" si="20"/>
        <v>0</v>
      </c>
      <c r="E113" s="512">
        <f t="shared" si="21"/>
        <v>0</v>
      </c>
      <c r="F113" s="156">
        <f t="shared" si="33"/>
        <v>0</v>
      </c>
      <c r="G113" s="512">
        <f t="shared" si="22"/>
        <v>302043.866484167</v>
      </c>
      <c r="H113" s="512">
        <f t="shared" si="23"/>
        <v>463783.48531117255</v>
      </c>
      <c r="I113" s="156">
        <f t="shared" si="34"/>
        <v>765827.35179533949</v>
      </c>
      <c r="J113" s="512">
        <f t="shared" si="24"/>
        <v>0</v>
      </c>
      <c r="K113" s="512">
        <f t="shared" si="25"/>
        <v>0</v>
      </c>
      <c r="L113" s="156">
        <f t="shared" si="35"/>
        <v>0</v>
      </c>
      <c r="M113" s="156">
        <f t="shared" si="36"/>
        <v>765827.35179533949</v>
      </c>
      <c r="N113" s="512">
        <f t="shared" si="26"/>
        <v>68072.070470148697</v>
      </c>
      <c r="O113" s="512">
        <f t="shared" si="27"/>
        <v>104523.56627029285</v>
      </c>
      <c r="P113" s="156">
        <f t="shared" si="37"/>
        <v>172595.63674044155</v>
      </c>
      <c r="Q113" s="512">
        <f t="shared" si="28"/>
        <v>0</v>
      </c>
      <c r="R113" s="512">
        <f t="shared" si="29"/>
        <v>0</v>
      </c>
      <c r="S113" s="156">
        <f t="shared" si="38"/>
        <v>0</v>
      </c>
      <c r="T113" s="156">
        <f t="shared" si="39"/>
        <v>172595.63674044155</v>
      </c>
      <c r="U113" s="156">
        <f t="shared" si="40"/>
        <v>938422.98853578104</v>
      </c>
      <c r="V113" s="334">
        <f t="shared" si="41"/>
        <v>65.5</v>
      </c>
      <c r="W113" s="512">
        <f t="shared" si="30"/>
        <v>14327.068527263833</v>
      </c>
      <c r="X113" s="36"/>
      <c r="Y113" s="94">
        <f t="shared" si="42"/>
        <v>655000</v>
      </c>
      <c r="Z113" s="512">
        <f t="shared" si="43"/>
        <v>0</v>
      </c>
      <c r="AA113" s="512">
        <f t="shared" si="44"/>
        <v>655000</v>
      </c>
      <c r="AB113" s="512">
        <f>VLOOKUP(A113,'2016-17 Funding Detail'!$A$4:$X$23,24,FALSE)</f>
        <v>1369259.718009582</v>
      </c>
      <c r="AC113" s="512">
        <f t="shared" si="45"/>
        <v>714259.71800958202</v>
      </c>
      <c r="AD113" s="512">
        <f t="shared" si="46"/>
        <v>281705.48674678168</v>
      </c>
      <c r="AE113" s="512">
        <f t="shared" si="47"/>
        <v>432554.23126280023</v>
      </c>
      <c r="AF113" s="512">
        <f t="shared" si="48"/>
        <v>714259.71800958191</v>
      </c>
      <c r="AG113" s="512">
        <f t="shared" si="31"/>
        <v>0</v>
      </c>
      <c r="AH113" s="512">
        <f t="shared" si="32"/>
        <v>0</v>
      </c>
      <c r="AI113" s="512">
        <f t="shared" si="49"/>
        <v>0</v>
      </c>
      <c r="AJ113" s="512">
        <f t="shared" si="50"/>
        <v>714259.71800958191</v>
      </c>
      <c r="AK113" s="134"/>
      <c r="AL113" s="512">
        <f t="shared" si="51"/>
        <v>1369259.7180095818</v>
      </c>
      <c r="AM113" s="125" t="s">
        <v>402</v>
      </c>
      <c r="AN113" s="627" t="s">
        <v>402</v>
      </c>
      <c r="AO113" s="125"/>
    </row>
    <row r="114" spans="1:41" ht="13" x14ac:dyDescent="0.3">
      <c r="A114" s="185">
        <v>9257033</v>
      </c>
      <c r="B114" s="38" t="s">
        <v>72</v>
      </c>
      <c r="C114" s="335">
        <v>3</v>
      </c>
      <c r="D114" s="512">
        <f t="shared" si="20"/>
        <v>37262.62377713446</v>
      </c>
      <c r="E114" s="512">
        <f t="shared" si="21"/>
        <v>0</v>
      </c>
      <c r="F114" s="156">
        <f t="shared" si="33"/>
        <v>37262.62377713446</v>
      </c>
      <c r="G114" s="512">
        <f t="shared" si="22"/>
        <v>186313.11888567227</v>
      </c>
      <c r="H114" s="512">
        <f t="shared" si="23"/>
        <v>297355.73774153297</v>
      </c>
      <c r="I114" s="156">
        <f t="shared" si="34"/>
        <v>483668.85662720527</v>
      </c>
      <c r="J114" s="512">
        <f t="shared" si="24"/>
        <v>0</v>
      </c>
      <c r="K114" s="512">
        <f t="shared" si="25"/>
        <v>0</v>
      </c>
      <c r="L114" s="156">
        <f t="shared" si="35"/>
        <v>0</v>
      </c>
      <c r="M114" s="156">
        <f t="shared" si="36"/>
        <v>483668.85662720527</v>
      </c>
      <c r="N114" s="512">
        <f t="shared" si="26"/>
        <v>22757.231770079037</v>
      </c>
      <c r="O114" s="512">
        <f t="shared" si="27"/>
        <v>30267.118254205125</v>
      </c>
      <c r="P114" s="156">
        <f t="shared" si="37"/>
        <v>53024.350024284162</v>
      </c>
      <c r="Q114" s="512">
        <f t="shared" si="28"/>
        <v>0</v>
      </c>
      <c r="R114" s="512">
        <f t="shared" si="29"/>
        <v>0</v>
      </c>
      <c r="S114" s="156">
        <f t="shared" si="38"/>
        <v>0</v>
      </c>
      <c r="T114" s="156">
        <f t="shared" si="39"/>
        <v>53024.350024284162</v>
      </c>
      <c r="U114" s="156">
        <f t="shared" si="40"/>
        <v>573955.83042862394</v>
      </c>
      <c r="V114" s="334">
        <f t="shared" si="41"/>
        <v>58.25</v>
      </c>
      <c r="W114" s="512">
        <f t="shared" si="30"/>
        <v>9853.3189773154318</v>
      </c>
      <c r="X114" s="36"/>
      <c r="Y114" s="94">
        <f t="shared" si="42"/>
        <v>582500</v>
      </c>
      <c r="Z114" s="512">
        <f t="shared" si="43"/>
        <v>0</v>
      </c>
      <c r="AA114" s="512">
        <f t="shared" si="44"/>
        <v>582500</v>
      </c>
      <c r="AB114" s="512">
        <f>VLOOKUP(A114,'2016-17 Funding Detail'!$A$4:$X$23,24,FALSE)</f>
        <v>970119.92871693382</v>
      </c>
      <c r="AC114" s="512">
        <f t="shared" si="45"/>
        <v>387619.92871693382</v>
      </c>
      <c r="AD114" s="512">
        <f t="shared" si="46"/>
        <v>166360.48442786856</v>
      </c>
      <c r="AE114" s="512">
        <f t="shared" si="47"/>
        <v>221259.44428906526</v>
      </c>
      <c r="AF114" s="512">
        <f t="shared" si="48"/>
        <v>387619.92871693382</v>
      </c>
      <c r="AG114" s="512">
        <f t="shared" si="31"/>
        <v>0</v>
      </c>
      <c r="AH114" s="512">
        <f t="shared" si="32"/>
        <v>0</v>
      </c>
      <c r="AI114" s="512">
        <f t="shared" si="49"/>
        <v>0</v>
      </c>
      <c r="AJ114" s="512">
        <f t="shared" si="50"/>
        <v>387619.92871693382</v>
      </c>
      <c r="AK114" s="134"/>
      <c r="AL114" s="512">
        <f t="shared" si="51"/>
        <v>970119.92871693382</v>
      </c>
      <c r="AM114" s="125" t="s">
        <v>402</v>
      </c>
      <c r="AN114" s="627" t="s">
        <v>402</v>
      </c>
      <c r="AO114" s="125"/>
    </row>
    <row r="115" spans="1:41" ht="13" x14ac:dyDescent="0.3">
      <c r="A115" s="185">
        <v>9257008</v>
      </c>
      <c r="B115" s="38" t="s">
        <v>73</v>
      </c>
      <c r="C115" s="335">
        <v>4</v>
      </c>
      <c r="D115" s="512">
        <f t="shared" si="20"/>
        <v>33339.078620055436</v>
      </c>
      <c r="E115" s="512">
        <f t="shared" si="21"/>
        <v>0</v>
      </c>
      <c r="F115" s="156">
        <f t="shared" si="33"/>
        <v>33339.078620055436</v>
      </c>
      <c r="G115" s="512">
        <f t="shared" si="22"/>
        <v>266712.62896044349</v>
      </c>
      <c r="H115" s="512">
        <f t="shared" si="23"/>
        <v>420072.39061269845</v>
      </c>
      <c r="I115" s="156">
        <f t="shared" si="34"/>
        <v>686785.01957314194</v>
      </c>
      <c r="J115" s="512">
        <f t="shared" si="24"/>
        <v>0</v>
      </c>
      <c r="K115" s="512">
        <f t="shared" si="25"/>
        <v>0</v>
      </c>
      <c r="L115" s="156">
        <f t="shared" si="35"/>
        <v>0</v>
      </c>
      <c r="M115" s="156">
        <f t="shared" si="36"/>
        <v>686785.01957314194</v>
      </c>
      <c r="N115" s="512">
        <f t="shared" si="26"/>
        <v>27900.507061768727</v>
      </c>
      <c r="O115" s="512">
        <f t="shared" si="27"/>
        <v>39060.709886476216</v>
      </c>
      <c r="P115" s="156">
        <f t="shared" si="37"/>
        <v>66961.216948244939</v>
      </c>
      <c r="Q115" s="512">
        <f t="shared" si="28"/>
        <v>0</v>
      </c>
      <c r="R115" s="512">
        <f t="shared" si="29"/>
        <v>0</v>
      </c>
      <c r="S115" s="156">
        <f t="shared" si="38"/>
        <v>0</v>
      </c>
      <c r="T115" s="156">
        <f t="shared" si="39"/>
        <v>66961.216948244939</v>
      </c>
      <c r="U115" s="156">
        <f t="shared" si="40"/>
        <v>787085.31514144235</v>
      </c>
      <c r="V115" s="334">
        <f t="shared" si="41"/>
        <v>90</v>
      </c>
      <c r="W115" s="512">
        <f t="shared" si="30"/>
        <v>8745.3923904604708</v>
      </c>
      <c r="X115" s="36"/>
      <c r="Y115" s="94">
        <f>P13+P57</f>
        <v>900000</v>
      </c>
      <c r="Z115" s="512">
        <f t="shared" si="43"/>
        <v>0</v>
      </c>
      <c r="AA115" s="512">
        <f t="shared" si="44"/>
        <v>900000</v>
      </c>
      <c r="AB115" s="512">
        <f>VLOOKUP(A115,'2016-17 Funding Detail'!$A$4:$X$23,24,FALSE)</f>
        <v>1300237.4829410585</v>
      </c>
      <c r="AC115" s="512">
        <f t="shared" si="45"/>
        <v>400237.48294105846</v>
      </c>
      <c r="AD115" s="512">
        <f t="shared" si="46"/>
        <v>166765.61789210769</v>
      </c>
      <c r="AE115" s="512">
        <f t="shared" si="47"/>
        <v>233471.86504895071</v>
      </c>
      <c r="AF115" s="512">
        <f t="shared" si="48"/>
        <v>400237.48294105841</v>
      </c>
      <c r="AG115" s="512">
        <f t="shared" si="31"/>
        <v>0</v>
      </c>
      <c r="AH115" s="512">
        <f t="shared" si="32"/>
        <v>0</v>
      </c>
      <c r="AI115" s="512">
        <f t="shared" si="49"/>
        <v>0</v>
      </c>
      <c r="AJ115" s="512">
        <f t="shared" si="50"/>
        <v>400237.48294105841</v>
      </c>
      <c r="AK115" s="134"/>
      <c r="AL115" s="512">
        <f t="shared" si="51"/>
        <v>1300237.4829410585</v>
      </c>
      <c r="AM115" s="125" t="s">
        <v>402</v>
      </c>
      <c r="AN115" s="627" t="s">
        <v>402</v>
      </c>
      <c r="AO115" s="125"/>
    </row>
    <row r="116" spans="1:41" ht="13" x14ac:dyDescent="0.3">
      <c r="A116" s="185">
        <v>9257034</v>
      </c>
      <c r="B116" s="38" t="s">
        <v>74</v>
      </c>
      <c r="C116" s="335">
        <v>5</v>
      </c>
      <c r="D116" s="512">
        <f t="shared" si="20"/>
        <v>0</v>
      </c>
      <c r="E116" s="512">
        <f t="shared" si="21"/>
        <v>0</v>
      </c>
      <c r="F116" s="156">
        <f t="shared" si="33"/>
        <v>0</v>
      </c>
      <c r="G116" s="512">
        <f t="shared" si="22"/>
        <v>322314.18693984684</v>
      </c>
      <c r="H116" s="512">
        <f t="shared" si="23"/>
        <v>422740.50202847278</v>
      </c>
      <c r="I116" s="156">
        <f t="shared" si="34"/>
        <v>745054.68896831968</v>
      </c>
      <c r="J116" s="512">
        <f t="shared" si="24"/>
        <v>86855.19142800082</v>
      </c>
      <c r="K116" s="512">
        <f t="shared" si="25"/>
        <v>173710.38285600164</v>
      </c>
      <c r="L116" s="156">
        <f t="shared" si="35"/>
        <v>260565.57428400248</v>
      </c>
      <c r="M116" s="156">
        <f t="shared" si="36"/>
        <v>1005620.2632523221</v>
      </c>
      <c r="N116" s="512">
        <f t="shared" si="26"/>
        <v>21353.570492921932</v>
      </c>
      <c r="O116" s="512">
        <f t="shared" si="27"/>
        <v>28006.893509663922</v>
      </c>
      <c r="P116" s="156">
        <f t="shared" si="37"/>
        <v>49360.464002585853</v>
      </c>
      <c r="Q116" s="512">
        <f t="shared" si="28"/>
        <v>5754.2253117768569</v>
      </c>
      <c r="R116" s="512">
        <f t="shared" si="29"/>
        <v>11508.450623553714</v>
      </c>
      <c r="S116" s="156">
        <f t="shared" si="38"/>
        <v>17262.675935330572</v>
      </c>
      <c r="T116" s="156">
        <f t="shared" si="39"/>
        <v>66623.139937916421</v>
      </c>
      <c r="U116" s="156">
        <f t="shared" si="40"/>
        <v>1072243.4031902386</v>
      </c>
      <c r="V116" s="334">
        <f t="shared" si="41"/>
        <v>123.5</v>
      </c>
      <c r="W116" s="512">
        <f t="shared" si="30"/>
        <v>8682.1328193541594</v>
      </c>
      <c r="X116" s="36"/>
      <c r="Y116" s="94">
        <f t="shared" si="42"/>
        <v>915000</v>
      </c>
      <c r="Z116" s="512">
        <f t="shared" si="43"/>
        <v>320000</v>
      </c>
      <c r="AA116" s="512">
        <f t="shared" si="44"/>
        <v>1235000</v>
      </c>
      <c r="AB116" s="512">
        <f>VLOOKUP(A116,'2016-17 Funding Detail'!$A$4:$X$23,24,FALSE)</f>
        <v>1627111.8496561113</v>
      </c>
      <c r="AC116" s="512">
        <f t="shared" si="45"/>
        <v>392111.84965611133</v>
      </c>
      <c r="AD116" s="512">
        <f t="shared" si="46"/>
        <v>125676.87488977927</v>
      </c>
      <c r="AE116" s="512">
        <f t="shared" si="47"/>
        <v>164835.14327648946</v>
      </c>
      <c r="AF116" s="512">
        <f t="shared" si="48"/>
        <v>290512.01816626871</v>
      </c>
      <c r="AG116" s="512">
        <f t="shared" si="31"/>
        <v>33866.610496614208</v>
      </c>
      <c r="AH116" s="512">
        <f t="shared" si="32"/>
        <v>67733.220993228417</v>
      </c>
      <c r="AI116" s="512">
        <f t="shared" si="49"/>
        <v>101599.83148984262</v>
      </c>
      <c r="AJ116" s="512">
        <f t="shared" si="50"/>
        <v>392111.84965611133</v>
      </c>
      <c r="AK116" s="134"/>
      <c r="AL116" s="512">
        <f t="shared" si="51"/>
        <v>1627111.8496561113</v>
      </c>
      <c r="AM116" s="125" t="s">
        <v>402</v>
      </c>
      <c r="AN116" s="627" t="s">
        <v>402</v>
      </c>
      <c r="AO116" s="125"/>
    </row>
    <row r="117" spans="1:41" ht="13" x14ac:dyDescent="0.3">
      <c r="A117" s="185">
        <v>9257002</v>
      </c>
      <c r="B117" s="38" t="s">
        <v>75</v>
      </c>
      <c r="C117" s="337">
        <v>5</v>
      </c>
      <c r="D117" s="512">
        <f t="shared" si="20"/>
        <v>0</v>
      </c>
      <c r="E117" s="512">
        <f t="shared" si="21"/>
        <v>0</v>
      </c>
      <c r="F117" s="156">
        <f t="shared" si="33"/>
        <v>0</v>
      </c>
      <c r="G117" s="512">
        <f t="shared" si="22"/>
        <v>367896.39637035807</v>
      </c>
      <c r="H117" s="512">
        <f t="shared" si="23"/>
        <v>527720.24069518573</v>
      </c>
      <c r="I117" s="156">
        <f t="shared" si="34"/>
        <v>895616.63706554379</v>
      </c>
      <c r="J117" s="512">
        <f t="shared" si="24"/>
        <v>0</v>
      </c>
      <c r="K117" s="512">
        <f t="shared" si="25"/>
        <v>0</v>
      </c>
      <c r="L117" s="156">
        <f t="shared" si="35"/>
        <v>0</v>
      </c>
      <c r="M117" s="156">
        <f t="shared" si="36"/>
        <v>895616.63706554379</v>
      </c>
      <c r="N117" s="512">
        <f t="shared" si="26"/>
        <v>12381.772644475408</v>
      </c>
      <c r="O117" s="512">
        <f t="shared" si="27"/>
        <v>17760.73944904259</v>
      </c>
      <c r="P117" s="156">
        <f t="shared" si="37"/>
        <v>30142.512093517998</v>
      </c>
      <c r="Q117" s="512">
        <f t="shared" si="28"/>
        <v>0</v>
      </c>
      <c r="R117" s="512">
        <f t="shared" si="29"/>
        <v>0</v>
      </c>
      <c r="S117" s="156">
        <f t="shared" si="38"/>
        <v>0</v>
      </c>
      <c r="T117" s="156">
        <f t="shared" si="39"/>
        <v>30142.512093517998</v>
      </c>
      <c r="U117" s="156">
        <f t="shared" si="40"/>
        <v>925759.14915906184</v>
      </c>
      <c r="V117" s="334">
        <f t="shared" si="41"/>
        <v>123.75</v>
      </c>
      <c r="W117" s="512">
        <f t="shared" si="30"/>
        <v>7480.88201340656</v>
      </c>
      <c r="X117" s="36"/>
      <c r="Y117" s="94">
        <f t="shared" si="42"/>
        <v>1237500</v>
      </c>
      <c r="Z117" s="512">
        <f t="shared" si="43"/>
        <v>0</v>
      </c>
      <c r="AA117" s="512">
        <f t="shared" si="44"/>
        <v>1237500</v>
      </c>
      <c r="AB117" s="512">
        <f>VLOOKUP(A117,'2016-17 Funding Detail'!$A$4:$X$23,24,FALSE)</f>
        <v>1480689.5105808827</v>
      </c>
      <c r="AC117" s="512">
        <f t="shared" si="45"/>
        <v>243189.51058088266</v>
      </c>
      <c r="AD117" s="512">
        <f t="shared" si="46"/>
        <v>99896.027915379411</v>
      </c>
      <c r="AE117" s="512">
        <f t="shared" si="47"/>
        <v>143293.48266550325</v>
      </c>
      <c r="AF117" s="512">
        <f t="shared" si="48"/>
        <v>243189.51058088266</v>
      </c>
      <c r="AG117" s="512">
        <f t="shared" si="31"/>
        <v>0</v>
      </c>
      <c r="AH117" s="512">
        <f t="shared" si="32"/>
        <v>0</v>
      </c>
      <c r="AI117" s="512">
        <f t="shared" si="49"/>
        <v>0</v>
      </c>
      <c r="AJ117" s="512">
        <f t="shared" si="50"/>
        <v>243189.51058088266</v>
      </c>
      <c r="AK117" s="134"/>
      <c r="AL117" s="512">
        <f t="shared" si="51"/>
        <v>1480689.5105808827</v>
      </c>
      <c r="AM117" s="125" t="s">
        <v>402</v>
      </c>
      <c r="AN117" s="627" t="s">
        <v>402</v>
      </c>
      <c r="AO117" s="125"/>
    </row>
    <row r="118" spans="1:41" ht="13" x14ac:dyDescent="0.3">
      <c r="A118" s="185">
        <v>9257009</v>
      </c>
      <c r="B118" s="38" t="s">
        <v>76</v>
      </c>
      <c r="C118" s="335">
        <v>4</v>
      </c>
      <c r="D118" s="512">
        <f t="shared" si="20"/>
        <v>0</v>
      </c>
      <c r="E118" s="512">
        <f t="shared" si="21"/>
        <v>0</v>
      </c>
      <c r="F118" s="156">
        <f t="shared" si="33"/>
        <v>0</v>
      </c>
      <c r="G118" s="512">
        <f t="shared" si="22"/>
        <v>392363.34941922099</v>
      </c>
      <c r="H118" s="512">
        <f t="shared" si="23"/>
        <v>540857.78627634153</v>
      </c>
      <c r="I118" s="156">
        <f t="shared" si="34"/>
        <v>933221.13569556247</v>
      </c>
      <c r="J118" s="512">
        <f t="shared" si="24"/>
        <v>0</v>
      </c>
      <c r="K118" s="512">
        <f t="shared" si="25"/>
        <v>0</v>
      </c>
      <c r="L118" s="156">
        <f t="shared" si="35"/>
        <v>0</v>
      </c>
      <c r="M118" s="156">
        <f t="shared" si="36"/>
        <v>933221.13569556247</v>
      </c>
      <c r="N118" s="512">
        <f t="shared" si="26"/>
        <v>19762.85916875285</v>
      </c>
      <c r="O118" s="512">
        <f t="shared" si="27"/>
        <v>27242.341254157775</v>
      </c>
      <c r="P118" s="156">
        <f t="shared" si="37"/>
        <v>47005.200422910624</v>
      </c>
      <c r="Q118" s="512">
        <f t="shared" si="28"/>
        <v>0</v>
      </c>
      <c r="R118" s="512">
        <f t="shared" si="29"/>
        <v>0</v>
      </c>
      <c r="S118" s="156">
        <f t="shared" si="38"/>
        <v>0</v>
      </c>
      <c r="T118" s="156">
        <f t="shared" si="39"/>
        <v>47005.200422910624</v>
      </c>
      <c r="U118" s="156">
        <f t="shared" si="40"/>
        <v>980226.33611847309</v>
      </c>
      <c r="V118" s="334">
        <f t="shared" si="41"/>
        <v>128.83333333333334</v>
      </c>
      <c r="W118" s="512">
        <f t="shared" si="30"/>
        <v>7608.4838508549001</v>
      </c>
      <c r="X118" s="36"/>
      <c r="Y118" s="94">
        <f t="shared" si="42"/>
        <v>1288333.3333333335</v>
      </c>
      <c r="Z118" s="512">
        <f t="shared" si="43"/>
        <v>0</v>
      </c>
      <c r="AA118" s="512">
        <f t="shared" si="44"/>
        <v>1288333.3333333335</v>
      </c>
      <c r="AB118" s="512">
        <f>VLOOKUP(A118,'2016-17 Funding Detail'!$A$4:$X$23,24,FALSE)</f>
        <v>1490838.0754861636</v>
      </c>
      <c r="AC118" s="512">
        <f t="shared" si="45"/>
        <v>202504.74215283012</v>
      </c>
      <c r="AD118" s="512">
        <f t="shared" si="46"/>
        <v>85141.062354035952</v>
      </c>
      <c r="AE118" s="512">
        <f t="shared" si="47"/>
        <v>117363.67979879417</v>
      </c>
      <c r="AF118" s="512">
        <f t="shared" si="48"/>
        <v>202504.74215283012</v>
      </c>
      <c r="AG118" s="512">
        <f t="shared" si="31"/>
        <v>0</v>
      </c>
      <c r="AH118" s="512">
        <f t="shared" si="32"/>
        <v>0</v>
      </c>
      <c r="AI118" s="512">
        <f t="shared" si="49"/>
        <v>0</v>
      </c>
      <c r="AJ118" s="512">
        <f t="shared" si="50"/>
        <v>202504.74215283012</v>
      </c>
      <c r="AK118" s="134"/>
      <c r="AL118" s="512">
        <f t="shared" si="51"/>
        <v>1490838.0754861636</v>
      </c>
      <c r="AM118" s="125" t="s">
        <v>402</v>
      </c>
      <c r="AN118" s="627" t="s">
        <v>402</v>
      </c>
      <c r="AO118" s="125"/>
    </row>
    <row r="119" spans="1:41" ht="13" x14ac:dyDescent="0.3">
      <c r="A119" s="185">
        <v>9257029</v>
      </c>
      <c r="B119" s="38" t="s">
        <v>99</v>
      </c>
      <c r="C119" s="336">
        <v>3</v>
      </c>
      <c r="D119" s="512">
        <f t="shared" si="20"/>
        <v>0</v>
      </c>
      <c r="E119" s="512">
        <f t="shared" si="21"/>
        <v>0</v>
      </c>
      <c r="F119" s="156">
        <f t="shared" si="33"/>
        <v>0</v>
      </c>
      <c r="G119" s="512">
        <f t="shared" si="22"/>
        <v>267942.13962305133</v>
      </c>
      <c r="H119" s="512">
        <f t="shared" si="23"/>
        <v>300095.19637781754</v>
      </c>
      <c r="I119" s="156">
        <f t="shared" si="34"/>
        <v>568037.33600086882</v>
      </c>
      <c r="J119" s="512">
        <f t="shared" si="24"/>
        <v>0</v>
      </c>
      <c r="K119" s="512">
        <f t="shared" si="25"/>
        <v>0</v>
      </c>
      <c r="L119" s="156">
        <f t="shared" si="35"/>
        <v>0</v>
      </c>
      <c r="M119" s="156">
        <f t="shared" si="36"/>
        <v>568037.33600086882</v>
      </c>
      <c r="N119" s="512">
        <f t="shared" si="26"/>
        <v>60386.51412674482</v>
      </c>
      <c r="O119" s="512">
        <f t="shared" si="27"/>
        <v>67632.895821954196</v>
      </c>
      <c r="P119" s="156">
        <f t="shared" si="37"/>
        <v>128019.40994869902</v>
      </c>
      <c r="Q119" s="512">
        <f t="shared" si="28"/>
        <v>0</v>
      </c>
      <c r="R119" s="512">
        <f t="shared" si="29"/>
        <v>0</v>
      </c>
      <c r="S119" s="156">
        <f t="shared" si="38"/>
        <v>0</v>
      </c>
      <c r="T119" s="156">
        <f t="shared" si="39"/>
        <v>128019.40994869902</v>
      </c>
      <c r="U119" s="156">
        <f t="shared" si="40"/>
        <v>696056.74594956788</v>
      </c>
      <c r="V119" s="334">
        <f t="shared" si="41"/>
        <v>48.583333333333336</v>
      </c>
      <c r="W119" s="512">
        <f t="shared" si="30"/>
        <v>14327.068527263833</v>
      </c>
      <c r="X119" s="36"/>
      <c r="Y119" s="94">
        <f t="shared" si="42"/>
        <v>485833.33333333337</v>
      </c>
      <c r="Z119" s="512">
        <f t="shared" si="43"/>
        <v>0</v>
      </c>
      <c r="AA119" s="512">
        <f t="shared" si="44"/>
        <v>485833.33333333337</v>
      </c>
      <c r="AB119" s="512">
        <f>VLOOKUP(A119,'2016-17 Funding Detail'!$A$4:$X$23,24,FALSE)</f>
        <v>1046310.7119918197</v>
      </c>
      <c r="AC119" s="512">
        <f t="shared" si="45"/>
        <v>560477.3786584863</v>
      </c>
      <c r="AD119" s="512">
        <f t="shared" si="46"/>
        <v>264376.12200871995</v>
      </c>
      <c r="AE119" s="512">
        <f t="shared" si="47"/>
        <v>296101.25664976641</v>
      </c>
      <c r="AF119" s="512">
        <f t="shared" si="48"/>
        <v>560477.3786584863</v>
      </c>
      <c r="AG119" s="512">
        <f t="shared" si="31"/>
        <v>0</v>
      </c>
      <c r="AH119" s="512">
        <f t="shared" si="32"/>
        <v>0</v>
      </c>
      <c r="AI119" s="512">
        <f t="shared" si="49"/>
        <v>0</v>
      </c>
      <c r="AJ119" s="512">
        <f t="shared" si="50"/>
        <v>560477.3786584863</v>
      </c>
      <c r="AK119" s="134"/>
      <c r="AL119" s="512">
        <f t="shared" si="51"/>
        <v>1046310.7119918197</v>
      </c>
      <c r="AM119" s="125" t="s">
        <v>402</v>
      </c>
      <c r="AN119" s="627" t="s">
        <v>402</v>
      </c>
      <c r="AO119" s="125"/>
    </row>
    <row r="120" spans="1:41" ht="13" x14ac:dyDescent="0.3">
      <c r="A120" s="185">
        <v>9257032</v>
      </c>
      <c r="B120" s="38" t="s">
        <v>100</v>
      </c>
      <c r="C120" s="335">
        <v>4</v>
      </c>
      <c r="D120" s="512">
        <f t="shared" si="20"/>
        <v>0</v>
      </c>
      <c r="E120" s="512">
        <f t="shared" si="21"/>
        <v>0</v>
      </c>
      <c r="F120" s="156">
        <f t="shared" si="33"/>
        <v>0</v>
      </c>
      <c r="G120" s="512">
        <f t="shared" si="22"/>
        <v>292300.51595241966</v>
      </c>
      <c r="H120" s="512">
        <f t="shared" si="23"/>
        <v>409220.72233338753</v>
      </c>
      <c r="I120" s="156">
        <f t="shared" si="34"/>
        <v>701521.23828580719</v>
      </c>
      <c r="J120" s="512">
        <f t="shared" si="24"/>
        <v>0</v>
      </c>
      <c r="K120" s="512">
        <f t="shared" si="25"/>
        <v>0</v>
      </c>
      <c r="L120" s="156">
        <f t="shared" si="35"/>
        <v>0</v>
      </c>
      <c r="M120" s="156">
        <f t="shared" si="36"/>
        <v>701521.23828580719</v>
      </c>
      <c r="N120" s="512">
        <f t="shared" si="26"/>
        <v>65876.197229176163</v>
      </c>
      <c r="O120" s="512">
        <f t="shared" si="27"/>
        <v>92226.67612084662</v>
      </c>
      <c r="P120" s="156">
        <f t="shared" si="37"/>
        <v>158102.87335002277</v>
      </c>
      <c r="Q120" s="512">
        <f t="shared" si="28"/>
        <v>0</v>
      </c>
      <c r="R120" s="512">
        <f t="shared" si="29"/>
        <v>0</v>
      </c>
      <c r="S120" s="156">
        <f t="shared" si="38"/>
        <v>0</v>
      </c>
      <c r="T120" s="156">
        <f t="shared" si="39"/>
        <v>158102.87335002277</v>
      </c>
      <c r="U120" s="156">
        <f t="shared" si="40"/>
        <v>859624.11163583002</v>
      </c>
      <c r="V120" s="334">
        <f t="shared" si="41"/>
        <v>60</v>
      </c>
      <c r="W120" s="512">
        <f t="shared" si="30"/>
        <v>14327.068527263833</v>
      </c>
      <c r="X120" s="36"/>
      <c r="Y120" s="94">
        <f t="shared" si="42"/>
        <v>600000</v>
      </c>
      <c r="Z120" s="512">
        <f t="shared" si="43"/>
        <v>0</v>
      </c>
      <c r="AA120" s="512">
        <f t="shared" si="44"/>
        <v>600000</v>
      </c>
      <c r="AB120" s="512">
        <f>VLOOKUP(A120,'2016-17 Funding Detail'!$A$4:$X$23,24,FALSE)</f>
        <v>1283310.94444716</v>
      </c>
      <c r="AC120" s="512">
        <f t="shared" si="45"/>
        <v>683310.94444716</v>
      </c>
      <c r="AD120" s="512">
        <f t="shared" si="46"/>
        <v>284712.89351964992</v>
      </c>
      <c r="AE120" s="512">
        <f t="shared" si="47"/>
        <v>398598.05092751002</v>
      </c>
      <c r="AF120" s="512">
        <f t="shared" si="48"/>
        <v>683310.94444716</v>
      </c>
      <c r="AG120" s="512">
        <f t="shared" si="31"/>
        <v>0</v>
      </c>
      <c r="AH120" s="512">
        <f t="shared" si="32"/>
        <v>0</v>
      </c>
      <c r="AI120" s="512">
        <f t="shared" si="49"/>
        <v>0</v>
      </c>
      <c r="AJ120" s="512">
        <f t="shared" si="50"/>
        <v>683310.94444716</v>
      </c>
      <c r="AK120" s="134"/>
      <c r="AL120" s="512">
        <f t="shared" si="51"/>
        <v>1283310.94444716</v>
      </c>
      <c r="AM120" s="125" t="s">
        <v>402</v>
      </c>
      <c r="AN120" s="627" t="s">
        <v>402</v>
      </c>
      <c r="AO120" s="125"/>
    </row>
    <row r="121" spans="1:41" ht="13" x14ac:dyDescent="0.3">
      <c r="A121" s="185">
        <v>9257030</v>
      </c>
      <c r="B121" s="38" t="s">
        <v>92</v>
      </c>
      <c r="C121" s="335">
        <v>4</v>
      </c>
      <c r="D121" s="512">
        <f t="shared" si="20"/>
        <v>0</v>
      </c>
      <c r="E121" s="512">
        <f t="shared" si="21"/>
        <v>0</v>
      </c>
      <c r="F121" s="156">
        <f t="shared" si="33"/>
        <v>0</v>
      </c>
      <c r="G121" s="512">
        <f t="shared" si="22"/>
        <v>292300.51595241966</v>
      </c>
      <c r="H121" s="512">
        <f t="shared" si="23"/>
        <v>443322.44919450319</v>
      </c>
      <c r="I121" s="156">
        <f t="shared" si="34"/>
        <v>735622.96514692286</v>
      </c>
      <c r="J121" s="512">
        <f t="shared" si="24"/>
        <v>0</v>
      </c>
      <c r="K121" s="512">
        <f t="shared" si="25"/>
        <v>0</v>
      </c>
      <c r="L121" s="156">
        <f t="shared" si="35"/>
        <v>0</v>
      </c>
      <c r="M121" s="156">
        <f t="shared" si="36"/>
        <v>735622.96514692286</v>
      </c>
      <c r="N121" s="512">
        <f t="shared" si="26"/>
        <v>65876.197229176163</v>
      </c>
      <c r="O121" s="512">
        <f t="shared" si="27"/>
        <v>99912.232464250512</v>
      </c>
      <c r="P121" s="156">
        <f t="shared" si="37"/>
        <v>165788.42969342667</v>
      </c>
      <c r="Q121" s="512">
        <f t="shared" si="28"/>
        <v>0</v>
      </c>
      <c r="R121" s="512">
        <f t="shared" si="29"/>
        <v>0</v>
      </c>
      <c r="S121" s="156">
        <f t="shared" si="38"/>
        <v>0</v>
      </c>
      <c r="T121" s="156">
        <f t="shared" si="39"/>
        <v>165788.42969342667</v>
      </c>
      <c r="U121" s="156">
        <f t="shared" si="40"/>
        <v>901411.39484034956</v>
      </c>
      <c r="V121" s="334">
        <f t="shared" si="41"/>
        <v>62.916666666666671</v>
      </c>
      <c r="W121" s="512">
        <f t="shared" si="30"/>
        <v>14327.068527263833</v>
      </c>
      <c r="X121" s="36"/>
      <c r="Y121" s="94">
        <f t="shared" si="42"/>
        <v>629166.66666666674</v>
      </c>
      <c r="Z121" s="512">
        <f t="shared" si="43"/>
        <v>0</v>
      </c>
      <c r="AA121" s="512">
        <f t="shared" si="44"/>
        <v>629166.66666666674</v>
      </c>
      <c r="AB121" s="512">
        <f>VLOOKUP(A121,'2016-17 Funding Detail'!$A$4:$X$23,24,FALSE)</f>
        <v>1349837.6353782322</v>
      </c>
      <c r="AC121" s="512">
        <f t="shared" si="45"/>
        <v>720670.96871156548</v>
      </c>
      <c r="AD121" s="512">
        <f t="shared" si="46"/>
        <v>286359.32531585381</v>
      </c>
      <c r="AE121" s="512">
        <f t="shared" si="47"/>
        <v>434311.64339571173</v>
      </c>
      <c r="AF121" s="512">
        <f t="shared" si="48"/>
        <v>720670.96871156548</v>
      </c>
      <c r="AG121" s="512">
        <f t="shared" si="31"/>
        <v>0</v>
      </c>
      <c r="AH121" s="512">
        <f t="shared" si="32"/>
        <v>0</v>
      </c>
      <c r="AI121" s="512">
        <f t="shared" si="49"/>
        <v>0</v>
      </c>
      <c r="AJ121" s="512">
        <f t="shared" si="50"/>
        <v>720670.96871156548</v>
      </c>
      <c r="AK121" s="134"/>
      <c r="AL121" s="512">
        <f t="shared" si="51"/>
        <v>1349837.6353782322</v>
      </c>
      <c r="AM121" s="125" t="s">
        <v>402</v>
      </c>
      <c r="AN121" s="627" t="s">
        <v>402</v>
      </c>
      <c r="AO121" s="125"/>
    </row>
    <row r="122" spans="1:41" ht="13" x14ac:dyDescent="0.3">
      <c r="A122" s="185">
        <v>9257028</v>
      </c>
      <c r="B122" s="38" t="s">
        <v>77</v>
      </c>
      <c r="C122" s="337">
        <v>5</v>
      </c>
      <c r="D122" s="512">
        <f t="shared" si="20"/>
        <v>0</v>
      </c>
      <c r="E122" s="512">
        <f t="shared" si="21"/>
        <v>0</v>
      </c>
      <c r="F122" s="156">
        <f t="shared" si="33"/>
        <v>0</v>
      </c>
      <c r="G122" s="512">
        <f t="shared" si="22"/>
        <v>234307.86807157795</v>
      </c>
      <c r="H122" s="512">
        <f t="shared" si="23"/>
        <v>316102.61474383785</v>
      </c>
      <c r="I122" s="156">
        <f t="shared" si="34"/>
        <v>550410.48281541583</v>
      </c>
      <c r="J122" s="512">
        <f t="shared" si="24"/>
        <v>54529.831114839952</v>
      </c>
      <c r="K122" s="512">
        <f t="shared" si="25"/>
        <v>109059.6622296799</v>
      </c>
      <c r="L122" s="156">
        <f t="shared" si="35"/>
        <v>163589.49334451987</v>
      </c>
      <c r="M122" s="156">
        <f t="shared" si="36"/>
        <v>713999.9761599357</v>
      </c>
      <c r="N122" s="512">
        <f t="shared" si="26"/>
        <v>14458.742819079744</v>
      </c>
      <c r="O122" s="512">
        <f t="shared" si="27"/>
        <v>19506.158494103944</v>
      </c>
      <c r="P122" s="156">
        <f t="shared" si="37"/>
        <v>33964.901313183684</v>
      </c>
      <c r="Q122" s="512">
        <f t="shared" si="28"/>
        <v>3364.9437833494671</v>
      </c>
      <c r="R122" s="512">
        <f t="shared" si="29"/>
        <v>6729.8875666989343</v>
      </c>
      <c r="S122" s="156">
        <f t="shared" si="38"/>
        <v>10094.831350048402</v>
      </c>
      <c r="T122" s="156">
        <f t="shared" si="39"/>
        <v>44059.732663232084</v>
      </c>
      <c r="U122" s="156">
        <f t="shared" si="40"/>
        <v>758059.70882316784</v>
      </c>
      <c r="V122" s="334">
        <f t="shared" si="41"/>
        <v>69.833333333333343</v>
      </c>
      <c r="W122" s="512">
        <f t="shared" si="30"/>
        <v>10855.270293410516</v>
      </c>
      <c r="X122" s="36"/>
      <c r="Y122" s="94">
        <f t="shared" si="42"/>
        <v>538333.33333333337</v>
      </c>
      <c r="Z122" s="512">
        <f t="shared" si="43"/>
        <v>160000</v>
      </c>
      <c r="AA122" s="512">
        <f t="shared" si="44"/>
        <v>698333.33333333337</v>
      </c>
      <c r="AB122" s="512">
        <f>VLOOKUP(A122,'2016-17 Funding Detail'!$A$4:$X$23,24,FALSE)</f>
        <v>1304338.5153645584</v>
      </c>
      <c r="AC122" s="512">
        <f t="shared" si="45"/>
        <v>606005.18203122506</v>
      </c>
      <c r="AD122" s="512">
        <f t="shared" si="46"/>
        <v>198868.04899592698</v>
      </c>
      <c r="AE122" s="512">
        <f t="shared" si="47"/>
        <v>268291.07700905058</v>
      </c>
      <c r="AF122" s="512">
        <f t="shared" si="48"/>
        <v>467159.12600497756</v>
      </c>
      <c r="AG122" s="512">
        <f t="shared" si="31"/>
        <v>46282.01867541574</v>
      </c>
      <c r="AH122" s="512">
        <f t="shared" si="32"/>
        <v>92564.037350831481</v>
      </c>
      <c r="AI122" s="512">
        <f t="shared" si="49"/>
        <v>138846.05602624721</v>
      </c>
      <c r="AJ122" s="512">
        <f t="shared" si="50"/>
        <v>606005.18203122471</v>
      </c>
      <c r="AK122" s="134"/>
      <c r="AL122" s="512">
        <f t="shared" si="51"/>
        <v>1304338.515364558</v>
      </c>
      <c r="AM122" s="125" t="s">
        <v>402</v>
      </c>
      <c r="AN122" s="627" t="s">
        <v>402</v>
      </c>
      <c r="AO122" s="125"/>
    </row>
    <row r="123" spans="1:41" ht="13" x14ac:dyDescent="0.3">
      <c r="A123" s="185">
        <v>9257021</v>
      </c>
      <c r="B123" s="38" t="s">
        <v>78</v>
      </c>
      <c r="C123" s="337">
        <v>5</v>
      </c>
      <c r="D123" s="512">
        <f t="shared" si="20"/>
        <v>0</v>
      </c>
      <c r="E123" s="512">
        <f t="shared" si="21"/>
        <v>0</v>
      </c>
      <c r="F123" s="156">
        <f t="shared" si="33"/>
        <v>0</v>
      </c>
      <c r="G123" s="512">
        <f t="shared" si="22"/>
        <v>431835.01619482733</v>
      </c>
      <c r="H123" s="512">
        <f t="shared" si="23"/>
        <v>660309.42901847372</v>
      </c>
      <c r="I123" s="156">
        <f t="shared" si="34"/>
        <v>1092144.4452133011</v>
      </c>
      <c r="J123" s="512">
        <f t="shared" si="24"/>
        <v>0</v>
      </c>
      <c r="K123" s="512">
        <f t="shared" si="25"/>
        <v>0</v>
      </c>
      <c r="L123" s="156">
        <f t="shared" si="35"/>
        <v>0</v>
      </c>
      <c r="M123" s="156">
        <f t="shared" si="36"/>
        <v>1092144.4452133011</v>
      </c>
      <c r="N123" s="512">
        <f t="shared" si="26"/>
        <v>21804.093449093518</v>
      </c>
      <c r="O123" s="512">
        <f t="shared" si="27"/>
        <v>33340.159912230942</v>
      </c>
      <c r="P123" s="156">
        <f t="shared" si="37"/>
        <v>55144.25336132446</v>
      </c>
      <c r="Q123" s="512">
        <f t="shared" si="28"/>
        <v>0</v>
      </c>
      <c r="R123" s="512">
        <f t="shared" si="29"/>
        <v>0</v>
      </c>
      <c r="S123" s="156">
        <f t="shared" si="38"/>
        <v>0</v>
      </c>
      <c r="T123" s="156">
        <f t="shared" si="39"/>
        <v>55144.25336132446</v>
      </c>
      <c r="U123" s="156">
        <f t="shared" si="40"/>
        <v>1147288.6985746257</v>
      </c>
      <c r="V123" s="334">
        <f t="shared" si="41"/>
        <v>148.58333333333334</v>
      </c>
      <c r="W123" s="512">
        <f t="shared" si="30"/>
        <v>7721.5167598965263</v>
      </c>
      <c r="X123" s="36"/>
      <c r="Y123" s="94">
        <f t="shared" si="42"/>
        <v>1485833.3333333335</v>
      </c>
      <c r="Z123" s="512">
        <f t="shared" si="43"/>
        <v>0</v>
      </c>
      <c r="AA123" s="512">
        <f t="shared" si="44"/>
        <v>1485833.3333333335</v>
      </c>
      <c r="AB123" s="512">
        <f>VLOOKUP(A123,'2016-17 Funding Detail'!$A$4:$X$23,24,FALSE)</f>
        <v>1709844.939971274</v>
      </c>
      <c r="AC123" s="512">
        <f t="shared" si="45"/>
        <v>224011.60663794051</v>
      </c>
      <c r="AD123" s="512">
        <f t="shared" si="46"/>
        <v>88574.415412085247</v>
      </c>
      <c r="AE123" s="512">
        <f t="shared" si="47"/>
        <v>135437.19122585517</v>
      </c>
      <c r="AF123" s="512">
        <f t="shared" si="48"/>
        <v>224011.60663794042</v>
      </c>
      <c r="AG123" s="512">
        <f t="shared" si="31"/>
        <v>0</v>
      </c>
      <c r="AH123" s="512">
        <f t="shared" si="32"/>
        <v>0</v>
      </c>
      <c r="AI123" s="512">
        <f t="shared" si="49"/>
        <v>0</v>
      </c>
      <c r="AJ123" s="512">
        <f t="shared" si="50"/>
        <v>224011.60663794042</v>
      </c>
      <c r="AK123" s="134"/>
      <c r="AL123" s="512">
        <f t="shared" si="51"/>
        <v>1709844.939971274</v>
      </c>
      <c r="AM123" s="125" t="s">
        <v>402</v>
      </c>
      <c r="AN123" s="627" t="s">
        <v>402</v>
      </c>
      <c r="AO123" s="125"/>
    </row>
    <row r="124" spans="1:41" ht="13" x14ac:dyDescent="0.3">
      <c r="A124" s="131">
        <v>9257015</v>
      </c>
      <c r="B124" s="38" t="s">
        <v>55</v>
      </c>
      <c r="C124" s="335">
        <v>6</v>
      </c>
      <c r="D124" s="512">
        <f t="shared" si="20"/>
        <v>29875.568123471203</v>
      </c>
      <c r="E124" s="512">
        <f t="shared" si="21"/>
        <v>0</v>
      </c>
      <c r="F124" s="156">
        <f t="shared" si="33"/>
        <v>29875.568123471203</v>
      </c>
      <c r="G124" s="512">
        <f t="shared" si="22"/>
        <v>690125.62365218473</v>
      </c>
      <c r="H124" s="512">
        <f t="shared" si="23"/>
        <v>1100018.4183062098</v>
      </c>
      <c r="I124" s="156">
        <f t="shared" si="34"/>
        <v>1790144.0419583945</v>
      </c>
      <c r="J124" s="512">
        <f t="shared" si="24"/>
        <v>45410.863547676221</v>
      </c>
      <c r="K124" s="512">
        <f t="shared" si="25"/>
        <v>90821.727095352442</v>
      </c>
      <c r="L124" s="156">
        <f t="shared" si="35"/>
        <v>136232.59064302867</v>
      </c>
      <c r="M124" s="156">
        <f t="shared" si="36"/>
        <v>1926376.6326014232</v>
      </c>
      <c r="N124" s="512">
        <f t="shared" si="26"/>
        <v>17071.143583044573</v>
      </c>
      <c r="O124" s="512">
        <f t="shared" si="27"/>
        <v>26081.307333099638</v>
      </c>
      <c r="P124" s="156">
        <f t="shared" si="37"/>
        <v>43152.450916144211</v>
      </c>
      <c r="Q124" s="512">
        <f t="shared" si="28"/>
        <v>1076.6862342833092</v>
      </c>
      <c r="R124" s="512">
        <f t="shared" si="29"/>
        <v>2153.3724685666184</v>
      </c>
      <c r="S124" s="156">
        <f t="shared" si="38"/>
        <v>3230.0587028499276</v>
      </c>
      <c r="T124" s="156">
        <f t="shared" si="39"/>
        <v>46382.50961899414</v>
      </c>
      <c r="U124" s="156">
        <f t="shared" si="40"/>
        <v>2002634.7103438887</v>
      </c>
      <c r="V124" s="334">
        <f t="shared" si="41"/>
        <v>272.83333333333337</v>
      </c>
      <c r="W124" s="512">
        <f t="shared" si="30"/>
        <v>7340.139439256769</v>
      </c>
      <c r="X124" s="36"/>
      <c r="Y124" s="94">
        <f t="shared" si="42"/>
        <v>2538333.3333333335</v>
      </c>
      <c r="Z124" s="512">
        <f t="shared" si="43"/>
        <v>190000</v>
      </c>
      <c r="AA124" s="512">
        <f t="shared" si="44"/>
        <v>2728333.3333333335</v>
      </c>
      <c r="AB124" s="512">
        <f>VLOOKUP(A124,'2016-17 Funding Detail'!$A$4:$X$23,24,FALSE)</f>
        <v>2728333.3333333335</v>
      </c>
      <c r="AC124" s="512">
        <f t="shared" si="45"/>
        <v>0</v>
      </c>
      <c r="AD124" s="512">
        <f t="shared" si="46"/>
        <v>0</v>
      </c>
      <c r="AE124" s="512">
        <f t="shared" si="47"/>
        <v>0</v>
      </c>
      <c r="AF124" s="512">
        <f t="shared" si="48"/>
        <v>0</v>
      </c>
      <c r="AG124" s="512">
        <f t="shared" si="31"/>
        <v>0</v>
      </c>
      <c r="AH124" s="512">
        <f t="shared" si="32"/>
        <v>0</v>
      </c>
      <c r="AI124" s="512">
        <f t="shared" si="49"/>
        <v>0</v>
      </c>
      <c r="AJ124" s="512">
        <f t="shared" si="50"/>
        <v>0</v>
      </c>
      <c r="AK124" s="134"/>
      <c r="AL124" s="512">
        <f t="shared" si="51"/>
        <v>2728333.3333333335</v>
      </c>
      <c r="AM124" s="125" t="s">
        <v>402</v>
      </c>
      <c r="AN124" s="627" t="s">
        <v>402</v>
      </c>
      <c r="AO124" s="125"/>
    </row>
    <row r="125" spans="1:41" ht="13" x14ac:dyDescent="0.3">
      <c r="A125" s="185">
        <v>9257016</v>
      </c>
      <c r="B125" s="38" t="s">
        <v>80</v>
      </c>
      <c r="C125" s="336">
        <v>6</v>
      </c>
      <c r="D125" s="512">
        <f t="shared" si="20"/>
        <v>0</v>
      </c>
      <c r="E125" s="512">
        <f t="shared" si="21"/>
        <v>0</v>
      </c>
      <c r="F125" s="156">
        <f t="shared" si="33"/>
        <v>0</v>
      </c>
      <c r="G125" s="512">
        <f t="shared" si="22"/>
        <v>333053.08543802291</v>
      </c>
      <c r="H125" s="512">
        <f t="shared" si="23"/>
        <v>572514.03800612036</v>
      </c>
      <c r="I125" s="156">
        <f t="shared" si="34"/>
        <v>905567.12344414322</v>
      </c>
      <c r="J125" s="512">
        <f t="shared" si="24"/>
        <v>182125.23153066565</v>
      </c>
      <c r="K125" s="512">
        <f t="shared" si="25"/>
        <v>364250.46306133131</v>
      </c>
      <c r="L125" s="156">
        <f t="shared" si="35"/>
        <v>546375.69459199696</v>
      </c>
      <c r="M125" s="156">
        <f>I125+L125</f>
        <v>1451942.8180361402</v>
      </c>
      <c r="N125" s="512">
        <f t="shared" si="26"/>
        <v>0</v>
      </c>
      <c r="O125" s="512">
        <f t="shared" si="27"/>
        <v>0</v>
      </c>
      <c r="P125" s="156">
        <f t="shared" si="37"/>
        <v>0</v>
      </c>
      <c r="Q125" s="512">
        <f t="shared" si="28"/>
        <v>0</v>
      </c>
      <c r="R125" s="512">
        <f t="shared" si="29"/>
        <v>0</v>
      </c>
      <c r="S125" s="156">
        <f t="shared" si="38"/>
        <v>0</v>
      </c>
      <c r="T125" s="156">
        <f t="shared" si="39"/>
        <v>0</v>
      </c>
      <c r="U125" s="156">
        <f t="shared" si="40"/>
        <v>1451942.8180361402</v>
      </c>
      <c r="V125" s="334">
        <f t="shared" si="41"/>
        <v>143.5</v>
      </c>
      <c r="W125" s="512">
        <f t="shared" si="30"/>
        <v>10118.068418370314</v>
      </c>
      <c r="X125" s="36"/>
      <c r="Y125" s="94">
        <f t="shared" si="42"/>
        <v>895000</v>
      </c>
      <c r="Z125" s="512">
        <f t="shared" si="43"/>
        <v>540000</v>
      </c>
      <c r="AA125" s="512">
        <f t="shared" si="44"/>
        <v>1435000</v>
      </c>
      <c r="AB125" s="512">
        <f>VLOOKUP(A125,'2016-17 Funding Detail'!$A$4:$X$23,24,FALSE)</f>
        <v>2347224.335787409</v>
      </c>
      <c r="AC125" s="512">
        <f t="shared" si="45"/>
        <v>912224.33578740899</v>
      </c>
      <c r="AD125" s="512">
        <f t="shared" si="46"/>
        <v>209250.06541000379</v>
      </c>
      <c r="AE125" s="512">
        <f t="shared" si="47"/>
        <v>359698.21370479133</v>
      </c>
      <c r="AF125" s="512">
        <f t="shared" si="48"/>
        <v>568948.27911479515</v>
      </c>
      <c r="AG125" s="512">
        <f t="shared" si="31"/>
        <v>114425.35222420462</v>
      </c>
      <c r="AH125" s="512">
        <f t="shared" si="32"/>
        <v>228850.70444840923</v>
      </c>
      <c r="AI125" s="512">
        <f t="shared" si="49"/>
        <v>343276.05667261383</v>
      </c>
      <c r="AJ125" s="512">
        <f t="shared" si="50"/>
        <v>912224.33578740899</v>
      </c>
      <c r="AK125" s="134"/>
      <c r="AL125" s="512">
        <f t="shared" si="51"/>
        <v>2347224.335787409</v>
      </c>
      <c r="AM125" s="125" t="s">
        <v>402</v>
      </c>
      <c r="AN125" s="627" t="s">
        <v>402</v>
      </c>
      <c r="AO125" s="125"/>
    </row>
    <row r="126" spans="1:41" x14ac:dyDescent="0.25">
      <c r="V126" s="347"/>
    </row>
    <row r="127" spans="1:41" ht="13" thickBot="1" x14ac:dyDescent="0.3">
      <c r="D127" s="70">
        <f>SUM(D108:D125)</f>
        <v>159453.0923718877</v>
      </c>
      <c r="E127" s="70">
        <f t="shared" ref="E127:S127" si="52">SUM(E108:E125)</f>
        <v>0</v>
      </c>
      <c r="F127" s="70">
        <f t="shared" si="52"/>
        <v>159453.0923718877</v>
      </c>
      <c r="G127" s="70">
        <f t="shared" si="52"/>
        <v>5179577.1016956642</v>
      </c>
      <c r="H127" s="70">
        <f t="shared" si="52"/>
        <v>7723326.239007283</v>
      </c>
      <c r="I127" s="70">
        <f t="shared" si="52"/>
        <v>12902903.340702947</v>
      </c>
      <c r="J127" s="70">
        <f t="shared" si="52"/>
        <v>581709.87444175896</v>
      </c>
      <c r="K127" s="70">
        <f t="shared" si="52"/>
        <v>1163419.7488835179</v>
      </c>
      <c r="L127" s="70">
        <f t="shared" si="52"/>
        <v>1745129.6233252769</v>
      </c>
      <c r="M127" s="70">
        <f>SUM(M108:M125)</f>
        <v>14648032.964028226</v>
      </c>
      <c r="N127" s="70">
        <f t="shared" si="52"/>
        <v>451742.86445918604</v>
      </c>
      <c r="O127" s="70">
        <f t="shared" si="52"/>
        <v>634137.75900852529</v>
      </c>
      <c r="P127" s="70">
        <f t="shared" si="52"/>
        <v>1085880.6234677115</v>
      </c>
      <c r="Q127" s="70">
        <f t="shared" si="52"/>
        <v>19253.253359859609</v>
      </c>
      <c r="R127" s="70">
        <f t="shared" si="52"/>
        <v>38506.506719719218</v>
      </c>
      <c r="S127" s="70">
        <f t="shared" si="52"/>
        <v>57759.760079578831</v>
      </c>
      <c r="T127" s="70">
        <f>SUM(T108:T125)</f>
        <v>1143640.3835472902</v>
      </c>
      <c r="U127" s="70">
        <f>SUM(U108:U125)</f>
        <v>15951126.439947402</v>
      </c>
      <c r="V127" s="250">
        <f>SUM(V108:V125)</f>
        <v>1685.75</v>
      </c>
      <c r="W127" s="70">
        <f>AVERAGE(W108:W125)</f>
        <v>10284.921004300575</v>
      </c>
      <c r="Y127" s="642">
        <f>SUM(Y108:Y125)</f>
        <v>14967500</v>
      </c>
      <c r="Z127" s="642">
        <f t="shared" ref="Z127:AL127" si="53">SUM(Z108:Z125)</f>
        <v>1890000</v>
      </c>
      <c r="AA127" s="70">
        <f t="shared" si="53"/>
        <v>16857500</v>
      </c>
      <c r="AB127" s="70">
        <f t="shared" si="53"/>
        <v>25193996.504152965</v>
      </c>
      <c r="AC127" s="70">
        <f t="shared" si="53"/>
        <v>8336496.5041529657</v>
      </c>
      <c r="AD127" s="70">
        <f t="shared" si="53"/>
        <v>2984331.4403555626</v>
      </c>
      <c r="AE127" s="70">
        <f t="shared" si="53"/>
        <v>4271070.8178100279</v>
      </c>
      <c r="AF127" s="70">
        <f t="shared" si="53"/>
        <v>7255402.2581655895</v>
      </c>
      <c r="AG127" s="70">
        <f t="shared" si="53"/>
        <v>360364.74866245798</v>
      </c>
      <c r="AH127" s="70">
        <f t="shared" si="53"/>
        <v>720729.49732491595</v>
      </c>
      <c r="AI127" s="70">
        <f t="shared" si="53"/>
        <v>1081094.2459873739</v>
      </c>
      <c r="AJ127" s="70">
        <f t="shared" si="53"/>
        <v>8336496.5041529629</v>
      </c>
      <c r="AK127" s="642"/>
      <c r="AL127" s="70">
        <f t="shared" si="53"/>
        <v>25193996.504152965</v>
      </c>
    </row>
    <row r="129" spans="4:38" x14ac:dyDescent="0.25">
      <c r="D129" s="627" t="s">
        <v>402</v>
      </c>
      <c r="E129" s="627" t="s">
        <v>402</v>
      </c>
      <c r="F129" s="627" t="s">
        <v>402</v>
      </c>
      <c r="G129" s="627" t="s">
        <v>402</v>
      </c>
      <c r="H129" s="627" t="s">
        <v>402</v>
      </c>
      <c r="I129" s="627" t="s">
        <v>402</v>
      </c>
      <c r="J129" s="627" t="s">
        <v>402</v>
      </c>
      <c r="K129" s="627" t="s">
        <v>402</v>
      </c>
      <c r="L129" s="627" t="s">
        <v>402</v>
      </c>
      <c r="M129" s="627" t="s">
        <v>402</v>
      </c>
      <c r="N129" s="627" t="s">
        <v>402</v>
      </c>
      <c r="O129" s="627" t="s">
        <v>402</v>
      </c>
      <c r="P129" s="627" t="s">
        <v>402</v>
      </c>
      <c r="Q129" s="627" t="s">
        <v>402</v>
      </c>
      <c r="R129" s="627" t="s">
        <v>402</v>
      </c>
      <c r="S129" s="627" t="s">
        <v>402</v>
      </c>
      <c r="T129" s="627" t="s">
        <v>402</v>
      </c>
      <c r="U129" s="627" t="s">
        <v>402</v>
      </c>
      <c r="V129" s="627" t="s">
        <v>402</v>
      </c>
      <c r="W129" s="627" t="s">
        <v>402</v>
      </c>
      <c r="Y129" s="627" t="s">
        <v>402</v>
      </c>
      <c r="Z129" s="627" t="s">
        <v>402</v>
      </c>
      <c r="AA129" s="627" t="s">
        <v>402</v>
      </c>
      <c r="AB129" s="627" t="s">
        <v>402</v>
      </c>
      <c r="AC129" s="627" t="s">
        <v>402</v>
      </c>
      <c r="AD129" s="627" t="s">
        <v>402</v>
      </c>
      <c r="AE129" s="627" t="s">
        <v>402</v>
      </c>
      <c r="AF129" s="627" t="s">
        <v>402</v>
      </c>
      <c r="AG129" s="627" t="s">
        <v>402</v>
      </c>
      <c r="AH129" s="627" t="s">
        <v>402</v>
      </c>
      <c r="AI129" s="627" t="s">
        <v>402</v>
      </c>
      <c r="AJ129" s="627" t="s">
        <v>402</v>
      </c>
      <c r="AK129" s="627"/>
      <c r="AL129" s="627" t="s">
        <v>402</v>
      </c>
    </row>
  </sheetData>
  <sheetProtection password="C462" sheet="1" objects="1" scenarios="1"/>
  <mergeCells count="17">
    <mergeCell ref="S1:S4"/>
    <mergeCell ref="U1:W1"/>
    <mergeCell ref="U2:W2"/>
    <mergeCell ref="U3:W3"/>
    <mergeCell ref="P4:Q4"/>
    <mergeCell ref="U4:W4"/>
    <mergeCell ref="D106:F106"/>
    <mergeCell ref="G106:I106"/>
    <mergeCell ref="J106:L106"/>
    <mergeCell ref="N106:P106"/>
    <mergeCell ref="Q106:S106"/>
    <mergeCell ref="AL106:AL107"/>
    <mergeCell ref="M26:N26"/>
    <mergeCell ref="P48:Q48"/>
    <mergeCell ref="M70:N70"/>
    <mergeCell ref="U8:AA10"/>
    <mergeCell ref="U11:AA16"/>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Y131"/>
  <sheetViews>
    <sheetView zoomScaleNormal="100" workbookViewId="0">
      <selection activeCell="F8" sqref="F8"/>
    </sheetView>
  </sheetViews>
  <sheetFormatPr defaultRowHeight="12.5" x14ac:dyDescent="0.25"/>
  <cols>
    <col min="2" max="2" width="25.54296875" bestFit="1" customWidth="1"/>
    <col min="4" max="4" width="14.453125" bestFit="1" customWidth="1"/>
    <col min="5" max="5" width="9.1796875" style="1026"/>
    <col min="6" max="6" width="10.54296875" style="1026" customWidth="1"/>
    <col min="7" max="7" width="10.54296875" style="1026" bestFit="1" customWidth="1"/>
    <col min="8" max="12" width="9.54296875" style="1026" bestFit="1" customWidth="1"/>
    <col min="13" max="18" width="9.1796875" style="1026"/>
  </cols>
  <sheetData>
    <row r="3" spans="1:18" x14ac:dyDescent="0.25">
      <c r="E3" s="1047" t="s">
        <v>138</v>
      </c>
      <c r="F3" s="1047" t="s">
        <v>839</v>
      </c>
      <c r="G3" s="1047" t="s">
        <v>840</v>
      </c>
      <c r="H3" s="1047" t="s">
        <v>841</v>
      </c>
      <c r="I3" s="1047" t="s">
        <v>842</v>
      </c>
      <c r="J3" s="1047" t="s">
        <v>843</v>
      </c>
      <c r="K3" s="1047" t="s">
        <v>844</v>
      </c>
      <c r="L3" s="672" t="s">
        <v>845</v>
      </c>
      <c r="N3" s="1047"/>
      <c r="O3" s="1047"/>
      <c r="R3"/>
    </row>
    <row r="4" spans="1:18" x14ac:dyDescent="0.25">
      <c r="A4" s="185">
        <v>9257010</v>
      </c>
      <c r="B4" s="38" t="s">
        <v>67</v>
      </c>
      <c r="C4" t="s">
        <v>846</v>
      </c>
      <c r="D4" t="str">
        <f>CONCATENATE(A4,C4)</f>
        <v>92570102019/20</v>
      </c>
      <c r="E4" s="1030">
        <f>VLOOKUP(A4,'1920 Funding Detail'!$A$4:$M$23,13,(FALSE))</f>
        <v>58.916666666666671</v>
      </c>
      <c r="F4" s="1029">
        <f>$E$4*'1920 Band Calculations'!D6</f>
        <v>2.9458333333333337</v>
      </c>
      <c r="G4" s="1029">
        <f>$E$4*'1920 Band Calculations'!E6</f>
        <v>20.620833333333334</v>
      </c>
      <c r="H4" s="1029">
        <f>$E$4*'1920 Band Calculations'!F6</f>
        <v>3.927777777777778</v>
      </c>
      <c r="I4" s="1029">
        <f>$E$4*'1920 Band Calculations'!G6</f>
        <v>8.8375000000000004</v>
      </c>
      <c r="J4" s="1029">
        <f>$E$4*'1920 Band Calculations'!H6</f>
        <v>2.9458333333333337</v>
      </c>
      <c r="K4" s="1029">
        <f>$E$4*'1920 Band Calculations'!I6</f>
        <v>12.765277777777779</v>
      </c>
      <c r="L4" s="1029">
        <f>$E$4*'1920 Band Calculations'!J6</f>
        <v>6.8736111111111118</v>
      </c>
      <c r="N4" s="16">
        <f>VLOOKUP(A4,'1920 Funding Detail'!$A$4:$U$23,21,(FALSE))*-1</f>
        <v>353.70488551108429</v>
      </c>
      <c r="O4" s="16">
        <f>VLOOKUP(A4,'1920 Funding Detail'!$A$4:$V$23,22,(FALSE))</f>
        <v>18407.883006924778</v>
      </c>
      <c r="P4" s="16"/>
      <c r="R4"/>
    </row>
    <row r="5" spans="1:18" x14ac:dyDescent="0.25">
      <c r="A5" s="185">
        <v>9257010</v>
      </c>
      <c r="B5" s="38" t="s">
        <v>67</v>
      </c>
      <c r="C5" t="s">
        <v>937</v>
      </c>
      <c r="D5" t="str">
        <f>CONCATENATE(A5,C5)</f>
        <v>92570102020/21</v>
      </c>
      <c r="E5" s="1030">
        <f>VLOOKUP(A5,'2021 Funding Detail'!$A$4:$M$23,13,(FALSE))</f>
        <v>62.833333333333329</v>
      </c>
      <c r="F5" s="1046">
        <f>$E$5*'2021 Band Calculations'!D6</f>
        <v>3.927083333333333</v>
      </c>
      <c r="G5" s="1046">
        <f>$E$5*'2021 Band Calculations'!E6</f>
        <v>21.598958333333332</v>
      </c>
      <c r="H5" s="1046">
        <f>$E$5*'2021 Band Calculations'!F6</f>
        <v>3.927083333333333</v>
      </c>
      <c r="I5" s="1046">
        <f>$E$5*'2021 Band Calculations'!G6</f>
        <v>10.799479166666666</v>
      </c>
      <c r="J5" s="1046">
        <f>$E$5*'2021 Band Calculations'!H6</f>
        <v>2.9453125</v>
      </c>
      <c r="K5" s="1046">
        <f>$E$5*'2021 Band Calculations'!I6</f>
        <v>10.799479166666666</v>
      </c>
      <c r="L5" s="1029">
        <f>$E$5*'2021 Band Calculations'!J6</f>
        <v>8.8359375</v>
      </c>
      <c r="N5" s="16">
        <f>IF(N4&gt;0,(N4),(0))</f>
        <v>353.70488551108429</v>
      </c>
      <c r="O5" s="16"/>
      <c r="P5" s="16"/>
      <c r="R5"/>
    </row>
    <row r="6" spans="1:18" x14ac:dyDescent="0.25">
      <c r="A6" s="185"/>
      <c r="B6" s="38"/>
      <c r="E6" s="1047"/>
      <c r="F6" s="1031">
        <f t="shared" ref="F6:K6" si="0">F5-F4</f>
        <v>0.98124999999999929</v>
      </c>
      <c r="G6" s="1031">
        <f t="shared" si="0"/>
        <v>0.97812499999999858</v>
      </c>
      <c r="H6" s="1031">
        <f t="shared" si="0"/>
        <v>-6.9444444444499709E-4</v>
      </c>
      <c r="I6" s="1031">
        <f t="shared" si="0"/>
        <v>1.9619791666666657</v>
      </c>
      <c r="J6" s="1031">
        <f t="shared" si="0"/>
        <v>-5.2083333333374782E-4</v>
      </c>
      <c r="K6" s="1031">
        <f t="shared" si="0"/>
        <v>-1.9657986111111132</v>
      </c>
      <c r="L6" s="1047"/>
      <c r="N6" s="16"/>
      <c r="O6" s="16"/>
      <c r="P6" s="16"/>
      <c r="R6"/>
    </row>
    <row r="7" spans="1:18" x14ac:dyDescent="0.25">
      <c r="A7" s="185"/>
      <c r="B7" s="38"/>
      <c r="E7" s="1047"/>
      <c r="F7" s="16">
        <f t="shared" ref="F7:K7" si="1">F4*$N$5</f>
        <v>1041.9556419014027</v>
      </c>
      <c r="G7" s="16">
        <f t="shared" si="1"/>
        <v>7293.6894933098174</v>
      </c>
      <c r="H7" s="16">
        <f t="shared" si="1"/>
        <v>1389.2741892018701</v>
      </c>
      <c r="I7" s="16">
        <f t="shared" si="1"/>
        <v>3125.8669257042075</v>
      </c>
      <c r="J7" s="16">
        <f t="shared" si="1"/>
        <v>1041.9556419014027</v>
      </c>
      <c r="K7" s="16">
        <f t="shared" si="1"/>
        <v>4515.1411149060777</v>
      </c>
      <c r="L7" s="16">
        <f>SUM(F7:K7)</f>
        <v>18407.883006924778</v>
      </c>
      <c r="N7" s="16"/>
      <c r="O7" s="16">
        <f>SUM(F7:K7)</f>
        <v>18407.883006924778</v>
      </c>
      <c r="P7" s="16">
        <f>O4-O7</f>
        <v>0</v>
      </c>
      <c r="Q7" s="1026" t="s">
        <v>965</v>
      </c>
      <c r="R7"/>
    </row>
    <row r="8" spans="1:18" ht="13" thickBot="1" x14ac:dyDescent="0.3">
      <c r="A8" s="185"/>
      <c r="B8" s="38"/>
      <c r="E8" s="1047"/>
      <c r="F8" s="84">
        <f t="shared" ref="F8:K8" si="2">IF(F6&lt;0,(F5*$N$5),IF(F6&gt;0,(F4*$N$5),(0)))</f>
        <v>1041.9556419014027</v>
      </c>
      <c r="G8" s="84">
        <f t="shared" si="2"/>
        <v>7293.6894933098174</v>
      </c>
      <c r="H8" s="84">
        <f t="shared" si="2"/>
        <v>1389.0285608091538</v>
      </c>
      <c r="I8" s="84">
        <f t="shared" si="2"/>
        <v>3125.8669257042075</v>
      </c>
      <c r="J8" s="84">
        <f t="shared" si="2"/>
        <v>1041.7714206068654</v>
      </c>
      <c r="K8" s="84">
        <f t="shared" si="2"/>
        <v>3819.8285422251729</v>
      </c>
      <c r="L8" s="1033">
        <f>SUM(F8:K8)</f>
        <v>17712.140584556619</v>
      </c>
      <c r="M8" s="16">
        <f>L8-L7</f>
        <v>-695.74242236815917</v>
      </c>
      <c r="N8" s="1047"/>
      <c r="R8"/>
    </row>
    <row r="9" spans="1:18" ht="13.5" thickBot="1" x14ac:dyDescent="0.35">
      <c r="A9" s="185"/>
      <c r="B9" s="38"/>
      <c r="C9" s="420" t="s">
        <v>937</v>
      </c>
      <c r="D9" s="420" t="s">
        <v>1182</v>
      </c>
      <c r="E9" s="1468">
        <f>SUM(F9:K9)</f>
        <v>50.076041666666661</v>
      </c>
      <c r="F9" s="1464">
        <f t="shared" ref="F9:K9" si="3">IF(F8&gt;0,(F8/$N$5),(0))</f>
        <v>2.9458333333333342</v>
      </c>
      <c r="G9" s="1464">
        <f t="shared" si="3"/>
        <v>20.620833333333334</v>
      </c>
      <c r="H9" s="1464">
        <f t="shared" si="3"/>
        <v>3.927083333333333</v>
      </c>
      <c r="I9" s="1464">
        <f t="shared" si="3"/>
        <v>8.8375000000000004</v>
      </c>
      <c r="J9" s="1464">
        <f t="shared" si="3"/>
        <v>2.9453125</v>
      </c>
      <c r="K9" s="1464">
        <f t="shared" si="3"/>
        <v>10.799479166666666</v>
      </c>
      <c r="L9" s="5">
        <v>0</v>
      </c>
      <c r="M9" s="1469">
        <f>IF(L8&gt;0,(L8/E9),(0))</f>
        <v>353.70488551108429</v>
      </c>
      <c r="N9" s="1417"/>
      <c r="O9" s="1417"/>
      <c r="P9" s="1417"/>
      <c r="Q9" s="1417"/>
      <c r="R9"/>
    </row>
    <row r="10" spans="1:18" x14ac:dyDescent="0.25">
      <c r="A10" s="1039"/>
      <c r="B10" s="1040"/>
      <c r="C10" s="1041"/>
      <c r="D10" s="1041"/>
      <c r="E10" s="1042"/>
      <c r="F10" s="1043"/>
      <c r="G10" s="1043"/>
      <c r="H10" s="1043"/>
      <c r="I10" s="1043"/>
      <c r="J10" s="1043"/>
      <c r="K10" s="1043"/>
      <c r="L10" s="1042"/>
      <c r="M10" s="1042"/>
      <c r="N10" s="1042"/>
      <c r="O10" s="1042"/>
      <c r="P10" s="1042"/>
      <c r="Q10" s="1042"/>
      <c r="R10"/>
    </row>
    <row r="11" spans="1:18" x14ac:dyDescent="0.25">
      <c r="A11" s="185">
        <v>9257005</v>
      </c>
      <c r="B11" s="38" t="s">
        <v>68</v>
      </c>
      <c r="C11" t="s">
        <v>846</v>
      </c>
      <c r="D11" t="str">
        <f>CONCATENATE(A11,C11)</f>
        <v>92570052019/20</v>
      </c>
      <c r="E11" s="1030">
        <f>VLOOKUP(A11,'1920 Funding Detail'!$A$4:$M$23,13,(FALSE))</f>
        <v>73.25</v>
      </c>
      <c r="F11" s="233">
        <f>$E$11*'1920 Band Calculations'!D7</f>
        <v>7.9189189189189193</v>
      </c>
      <c r="G11" s="233">
        <f>$E$11*'1920 Band Calculations'!E7</f>
        <v>16.827702702702705</v>
      </c>
      <c r="H11" s="233">
        <f>$E$11*'1920 Band Calculations'!F7</f>
        <v>8.9087837837837842</v>
      </c>
      <c r="I11" s="233">
        <f>$E$11*'1920 Band Calculations'!G7</f>
        <v>10.888513513513514</v>
      </c>
      <c r="J11" s="233">
        <f>$E$11*'1920 Band Calculations'!H7</f>
        <v>9.8986486486486491</v>
      </c>
      <c r="K11" s="233">
        <f>$E$11*'1920 Band Calculations'!I7</f>
        <v>12.868243243243244</v>
      </c>
      <c r="L11" s="233">
        <f>$E$11*'1920 Band Calculations'!J7</f>
        <v>5.9391891891891895</v>
      </c>
      <c r="N11" s="16">
        <f>VLOOKUP(A11,'1920 Funding Detail'!$A$4:$U$23,21,(FALSE))*-1</f>
        <v>130.55288438137359</v>
      </c>
      <c r="O11" s="16">
        <f>VLOOKUP(A11,'1920 Funding Detail'!$A$4:$V$23,22,(FALSE))</f>
        <v>8787.6205014002953</v>
      </c>
      <c r="P11" s="16"/>
      <c r="R11"/>
    </row>
    <row r="12" spans="1:18" x14ac:dyDescent="0.25">
      <c r="A12" s="185">
        <v>9257005</v>
      </c>
      <c r="B12" s="38" t="s">
        <v>68</v>
      </c>
      <c r="C12" t="s">
        <v>937</v>
      </c>
      <c r="D12" t="str">
        <f>CONCATENATE(A12,C12)</f>
        <v>92570052020/21</v>
      </c>
      <c r="E12" s="1030">
        <f>VLOOKUP(A12,'2021 Funding Detail'!$A$4:$M$23,13,(FALSE))</f>
        <v>77.583333333333329</v>
      </c>
      <c r="F12" s="1046">
        <f>$E$12*'2021 Band Calculations'!D6</f>
        <v>4.848958333333333</v>
      </c>
      <c r="G12" s="1046">
        <f>$E$12*'2021 Band Calculations'!E6</f>
        <v>26.669270833333332</v>
      </c>
      <c r="H12" s="1046">
        <f>$E$12*'2021 Band Calculations'!F6</f>
        <v>4.848958333333333</v>
      </c>
      <c r="I12" s="1046">
        <f>$E$12*'2021 Band Calculations'!G6</f>
        <v>13.334635416666666</v>
      </c>
      <c r="J12" s="1046">
        <f>$E$12*'2021 Band Calculations'!H6</f>
        <v>3.63671875</v>
      </c>
      <c r="K12" s="1046">
        <f>$E$12*'2021 Band Calculations'!I6</f>
        <v>13.334635416666666</v>
      </c>
      <c r="L12" s="1029">
        <f>$E$12*'2021 Band Calculations'!J6</f>
        <v>10.91015625</v>
      </c>
      <c r="N12" s="16">
        <f>IF(N11&gt;0,(N11),(0))</f>
        <v>130.55288438137359</v>
      </c>
      <c r="O12" s="16"/>
      <c r="P12" s="16"/>
      <c r="R12"/>
    </row>
    <row r="13" spans="1:18" x14ac:dyDescent="0.25">
      <c r="A13" s="185"/>
      <c r="B13" s="38"/>
      <c r="E13" s="1030"/>
      <c r="F13" s="1031">
        <f t="shared" ref="F13:K13" si="4">F12-F11</f>
        <v>-3.0699605855855863</v>
      </c>
      <c r="G13" s="1031">
        <f t="shared" si="4"/>
        <v>9.8415681306306269</v>
      </c>
      <c r="H13" s="1031">
        <f t="shared" si="4"/>
        <v>-4.0598254504504512</v>
      </c>
      <c r="I13" s="1031">
        <f t="shared" si="4"/>
        <v>2.446121903153152</v>
      </c>
      <c r="J13" s="1031">
        <f t="shared" si="4"/>
        <v>-6.2619298986486491</v>
      </c>
      <c r="K13" s="1031">
        <f t="shared" si="4"/>
        <v>0.46639217342342221</v>
      </c>
      <c r="L13" s="1029"/>
      <c r="N13" s="16"/>
      <c r="O13" s="16"/>
      <c r="P13" s="16"/>
      <c r="R13"/>
    </row>
    <row r="14" spans="1:18" x14ac:dyDescent="0.25">
      <c r="A14" s="185"/>
      <c r="B14" s="38"/>
      <c r="E14" s="1047"/>
      <c r="F14" s="16">
        <f t="shared" ref="F14:K14" si="5">F11*$N$12</f>
        <v>1033.8377060470937</v>
      </c>
      <c r="G14" s="16">
        <f t="shared" si="5"/>
        <v>2196.9051253500743</v>
      </c>
      <c r="H14" s="16">
        <f t="shared" si="5"/>
        <v>1163.0674193029804</v>
      </c>
      <c r="I14" s="16">
        <f t="shared" si="5"/>
        <v>1421.5268458147536</v>
      </c>
      <c r="J14" s="16">
        <f t="shared" si="5"/>
        <v>1292.2971325588669</v>
      </c>
      <c r="K14" s="16">
        <f t="shared" si="5"/>
        <v>1679.9862723265271</v>
      </c>
      <c r="L14" s="16">
        <f>SUM(F14:K14)</f>
        <v>8787.6205014002953</v>
      </c>
      <c r="N14" s="16"/>
      <c r="O14" s="16">
        <f>SUM(F14:K14)</f>
        <v>8787.6205014002953</v>
      </c>
      <c r="P14" s="16">
        <f>O11-O14</f>
        <v>0</v>
      </c>
      <c r="Q14" s="1026" t="s">
        <v>965</v>
      </c>
      <c r="R14"/>
    </row>
    <row r="15" spans="1:18" ht="13" thickBot="1" x14ac:dyDescent="0.3">
      <c r="A15" s="185"/>
      <c r="B15" s="38"/>
      <c r="E15" s="1047"/>
      <c r="F15" s="16">
        <f t="shared" ref="F15:K15" si="6">IF(F13&lt;0,(F12*$N$11),IF(F13&gt;0,(F11*$N$11),(0)))</f>
        <v>633.04549666176456</v>
      </c>
      <c r="G15" s="16">
        <f t="shared" si="6"/>
        <v>2196.9051253500743</v>
      </c>
      <c r="H15" s="16">
        <f t="shared" si="6"/>
        <v>633.04549666176456</v>
      </c>
      <c r="I15" s="16">
        <f t="shared" si="6"/>
        <v>1421.5268458147536</v>
      </c>
      <c r="J15" s="16">
        <f t="shared" si="6"/>
        <v>474.78412249632345</v>
      </c>
      <c r="K15" s="16">
        <f t="shared" si="6"/>
        <v>1679.9862723265271</v>
      </c>
      <c r="L15" s="1033">
        <f>SUM(F15:K15)</f>
        <v>7039.2933593112066</v>
      </c>
      <c r="M15" s="16">
        <f>L15-L14</f>
        <v>-1748.3271420890887</v>
      </c>
      <c r="N15" s="16"/>
      <c r="O15" s="16"/>
      <c r="P15" s="1047"/>
      <c r="R15"/>
    </row>
    <row r="16" spans="1:18" ht="13.5" thickBot="1" x14ac:dyDescent="0.35">
      <c r="A16" s="185"/>
      <c r="B16" s="38"/>
      <c r="C16" s="420" t="s">
        <v>937</v>
      </c>
      <c r="D16" s="420" t="s">
        <v>1182</v>
      </c>
      <c r="E16" s="1468">
        <f>SUM(F16:K16)</f>
        <v>53.919094876126124</v>
      </c>
      <c r="F16" s="1464">
        <f t="shared" ref="F16:K16" si="7">IF(F15&gt;0,(F15/$N$12),(0))</f>
        <v>4.848958333333333</v>
      </c>
      <c r="G16" s="1464">
        <f t="shared" si="7"/>
        <v>16.827702702702705</v>
      </c>
      <c r="H16" s="1464">
        <f t="shared" si="7"/>
        <v>4.848958333333333</v>
      </c>
      <c r="I16" s="1464">
        <f t="shared" si="7"/>
        <v>10.888513513513514</v>
      </c>
      <c r="J16" s="1464">
        <f t="shared" si="7"/>
        <v>3.63671875</v>
      </c>
      <c r="K16" s="1464">
        <f t="shared" si="7"/>
        <v>12.868243243243244</v>
      </c>
      <c r="L16" s="5">
        <v>0</v>
      </c>
      <c r="M16" s="1469">
        <f>IF(L15&gt;0,(L15/E16),(0))</f>
        <v>130.55288438137359</v>
      </c>
      <c r="N16" s="16"/>
      <c r="O16" s="16"/>
      <c r="P16" s="1417"/>
      <c r="Q16" s="1417"/>
      <c r="R16"/>
    </row>
    <row r="17" spans="1:18" x14ac:dyDescent="0.25">
      <c r="A17" s="1034"/>
      <c r="B17" s="1035"/>
      <c r="C17" s="1036"/>
      <c r="D17" s="1036"/>
      <c r="E17" s="1037"/>
      <c r="F17" s="1037"/>
      <c r="G17" s="1037"/>
      <c r="H17" s="1037"/>
      <c r="I17" s="1037"/>
      <c r="J17" s="1037"/>
      <c r="K17" s="1037"/>
      <c r="L17" s="1037"/>
      <c r="M17" s="1037"/>
      <c r="N17" s="1037"/>
      <c r="O17" s="1037"/>
      <c r="P17" s="1037"/>
      <c r="Q17" s="1037"/>
      <c r="R17"/>
    </row>
    <row r="18" spans="1:18" x14ac:dyDescent="0.25">
      <c r="A18" s="185">
        <v>9257025</v>
      </c>
      <c r="B18" s="38" t="s">
        <v>69</v>
      </c>
      <c r="C18" t="s">
        <v>846</v>
      </c>
      <c r="D18" t="str">
        <f>CONCATENATE(A18,C18)</f>
        <v>92570252019/20</v>
      </c>
      <c r="E18" s="1030">
        <f>VLOOKUP(A18,'1920 Funding Detail'!$A$4:$M$23,13,(FALSE))</f>
        <v>71.416666666666686</v>
      </c>
      <c r="F18" s="1029">
        <f>$E$18*'1920 Band Calculations'!D8</f>
        <v>16.406531531531538</v>
      </c>
      <c r="G18" s="1029">
        <f>$E$18*'1920 Band Calculations'!E8</f>
        <v>21.231981981981988</v>
      </c>
      <c r="H18" s="1029">
        <f>$E$18*'1920 Band Calculations'!F8</f>
        <v>8.6858108108108141</v>
      </c>
      <c r="I18" s="1029">
        <f>$E$18*'1920 Band Calculations'!G8</f>
        <v>8.6858108108108141</v>
      </c>
      <c r="J18" s="1029">
        <f>$E$18*'1920 Band Calculations'!H8</f>
        <v>5.7905405405405421</v>
      </c>
      <c r="K18" s="1029">
        <f>$E$18*'1920 Band Calculations'!I8</f>
        <v>7.7207207207207231</v>
      </c>
      <c r="L18" s="1029">
        <f>$E$18*'1920 Band Calculations'!J8</f>
        <v>2.8952702702702711</v>
      </c>
      <c r="N18" s="16">
        <f>VLOOKUP(A18,'1920 Funding Detail'!$A$4:$U$23,21,(FALSE))*-1</f>
        <v>495.74370368773816</v>
      </c>
      <c r="O18" s="16">
        <f>VLOOKUP(A18,'1920 Funding Detail'!$A$4:$V$23,22,(FALSE))</f>
        <v>33969.050831405191</v>
      </c>
      <c r="P18" s="16"/>
      <c r="R18"/>
    </row>
    <row r="19" spans="1:18" x14ac:dyDescent="0.25">
      <c r="A19" s="185">
        <v>9257025</v>
      </c>
      <c r="B19" s="38" t="s">
        <v>69</v>
      </c>
      <c r="C19" t="s">
        <v>937</v>
      </c>
      <c r="D19" t="str">
        <f>CONCATENATE(A19,C19)</f>
        <v>92570252020/21</v>
      </c>
      <c r="E19" s="1030">
        <f>VLOOKUP(A19,'2021 Funding Detail'!$A$4:$M$23,13,(FALSE))</f>
        <v>75.333333333333343</v>
      </c>
      <c r="F19" s="1046">
        <f>$E$19*'2021 Band Calculations'!D8</f>
        <v>12.216216216216218</v>
      </c>
      <c r="G19" s="1046">
        <f>$E$19*'2021 Band Calculations'!E8</f>
        <v>26.468468468468473</v>
      </c>
      <c r="H19" s="1046">
        <f>$E$19*'2021 Band Calculations'!F8</f>
        <v>5.0900900900900909</v>
      </c>
      <c r="I19" s="1046">
        <f>$E$19*'2021 Band Calculations'!G8</f>
        <v>13.234234234234236</v>
      </c>
      <c r="J19" s="1046">
        <f>$E$19*'2021 Band Calculations'!H8</f>
        <v>4.0720720720720731</v>
      </c>
      <c r="K19" s="1046">
        <f>$E$19*'2021 Band Calculations'!I8</f>
        <v>10.180180180180182</v>
      </c>
      <c r="L19" s="1029">
        <f>$E$19*'2021 Band Calculations'!J8</f>
        <v>4.0720720720720731</v>
      </c>
      <c r="N19" s="16">
        <f>IF(N18&gt;0,(N18),(0))</f>
        <v>495.74370368773816</v>
      </c>
      <c r="O19" s="16"/>
      <c r="P19" s="16"/>
    </row>
    <row r="20" spans="1:18" x14ac:dyDescent="0.25">
      <c r="A20" s="185"/>
      <c r="B20" s="38"/>
      <c r="E20" s="1030"/>
      <c r="F20" s="1031">
        <f t="shared" ref="F20:K20" si="8">F19-F18</f>
        <v>-4.1903153153153205</v>
      </c>
      <c r="G20" s="1031">
        <f t="shared" si="8"/>
        <v>5.2364864864864842</v>
      </c>
      <c r="H20" s="1031">
        <f t="shared" si="8"/>
        <v>-3.5957207207207231</v>
      </c>
      <c r="I20" s="1031">
        <f t="shared" si="8"/>
        <v>4.5484234234234222</v>
      </c>
      <c r="J20" s="1031">
        <f t="shared" si="8"/>
        <v>-1.718468468468469</v>
      </c>
      <c r="K20" s="1031">
        <f t="shared" si="8"/>
        <v>2.4594594594594588</v>
      </c>
      <c r="L20" s="1029"/>
      <c r="N20" s="16"/>
      <c r="O20" s="16"/>
      <c r="P20" s="16"/>
    </row>
    <row r="21" spans="1:18" x14ac:dyDescent="0.25">
      <c r="A21" s="185"/>
      <c r="B21" s="38"/>
      <c r="E21" s="1030"/>
      <c r="F21" s="16">
        <f t="shared" ref="F21:K21" si="9">F18*$N$19</f>
        <v>8133.4347061111039</v>
      </c>
      <c r="G21" s="16">
        <f t="shared" si="9"/>
        <v>10525.621384379074</v>
      </c>
      <c r="H21" s="16">
        <f t="shared" si="9"/>
        <v>4305.9360208823491</v>
      </c>
      <c r="I21" s="16">
        <f t="shared" si="9"/>
        <v>4305.9360208823491</v>
      </c>
      <c r="J21" s="16">
        <f t="shared" si="9"/>
        <v>2870.6240139215656</v>
      </c>
      <c r="K21" s="16">
        <f t="shared" si="9"/>
        <v>3827.4986852287543</v>
      </c>
      <c r="L21" s="16">
        <f>SUM(F21:K21)</f>
        <v>33969.050831405199</v>
      </c>
      <c r="N21" s="16"/>
      <c r="O21" s="16">
        <f>SUM(F21:K21)</f>
        <v>33969.050831405199</v>
      </c>
      <c r="P21" s="16">
        <f>O18-O21</f>
        <v>0</v>
      </c>
      <c r="Q21" s="1026" t="s">
        <v>965</v>
      </c>
    </row>
    <row r="22" spans="1:18" ht="13" thickBot="1" x14ac:dyDescent="0.3">
      <c r="A22" s="185"/>
      <c r="B22" s="38"/>
      <c r="E22" s="1030"/>
      <c r="F22" s="16">
        <f t="shared" ref="F22:K22" si="10">IF(F20&lt;0,(F19*$N$19),IF(F20&gt;0,(F18*$N$19),(0)))</f>
        <v>6056.1122720772346</v>
      </c>
      <c r="G22" s="16">
        <f t="shared" si="10"/>
        <v>10525.621384379074</v>
      </c>
      <c r="H22" s="16">
        <f t="shared" si="10"/>
        <v>2523.3801133655147</v>
      </c>
      <c r="I22" s="16">
        <f t="shared" si="10"/>
        <v>4305.9360208823491</v>
      </c>
      <c r="J22" s="16">
        <f t="shared" si="10"/>
        <v>2018.7040906924117</v>
      </c>
      <c r="K22" s="16">
        <f t="shared" si="10"/>
        <v>3827.4986852287543</v>
      </c>
      <c r="L22" s="1033">
        <f>SUM(F22:K22)</f>
        <v>29257.252566625339</v>
      </c>
      <c r="M22" s="16">
        <f>L22-L21</f>
        <v>-4711.7982647798599</v>
      </c>
      <c r="N22" s="16"/>
      <c r="O22" s="16"/>
    </row>
    <row r="23" spans="1:18" ht="13.5" thickBot="1" x14ac:dyDescent="0.35">
      <c r="A23" s="185"/>
      <c r="B23" s="38"/>
      <c r="C23" s="420" t="s">
        <v>937</v>
      </c>
      <c r="D23" s="420" t="s">
        <v>1182</v>
      </c>
      <c r="E23" s="1468">
        <f>SUM(F23:K23)</f>
        <v>59.016891891891909</v>
      </c>
      <c r="F23" s="1464">
        <f t="shared" ref="F23:K23" si="11">IF(F22&gt;0,(F22/$N$19),(0))</f>
        <v>12.216216216216218</v>
      </c>
      <c r="G23" s="1464">
        <f t="shared" si="11"/>
        <v>21.231981981981988</v>
      </c>
      <c r="H23" s="1464">
        <f t="shared" si="11"/>
        <v>5.0900900900900918</v>
      </c>
      <c r="I23" s="1464">
        <f t="shared" si="11"/>
        <v>8.6858108108108141</v>
      </c>
      <c r="J23" s="1464">
        <f t="shared" si="11"/>
        <v>4.0720720720720731</v>
      </c>
      <c r="K23" s="1464">
        <f t="shared" si="11"/>
        <v>7.7207207207207231</v>
      </c>
      <c r="L23" s="5">
        <v>0</v>
      </c>
      <c r="M23" s="1469">
        <f>IF(L22&gt;0,(L22/E23),(0))</f>
        <v>495.74370368773816</v>
      </c>
      <c r="N23" s="16"/>
      <c r="O23" s="16"/>
      <c r="P23" s="1417"/>
      <c r="Q23" s="1417"/>
      <c r="R23" s="1417"/>
    </row>
    <row r="24" spans="1:18" x14ac:dyDescent="0.25">
      <c r="A24" s="1034"/>
      <c r="B24" s="1035"/>
      <c r="C24" s="1036"/>
      <c r="D24" s="1036"/>
      <c r="E24" s="1037"/>
      <c r="F24" s="1037"/>
      <c r="G24" s="1037"/>
      <c r="H24" s="1037"/>
      <c r="I24" s="1037"/>
      <c r="J24" s="1037"/>
      <c r="K24" s="1037"/>
      <c r="L24" s="1037"/>
      <c r="M24" s="1037"/>
      <c r="N24" s="1037"/>
      <c r="O24" s="1037"/>
      <c r="P24" s="1037"/>
      <c r="Q24" s="1037"/>
    </row>
    <row r="25" spans="1:18" x14ac:dyDescent="0.25">
      <c r="A25" s="185">
        <v>9257011</v>
      </c>
      <c r="B25" s="38" t="s">
        <v>70</v>
      </c>
      <c r="C25" t="s">
        <v>846</v>
      </c>
      <c r="D25" t="str">
        <f>CONCATENATE(A25,C25)</f>
        <v>92570112019/20</v>
      </c>
      <c r="E25" s="1030">
        <f>VLOOKUP(A25,'1920 Funding Detail'!$A$4:$M$23,13,(FALSE))</f>
        <v>59</v>
      </c>
      <c r="F25" s="1029">
        <f>$E$25*'1920 Band Calculations'!D9</f>
        <v>4.290909090909091</v>
      </c>
      <c r="G25" s="1029">
        <f>$E$25*'1920 Band Calculations'!E9</f>
        <v>16.09090909090909</v>
      </c>
      <c r="H25" s="1029">
        <f>$E$25*'1920 Band Calculations'!F9</f>
        <v>2.1454545454545455</v>
      </c>
      <c r="I25" s="1029">
        <f>$E$25*'1920 Band Calculations'!G9</f>
        <v>13.945454545454545</v>
      </c>
      <c r="J25" s="1029">
        <f>$E$25*'1920 Band Calculations'!H9</f>
        <v>8.581818181818182</v>
      </c>
      <c r="K25" s="1029">
        <f>$E$25*'1920 Band Calculations'!I9</f>
        <v>8.581818181818182</v>
      </c>
      <c r="L25" s="1029">
        <f>$E$25*'1920 Band Calculations'!J9</f>
        <v>5.3636363636363642</v>
      </c>
      <c r="N25" s="16">
        <f>VLOOKUP(A25,'1920 Funding Detail'!$A$4:$U$23,21,(FALSE))*-1</f>
        <v>-1218.8814552167642</v>
      </c>
      <c r="O25" s="16">
        <f>VLOOKUP(A25,'1920 Funding Detail'!$A$4:$V$23,22,(FALSE))</f>
        <v>0</v>
      </c>
      <c r="P25" s="16"/>
    </row>
    <row r="26" spans="1:18" x14ac:dyDescent="0.25">
      <c r="A26" s="185">
        <v>9257011</v>
      </c>
      <c r="B26" s="38" t="s">
        <v>70</v>
      </c>
      <c r="C26" t="s">
        <v>937</v>
      </c>
      <c r="D26" t="str">
        <f>CONCATENATE(A26,C26)</f>
        <v>92570112020/21</v>
      </c>
      <c r="E26" s="1030">
        <f>VLOOKUP(A26,'2021 Funding Detail'!$A$4:$M$23,13,(FALSE))</f>
        <v>57.833333333333336</v>
      </c>
      <c r="F26" s="1029">
        <f>$E$26*'2021 Band Calculations'!D9</f>
        <v>3.2735849056603774</v>
      </c>
      <c r="G26" s="1029">
        <f>$E$26*'2021 Band Calculations'!E9</f>
        <v>18.550314465408803</v>
      </c>
      <c r="H26" s="1029">
        <f>$E$26*'2021 Band Calculations'!F9</f>
        <v>2.1823899371069184</v>
      </c>
      <c r="I26" s="1029">
        <f>$E$26*'2021 Band Calculations'!G9</f>
        <v>9.8207547169811313</v>
      </c>
      <c r="J26" s="1029">
        <f>$E$26*'2021 Band Calculations'!H9</f>
        <v>9.8207547169811313</v>
      </c>
      <c r="K26" s="1029">
        <f>$E$26*'2021 Band Calculations'!I9</f>
        <v>8.7295597484276737</v>
      </c>
      <c r="L26" s="1029">
        <f>$E$26*'2021 Band Calculations'!J9</f>
        <v>5.4559748427672963</v>
      </c>
      <c r="N26" s="16">
        <f>IF(N25&gt;0,(N25),(0))</f>
        <v>0</v>
      </c>
      <c r="O26" s="16"/>
      <c r="P26" s="16"/>
    </row>
    <row r="27" spans="1:18" x14ac:dyDescent="0.25">
      <c r="A27" s="185"/>
      <c r="B27" s="38"/>
      <c r="E27" s="1047"/>
      <c r="F27" s="1031">
        <f t="shared" ref="F27:K27" si="12">F26-F25</f>
        <v>-1.0173241852487136</v>
      </c>
      <c r="G27" s="1031">
        <f t="shared" si="12"/>
        <v>2.4594053744997133</v>
      </c>
      <c r="H27" s="1031">
        <f t="shared" si="12"/>
        <v>3.6935391652372918E-2</v>
      </c>
      <c r="I27" s="1031">
        <f t="shared" si="12"/>
        <v>-4.124699828473414</v>
      </c>
      <c r="J27" s="1031">
        <f t="shared" si="12"/>
        <v>1.2389365351629493</v>
      </c>
      <c r="K27" s="1031">
        <f t="shared" si="12"/>
        <v>0.14774156660949167</v>
      </c>
      <c r="L27" s="1029"/>
      <c r="N27" s="16"/>
      <c r="O27" s="16"/>
      <c r="P27" s="16"/>
    </row>
    <row r="28" spans="1:18" x14ac:dyDescent="0.25">
      <c r="A28" s="1470"/>
      <c r="B28" s="1470"/>
      <c r="E28" s="1047"/>
      <c r="F28" s="1032">
        <f t="shared" ref="F28:K28" si="13">F25*$N$26</f>
        <v>0</v>
      </c>
      <c r="G28" s="1032">
        <f t="shared" si="13"/>
        <v>0</v>
      </c>
      <c r="H28" s="1032">
        <f t="shared" si="13"/>
        <v>0</v>
      </c>
      <c r="I28" s="1032">
        <f t="shared" si="13"/>
        <v>0</v>
      </c>
      <c r="J28" s="1032">
        <f t="shared" si="13"/>
        <v>0</v>
      </c>
      <c r="K28" s="1032">
        <f t="shared" si="13"/>
        <v>0</v>
      </c>
      <c r="L28" s="16">
        <f>SUM(F28:K28)</f>
        <v>0</v>
      </c>
      <c r="N28" s="16"/>
      <c r="O28" s="16">
        <f>SUM(F28:K28)</f>
        <v>0</v>
      </c>
      <c r="P28" s="16">
        <f>O25-O28</f>
        <v>0</v>
      </c>
      <c r="Q28" s="1026" t="s">
        <v>965</v>
      </c>
    </row>
    <row r="29" spans="1:18" ht="13" thickBot="1" x14ac:dyDescent="0.3">
      <c r="A29" s="1470"/>
      <c r="B29" s="1470"/>
      <c r="E29" s="1047"/>
      <c r="F29" s="84">
        <f t="shared" ref="F29:K29" si="14">IF(F27&lt;0,(F26*$N$26),IF(F27&gt;0,(F25*$N$26),(0)))</f>
        <v>0</v>
      </c>
      <c r="G29" s="84">
        <f t="shared" si="14"/>
        <v>0</v>
      </c>
      <c r="H29" s="84">
        <f t="shared" si="14"/>
        <v>0</v>
      </c>
      <c r="I29" s="84">
        <f t="shared" si="14"/>
        <v>0</v>
      </c>
      <c r="J29" s="84">
        <f t="shared" si="14"/>
        <v>0</v>
      </c>
      <c r="K29" s="84">
        <f t="shared" si="14"/>
        <v>0</v>
      </c>
      <c r="L29" s="1033">
        <f>SUM(F29:K29)</f>
        <v>0</v>
      </c>
      <c r="M29" s="16">
        <f>L29-L28</f>
        <v>0</v>
      </c>
      <c r="N29" s="1047"/>
    </row>
    <row r="30" spans="1:18" ht="13.5" thickBot="1" x14ac:dyDescent="0.35">
      <c r="A30" s="20"/>
      <c r="B30" s="20"/>
      <c r="C30" s="420" t="s">
        <v>937</v>
      </c>
      <c r="D30" s="420" t="s">
        <v>1182</v>
      </c>
      <c r="E30" s="1468">
        <f>SUM(F30:K30)</f>
        <v>0</v>
      </c>
      <c r="F30" s="1464">
        <f t="shared" ref="F30:K30" si="15">IF(F29&gt;0,(F29/$N$26),(0))</f>
        <v>0</v>
      </c>
      <c r="G30" s="1464">
        <f t="shared" si="15"/>
        <v>0</v>
      </c>
      <c r="H30" s="1464">
        <f t="shared" si="15"/>
        <v>0</v>
      </c>
      <c r="I30" s="1464">
        <f t="shared" si="15"/>
        <v>0</v>
      </c>
      <c r="J30" s="1464">
        <f t="shared" si="15"/>
        <v>0</v>
      </c>
      <c r="K30" s="1464">
        <f t="shared" si="15"/>
        <v>0</v>
      </c>
      <c r="L30" s="5">
        <v>0</v>
      </c>
      <c r="M30" s="1469">
        <f>IF(L29&gt;0,(L29/E30),(0))</f>
        <v>0</v>
      </c>
      <c r="N30" s="1417"/>
      <c r="O30" s="1417"/>
      <c r="P30" s="1417"/>
      <c r="Q30" s="1417"/>
      <c r="R30" s="1417"/>
    </row>
    <row r="31" spans="1:18" x14ac:dyDescent="0.25">
      <c r="A31" s="1048"/>
      <c r="B31" s="1048"/>
      <c r="C31" s="1036"/>
      <c r="D31" s="1036"/>
      <c r="E31" s="1037"/>
      <c r="F31" s="1038"/>
      <c r="G31" s="1038"/>
      <c r="H31" s="1038"/>
      <c r="I31" s="1038"/>
      <c r="J31" s="1038"/>
      <c r="K31" s="1038"/>
      <c r="L31" s="1038"/>
      <c r="M31" s="1038"/>
      <c r="N31" s="1037"/>
      <c r="O31" s="1037"/>
      <c r="P31" s="1037"/>
      <c r="Q31" s="1037"/>
    </row>
    <row r="32" spans="1:18" x14ac:dyDescent="0.25">
      <c r="A32" s="185">
        <v>9257024</v>
      </c>
      <c r="B32" s="38" t="s">
        <v>71</v>
      </c>
      <c r="C32" t="s">
        <v>846</v>
      </c>
      <c r="D32" t="str">
        <f>CONCATENATE(A32,C32)</f>
        <v>92570242019/20</v>
      </c>
      <c r="E32" s="1030">
        <f>VLOOKUP(A32,'1920 Funding Detail'!$A$4:$M$23,13,(FALSE))</f>
        <v>81.083333333333343</v>
      </c>
      <c r="F32" s="1029">
        <f>$E$32*'1920 Band Calculations'!D10</f>
        <v>8.8993902439024399</v>
      </c>
      <c r="G32" s="1029">
        <f>$E$32*'1920 Band Calculations'!E10</f>
        <v>33.619918699186996</v>
      </c>
      <c r="H32" s="1029">
        <f>$E$32*'1920 Band Calculations'!F10</f>
        <v>1.9776422764227646</v>
      </c>
      <c r="I32" s="1029">
        <f>$E$32*'1920 Band Calculations'!G10</f>
        <v>10.877032520325205</v>
      </c>
      <c r="J32" s="1029">
        <f>$E$32*'1920 Band Calculations'!H10</f>
        <v>9.8882113821138216</v>
      </c>
      <c r="K32" s="1029">
        <f>$E$32*'1920 Band Calculations'!I10</f>
        <v>5.9329268292682933</v>
      </c>
      <c r="L32" s="1029">
        <f>$E$32*'1920 Band Calculations'!J10</f>
        <v>9.8882113821138216</v>
      </c>
      <c r="N32" s="16">
        <f>VLOOKUP(A32,'1920 Funding Detail'!$A$4:$U$23,21,(FALSE))*-1</f>
        <v>466.30584593383537</v>
      </c>
      <c r="O32" s="16">
        <f>VLOOKUP(A32,'1920 Funding Detail'!$A$4:$V$23,22,(FALSE))</f>
        <v>33198.701567825992</v>
      </c>
    </row>
    <row r="33" spans="1:18" x14ac:dyDescent="0.25">
      <c r="A33" s="185">
        <v>9257024</v>
      </c>
      <c r="B33" s="38" t="s">
        <v>71</v>
      </c>
      <c r="C33" t="s">
        <v>937</v>
      </c>
      <c r="D33" t="str">
        <f>CONCATENATE(A33,C33)</f>
        <v>92570242020/21</v>
      </c>
      <c r="E33" s="1030">
        <f>VLOOKUP(A33,'2021 Funding Detail'!$A$4:$M$23,13,(FALSE))</f>
        <v>83.083333333333329</v>
      </c>
      <c r="F33" s="1045">
        <f>$E$33*'2021 Band Calculations'!D10</f>
        <v>9.009036144578312</v>
      </c>
      <c r="G33" s="1045">
        <f>$E$33*'2021 Band Calculations'!E10</f>
        <v>36.036144578313248</v>
      </c>
      <c r="H33" s="1045">
        <f>$E$33*'2021 Band Calculations'!F10</f>
        <v>2.0020080321285141</v>
      </c>
      <c r="I33" s="1045">
        <f>$E$33*'2021 Band Calculations'!G10</f>
        <v>13.01305220883534</v>
      </c>
      <c r="J33" s="1045">
        <f>$E$33*'2021 Band Calculations'!H10</f>
        <v>9.009036144578312</v>
      </c>
      <c r="K33" s="1045">
        <f>$E$33*'2021 Band Calculations'!I10</f>
        <v>6.0060240963855414</v>
      </c>
      <c r="L33" s="1029">
        <f>$E$33*'2021 Band Calculations'!J10</f>
        <v>8.0080321285140563</v>
      </c>
      <c r="N33" s="16">
        <f>IF(N32&gt;0,(N32),(0))</f>
        <v>466.30584593383537</v>
      </c>
      <c r="O33" s="1047"/>
    </row>
    <row r="34" spans="1:18" x14ac:dyDescent="0.25">
      <c r="A34" s="185"/>
      <c r="B34" s="38"/>
      <c r="E34" s="1047"/>
      <c r="F34" s="1031">
        <f t="shared" ref="F34:K34" si="16">F33-F32</f>
        <v>0.1096459006758721</v>
      </c>
      <c r="G34" s="1031">
        <f t="shared" si="16"/>
        <v>2.4162258791262516</v>
      </c>
      <c r="H34" s="1031">
        <f t="shared" si="16"/>
        <v>2.4365755705749503E-2</v>
      </c>
      <c r="I34" s="1031">
        <f t="shared" si="16"/>
        <v>2.1360196885101352</v>
      </c>
      <c r="J34" s="1031">
        <f t="shared" si="16"/>
        <v>-0.87917523753550952</v>
      </c>
      <c r="K34" s="1031">
        <f t="shared" si="16"/>
        <v>7.3097267117248066E-2</v>
      </c>
      <c r="L34" s="1047"/>
      <c r="N34" s="1047"/>
    </row>
    <row r="35" spans="1:18" x14ac:dyDescent="0.25">
      <c r="A35" s="185"/>
      <c r="B35" s="38"/>
      <c r="E35" s="1047"/>
      <c r="F35" s="16">
        <f t="shared" ref="F35:K35" si="17">F32*$N$33</f>
        <v>4149.837695978249</v>
      </c>
      <c r="G35" s="16">
        <f t="shared" si="17"/>
        <v>15677.164629251163</v>
      </c>
      <c r="H35" s="16">
        <f t="shared" si="17"/>
        <v>922.18615466183314</v>
      </c>
      <c r="I35" s="16">
        <f t="shared" si="17"/>
        <v>5072.0238506400819</v>
      </c>
      <c r="J35" s="16">
        <f t="shared" si="17"/>
        <v>4610.9307733091646</v>
      </c>
      <c r="K35" s="16">
        <f t="shared" si="17"/>
        <v>2766.5584639854992</v>
      </c>
      <c r="L35" s="16">
        <f>SUM(F35:K35)</f>
        <v>33198.701567825992</v>
      </c>
      <c r="N35" s="1047"/>
      <c r="O35" s="16">
        <f>SUM(F35:K35)</f>
        <v>33198.701567825992</v>
      </c>
      <c r="P35" s="16">
        <f>O32-O35</f>
        <v>0</v>
      </c>
      <c r="Q35" s="1027" t="s">
        <v>965</v>
      </c>
    </row>
    <row r="36" spans="1:18" ht="13" thickBot="1" x14ac:dyDescent="0.3">
      <c r="A36" s="185"/>
      <c r="B36" s="38"/>
      <c r="E36" s="1047"/>
      <c r="F36" s="16">
        <f t="shared" ref="F36:K36" si="18">IF(F34&lt;0,(F33*$N$33),IF(F34&gt;0,(F32*$N$33),(0)))</f>
        <v>4149.837695978249</v>
      </c>
      <c r="G36" s="16">
        <f t="shared" si="18"/>
        <v>15677.164629251163</v>
      </c>
      <c r="H36" s="16">
        <f t="shared" si="18"/>
        <v>922.18615466183314</v>
      </c>
      <c r="I36" s="16">
        <f t="shared" si="18"/>
        <v>5072.0238506400819</v>
      </c>
      <c r="J36" s="16">
        <f t="shared" si="18"/>
        <v>4200.9662204460883</v>
      </c>
      <c r="K36" s="16">
        <f t="shared" si="18"/>
        <v>2766.5584639854992</v>
      </c>
      <c r="L36" s="1033">
        <f>SUM(F36:K36)</f>
        <v>32788.737014962913</v>
      </c>
      <c r="M36" s="16">
        <f>L36-L35</f>
        <v>-409.96455286307901</v>
      </c>
      <c r="N36" s="1047"/>
      <c r="O36" s="1027"/>
      <c r="P36" s="1027"/>
      <c r="Q36" s="1027"/>
      <c r="R36" s="1027"/>
    </row>
    <row r="37" spans="1:18" ht="13.5" thickBot="1" x14ac:dyDescent="0.35">
      <c r="A37" s="75"/>
      <c r="B37" s="50"/>
      <c r="C37" s="420" t="s">
        <v>937</v>
      </c>
      <c r="D37" s="420" t="s">
        <v>1182</v>
      </c>
      <c r="E37" s="1468">
        <f>SUM(F37:K37)</f>
        <v>70.315946713684014</v>
      </c>
      <c r="F37" s="1464">
        <f t="shared" ref="F37:K37" si="19">IF(F36&gt;0,(F36/$N$33),(0))</f>
        <v>8.8993902439024399</v>
      </c>
      <c r="G37" s="1464">
        <f t="shared" si="19"/>
        <v>33.619918699186996</v>
      </c>
      <c r="H37" s="1464">
        <f t="shared" si="19"/>
        <v>1.9776422764227646</v>
      </c>
      <c r="I37" s="1464">
        <f t="shared" si="19"/>
        <v>10.877032520325205</v>
      </c>
      <c r="J37" s="1464">
        <f t="shared" si="19"/>
        <v>9.009036144578312</v>
      </c>
      <c r="K37" s="1464">
        <f t="shared" si="19"/>
        <v>5.9329268292682933</v>
      </c>
      <c r="L37" s="5">
        <v>0</v>
      </c>
      <c r="M37" s="1469">
        <f>IF(L36&gt;0,(L36/E37),(0))</f>
        <v>466.30584593383537</v>
      </c>
      <c r="N37" s="1417"/>
      <c r="O37" s="1417"/>
      <c r="P37" s="1417"/>
      <c r="Q37" s="1417"/>
      <c r="R37" s="1417"/>
    </row>
    <row r="38" spans="1:18" x14ac:dyDescent="0.25">
      <c r="A38" s="1048"/>
      <c r="B38" s="1048"/>
      <c r="C38" s="1036"/>
      <c r="D38" s="1036"/>
      <c r="E38" s="1037"/>
      <c r="F38" s="1038"/>
      <c r="G38" s="1038"/>
      <c r="H38" s="1038"/>
      <c r="I38" s="1038"/>
      <c r="J38" s="1038"/>
      <c r="K38" s="1038"/>
      <c r="L38" s="1038"/>
      <c r="M38" s="1038"/>
      <c r="N38" s="1037"/>
      <c r="O38" s="1037"/>
      <c r="P38" s="1037"/>
      <c r="Q38" s="1037"/>
      <c r="R38" s="1027"/>
    </row>
    <row r="39" spans="1:18" x14ac:dyDescent="0.25">
      <c r="A39" s="185">
        <v>9257031</v>
      </c>
      <c r="B39" s="38" t="s">
        <v>98</v>
      </c>
      <c r="C39" t="s">
        <v>846</v>
      </c>
      <c r="D39" t="str">
        <f>CONCATENATE(A39,C39)</f>
        <v>92570312019/20</v>
      </c>
      <c r="E39" s="1030">
        <f>VLOOKUP(A39,'1920 Funding Detail'!$A$4:$M$23,13,(FALSE))</f>
        <v>73.75</v>
      </c>
      <c r="F39" s="1029">
        <f>$E$39*'1920 Band Calculations'!D11</f>
        <v>0</v>
      </c>
      <c r="G39" s="1029">
        <f>$E$39*'1920 Band Calculations'!E11</f>
        <v>0</v>
      </c>
      <c r="H39" s="1029">
        <f>$E$39*'1920 Band Calculations'!F11</f>
        <v>73.75</v>
      </c>
      <c r="I39" s="1029">
        <f>$E$39*'1920 Band Calculations'!G11</f>
        <v>0</v>
      </c>
      <c r="J39" s="1029">
        <f>$E$39*'1920 Band Calculations'!H11</f>
        <v>0</v>
      </c>
      <c r="K39" s="1029">
        <f>$E$39*'1920 Band Calculations'!I11</f>
        <v>0</v>
      </c>
      <c r="L39" s="1029">
        <f>$E$39*'1920 Band Calculations'!J11</f>
        <v>0</v>
      </c>
      <c r="N39" s="16">
        <f>VLOOKUP(A39,'1920 Funding Detail'!$A$4:$U$23,21,(FALSE))*-1</f>
        <v>452.71438584919269</v>
      </c>
      <c r="O39" s="16">
        <f>VLOOKUP(A39,'1920 Funding Detail'!$A$4:$V$23,22,(FALSE))</f>
        <v>33387.685956377958</v>
      </c>
    </row>
    <row r="40" spans="1:18" x14ac:dyDescent="0.25">
      <c r="A40" s="185">
        <v>9257031</v>
      </c>
      <c r="B40" s="38" t="s">
        <v>98</v>
      </c>
      <c r="C40" t="s">
        <v>937</v>
      </c>
      <c r="D40" t="str">
        <f>CONCATENATE(A40,C40)</f>
        <v>92570312020/21</v>
      </c>
      <c r="E40" s="1030">
        <f>VLOOKUP(A40,'2021 Funding Detail'!$A$4:$M$23,13,(FALSE))</f>
        <v>77.916666666666671</v>
      </c>
      <c r="F40" s="1029">
        <f>$E$40*'2021 Band Calculations'!D33</f>
        <v>0</v>
      </c>
      <c r="G40" s="1029">
        <f>$E$40*'2021 Band Calculations'!E33</f>
        <v>0</v>
      </c>
      <c r="H40" s="1029">
        <f>$E$40*'2021 Band Calculations'!F33</f>
        <v>77.916666666666671</v>
      </c>
      <c r="I40" s="1029">
        <f>$E$40*'2021 Band Calculations'!G33</f>
        <v>0</v>
      </c>
      <c r="J40" s="1029">
        <f>$E$40*'2021 Band Calculations'!H33</f>
        <v>0</v>
      </c>
      <c r="K40" s="1029">
        <f>$E$40*'2021 Band Calculations'!I33</f>
        <v>0</v>
      </c>
      <c r="L40" s="1029">
        <f>$E$40*'2021 Band Calculations'!J33</f>
        <v>0</v>
      </c>
      <c r="N40" s="16">
        <f>IF(N39&gt;0,(N39),(0))</f>
        <v>452.71438584919269</v>
      </c>
      <c r="O40" s="1047"/>
    </row>
    <row r="41" spans="1:18" x14ac:dyDescent="0.25">
      <c r="A41" s="185"/>
      <c r="B41" s="38"/>
      <c r="E41" s="1047"/>
      <c r="F41" s="1031">
        <f t="shared" ref="F41:K41" si="20">F40-F39</f>
        <v>0</v>
      </c>
      <c r="G41" s="1031">
        <f t="shared" si="20"/>
        <v>0</v>
      </c>
      <c r="H41" s="1031">
        <f t="shared" si="20"/>
        <v>4.1666666666666714</v>
      </c>
      <c r="I41" s="1031">
        <f t="shared" si="20"/>
        <v>0</v>
      </c>
      <c r="J41" s="1031">
        <f t="shared" si="20"/>
        <v>0</v>
      </c>
      <c r="K41" s="1031">
        <f t="shared" si="20"/>
        <v>0</v>
      </c>
      <c r="L41" s="1047"/>
      <c r="M41" s="1027"/>
      <c r="N41" s="1047"/>
      <c r="O41" s="1027"/>
      <c r="P41" s="1027"/>
      <c r="Q41" s="1027"/>
      <c r="R41" s="1027"/>
    </row>
    <row r="42" spans="1:18" x14ac:dyDescent="0.25">
      <c r="A42" s="185"/>
      <c r="B42" s="38"/>
      <c r="E42" s="1047"/>
      <c r="F42" s="16">
        <f t="shared" ref="F42:K42" si="21">F39*$N$40</f>
        <v>0</v>
      </c>
      <c r="G42" s="16">
        <f t="shared" si="21"/>
        <v>0</v>
      </c>
      <c r="H42" s="16">
        <f t="shared" si="21"/>
        <v>33387.685956377958</v>
      </c>
      <c r="I42" s="16">
        <f t="shared" si="21"/>
        <v>0</v>
      </c>
      <c r="J42" s="16">
        <f t="shared" si="21"/>
        <v>0</v>
      </c>
      <c r="K42" s="16">
        <f t="shared" si="21"/>
        <v>0</v>
      </c>
      <c r="L42" s="16">
        <f>SUM(F42:K42)</f>
        <v>33387.685956377958</v>
      </c>
      <c r="M42" s="1027"/>
      <c r="N42" s="1047"/>
      <c r="O42" s="16">
        <f>SUM(F42:K42)</f>
        <v>33387.685956377958</v>
      </c>
      <c r="P42" s="16">
        <f>O39-O42</f>
        <v>0</v>
      </c>
      <c r="Q42" s="1027" t="s">
        <v>965</v>
      </c>
      <c r="R42" s="1027"/>
    </row>
    <row r="43" spans="1:18" ht="13" thickBot="1" x14ac:dyDescent="0.3">
      <c r="A43" s="185"/>
      <c r="B43" s="38"/>
      <c r="E43" s="1047"/>
      <c r="F43" s="16">
        <f t="shared" ref="F43:K43" si="22">IF(F41&lt;0,(F40*$N$40),IF(F41&gt;0,(F39*$N$40),(0)))</f>
        <v>0</v>
      </c>
      <c r="G43" s="16">
        <f t="shared" si="22"/>
        <v>0</v>
      </c>
      <c r="H43" s="16">
        <f t="shared" si="22"/>
        <v>33387.685956377958</v>
      </c>
      <c r="I43" s="16">
        <f t="shared" si="22"/>
        <v>0</v>
      </c>
      <c r="J43" s="16">
        <f t="shared" si="22"/>
        <v>0</v>
      </c>
      <c r="K43" s="16">
        <f t="shared" si="22"/>
        <v>0</v>
      </c>
      <c r="L43" s="1033">
        <f>SUM(F43:K43)</f>
        <v>33387.685956377958</v>
      </c>
      <c r="M43" s="16">
        <f>L43-L42</f>
        <v>0</v>
      </c>
      <c r="N43" s="1047"/>
      <c r="O43" s="1027"/>
      <c r="P43" s="1027"/>
      <c r="Q43" s="1027"/>
      <c r="R43" s="1027"/>
    </row>
    <row r="44" spans="1:18" ht="13.5" thickBot="1" x14ac:dyDescent="0.35">
      <c r="A44" s="75"/>
      <c r="B44" s="50"/>
      <c r="C44" s="420" t="s">
        <v>937</v>
      </c>
      <c r="D44" s="420" t="s">
        <v>1182</v>
      </c>
      <c r="E44" s="1468">
        <f>SUM(F44:K44)</f>
        <v>73.75</v>
      </c>
      <c r="F44" s="1464">
        <f t="shared" ref="F44:K44" si="23">IF(F43&gt;0,(F43/$N$40),(0))</f>
        <v>0</v>
      </c>
      <c r="G44" s="1464">
        <f t="shared" si="23"/>
        <v>0</v>
      </c>
      <c r="H44" s="1464">
        <f t="shared" si="23"/>
        <v>73.75</v>
      </c>
      <c r="I44" s="1464">
        <f t="shared" si="23"/>
        <v>0</v>
      </c>
      <c r="J44" s="1464">
        <f t="shared" si="23"/>
        <v>0</v>
      </c>
      <c r="K44" s="1464">
        <f t="shared" si="23"/>
        <v>0</v>
      </c>
      <c r="L44" s="5">
        <v>0</v>
      </c>
      <c r="M44" s="1469">
        <f>IF(L43&gt;0,(L43/E44),(0))</f>
        <v>452.71438584919264</v>
      </c>
      <c r="N44" s="1417"/>
      <c r="O44" s="1417"/>
      <c r="P44" s="1417"/>
      <c r="Q44" s="1417"/>
      <c r="R44" s="1417"/>
    </row>
    <row r="45" spans="1:18" x14ac:dyDescent="0.25">
      <c r="A45" s="1036"/>
      <c r="B45" s="1036"/>
      <c r="C45" s="1036"/>
      <c r="D45" s="1036"/>
      <c r="E45" s="1037"/>
      <c r="F45" s="1038"/>
      <c r="G45" s="1038"/>
      <c r="H45" s="1038"/>
      <c r="I45" s="1038"/>
      <c r="J45" s="1038"/>
      <c r="K45" s="1038"/>
      <c r="L45" s="1038"/>
      <c r="M45" s="1038"/>
      <c r="N45" s="1037"/>
      <c r="O45" s="1037"/>
      <c r="P45" s="1037"/>
      <c r="Q45" s="1037"/>
      <c r="R45" s="1027"/>
    </row>
    <row r="46" spans="1:18" x14ac:dyDescent="0.25">
      <c r="A46" s="185">
        <v>9257033</v>
      </c>
      <c r="B46" s="38" t="s">
        <v>72</v>
      </c>
      <c r="C46" t="s">
        <v>846</v>
      </c>
      <c r="D46" t="str">
        <f>CONCATENATE(A46,C46)</f>
        <v>92570332019/20</v>
      </c>
      <c r="E46" s="1030">
        <f>VLOOKUP(A46,'1920 Funding Detail'!$A$4:$M$23,13,(FALSE))</f>
        <v>91.833333333333343</v>
      </c>
      <c r="F46" s="1029">
        <f>$E$46*'1920 Band Calculations'!D12</f>
        <v>18.784090909090914</v>
      </c>
      <c r="G46" s="1029">
        <f>$E$46*'1920 Band Calculations'!E12</f>
        <v>26.089015151515156</v>
      </c>
      <c r="H46" s="1029">
        <f>$E$46*'1920 Band Calculations'!F12</f>
        <v>17.740530303030305</v>
      </c>
      <c r="I46" s="1029">
        <f>$E$46*'1920 Band Calculations'!G12</f>
        <v>15.653409090909092</v>
      </c>
      <c r="J46" s="1029">
        <f>$E$46*'1920 Band Calculations'!H12</f>
        <v>7.3049242424242431</v>
      </c>
      <c r="K46" s="1029">
        <f>$E$46*'1920 Band Calculations'!I12</f>
        <v>6.2613636363636367</v>
      </c>
      <c r="L46" s="1029">
        <f>$E$46*'1920 Band Calculations'!J12</f>
        <v>0</v>
      </c>
      <c r="N46" s="16">
        <f>VLOOKUP(A46,'1920 Funding Detail'!$A$4:$U$23,21,(FALSE))*-1</f>
        <v>-280.10359679189787</v>
      </c>
      <c r="O46" s="16">
        <f>VLOOKUP(A46,'1920 Funding Detail'!$A$4:$V$23,22,(FALSE))</f>
        <v>0</v>
      </c>
      <c r="P46" s="1047"/>
    </row>
    <row r="47" spans="1:18" x14ac:dyDescent="0.25">
      <c r="A47" s="185">
        <v>9257033</v>
      </c>
      <c r="B47" s="38" t="s">
        <v>72</v>
      </c>
      <c r="C47" t="s">
        <v>937</v>
      </c>
      <c r="D47" t="str">
        <f>CONCATENATE(A47,C47)</f>
        <v>92570332020/21</v>
      </c>
      <c r="E47" s="1030">
        <f>VLOOKUP(A47,'2021 Funding Detail'!$A$4:$M$23,13,(FALSE))</f>
        <v>95.666666666666686</v>
      </c>
      <c r="F47" s="1046">
        <f>$E$47*'2021 Band Calculations'!D12</f>
        <v>17.11929824561404</v>
      </c>
      <c r="G47" s="1046">
        <f>$E$47*'2021 Band Calculations'!E12</f>
        <v>42.294736842105273</v>
      </c>
      <c r="H47" s="1046">
        <f>$E$47*'2021 Band Calculations'!F12</f>
        <v>12.084210526315792</v>
      </c>
      <c r="I47" s="1046">
        <f>$E$47*'2021 Band Calculations'!G12</f>
        <v>15.10526315789474</v>
      </c>
      <c r="J47" s="1046">
        <f>$E$47*'2021 Band Calculations'!H12</f>
        <v>4.0280701754385975</v>
      </c>
      <c r="K47" s="1046">
        <f>$E$47*'2021 Band Calculations'!I12</f>
        <v>5.0350877192982466</v>
      </c>
      <c r="L47" s="1029">
        <f>$E$47*'2021 Band Calculations'!J12</f>
        <v>0</v>
      </c>
      <c r="N47" s="16">
        <f>IF(N46&gt;0,(N46),(0))</f>
        <v>0</v>
      </c>
      <c r="O47" s="1047"/>
      <c r="P47" s="1047"/>
    </row>
    <row r="48" spans="1:18" x14ac:dyDescent="0.25">
      <c r="A48" s="185"/>
      <c r="B48" s="38"/>
      <c r="E48" s="1027"/>
      <c r="F48" s="1031">
        <f t="shared" ref="F48:K48" si="24">F47-F46</f>
        <v>-1.6647926634768737</v>
      </c>
      <c r="G48" s="1031">
        <f t="shared" si="24"/>
        <v>16.205721690590117</v>
      </c>
      <c r="H48" s="1031">
        <f t="shared" si="24"/>
        <v>-5.656319776714513</v>
      </c>
      <c r="I48" s="1031">
        <f t="shared" si="24"/>
        <v>-0.54814593301435188</v>
      </c>
      <c r="J48" s="1031">
        <f t="shared" si="24"/>
        <v>-3.2768540669856456</v>
      </c>
      <c r="K48" s="1031">
        <f t="shared" si="24"/>
        <v>-1.2262759170653901</v>
      </c>
      <c r="L48" s="1047"/>
      <c r="M48" s="1047"/>
      <c r="N48" s="1027"/>
      <c r="O48" s="1027"/>
      <c r="P48" s="1027"/>
      <c r="Q48" s="1027"/>
      <c r="R48" s="1027"/>
    </row>
    <row r="49" spans="1:18" x14ac:dyDescent="0.25">
      <c r="A49" s="185"/>
      <c r="B49" s="38"/>
      <c r="E49" s="1047"/>
      <c r="F49" s="16">
        <f t="shared" ref="F49:K49" si="25">F46*$N$47</f>
        <v>0</v>
      </c>
      <c r="G49" s="16">
        <f t="shared" si="25"/>
        <v>0</v>
      </c>
      <c r="H49" s="16">
        <f t="shared" si="25"/>
        <v>0</v>
      </c>
      <c r="I49" s="16">
        <f t="shared" si="25"/>
        <v>0</v>
      </c>
      <c r="J49" s="16">
        <f t="shared" si="25"/>
        <v>0</v>
      </c>
      <c r="K49" s="16">
        <f t="shared" si="25"/>
        <v>0</v>
      </c>
      <c r="L49" s="16">
        <f>SUM(F49:K49)</f>
        <v>0</v>
      </c>
      <c r="M49" s="1047"/>
      <c r="N49" s="1047"/>
      <c r="O49" s="16">
        <f>SUM(F49:K49)</f>
        <v>0</v>
      </c>
      <c r="P49" s="16">
        <f>O46-O49</f>
        <v>0</v>
      </c>
      <c r="Q49" s="1047" t="s">
        <v>965</v>
      </c>
      <c r="R49" s="1027"/>
    </row>
    <row r="50" spans="1:18" ht="13" thickBot="1" x14ac:dyDescent="0.3">
      <c r="A50" s="185"/>
      <c r="B50" s="38"/>
      <c r="E50" s="1047"/>
      <c r="F50" s="84">
        <f t="shared" ref="F50:K50" si="26">IF(F48&lt;0,(F47*$N$47),IF(F48&gt;0,(F46*$N$47),(0)))</f>
        <v>0</v>
      </c>
      <c r="G50" s="84">
        <f t="shared" si="26"/>
        <v>0</v>
      </c>
      <c r="H50" s="84">
        <f t="shared" si="26"/>
        <v>0</v>
      </c>
      <c r="I50" s="84">
        <f t="shared" si="26"/>
        <v>0</v>
      </c>
      <c r="J50" s="84">
        <f t="shared" si="26"/>
        <v>0</v>
      </c>
      <c r="K50" s="84">
        <f t="shared" si="26"/>
        <v>0</v>
      </c>
      <c r="L50" s="1033">
        <f>SUM(F50:K50)</f>
        <v>0</v>
      </c>
      <c r="M50" s="16">
        <f>L50-L49</f>
        <v>0</v>
      </c>
      <c r="N50" s="1047"/>
      <c r="O50" s="1047"/>
      <c r="P50" s="1047"/>
      <c r="Q50" s="1027"/>
      <c r="R50" s="1027"/>
    </row>
    <row r="51" spans="1:18" ht="13.5" thickBot="1" x14ac:dyDescent="0.35">
      <c r="A51" s="75"/>
      <c r="B51" s="50"/>
      <c r="C51" s="420" t="s">
        <v>937</v>
      </c>
      <c r="D51" s="420" t="s">
        <v>1182</v>
      </c>
      <c r="E51" s="1468">
        <f>SUM(F51:K51)</f>
        <v>0</v>
      </c>
      <c r="F51" s="1464">
        <f t="shared" ref="F51:K51" si="27">IF(F50&gt;0,(F50/$N$47),(0))</f>
        <v>0</v>
      </c>
      <c r="G51" s="1464">
        <f t="shared" si="27"/>
        <v>0</v>
      </c>
      <c r="H51" s="1464">
        <f t="shared" si="27"/>
        <v>0</v>
      </c>
      <c r="I51" s="1464">
        <f t="shared" si="27"/>
        <v>0</v>
      </c>
      <c r="J51" s="1464">
        <f t="shared" si="27"/>
        <v>0</v>
      </c>
      <c r="K51" s="1464">
        <f t="shared" si="27"/>
        <v>0</v>
      </c>
      <c r="L51" s="5">
        <v>0</v>
      </c>
      <c r="M51" s="1469">
        <f>IF(L50&gt;0,(L50/E51),(0))</f>
        <v>0</v>
      </c>
      <c r="N51" s="1417"/>
      <c r="O51" s="1417"/>
      <c r="P51" s="1417"/>
      <c r="Q51" s="1417"/>
      <c r="R51" s="1417"/>
    </row>
    <row r="52" spans="1:18" x14ac:dyDescent="0.25">
      <c r="A52" s="1048"/>
      <c r="B52" s="1048"/>
      <c r="C52" s="1036"/>
      <c r="D52" s="1036"/>
      <c r="E52" s="1037"/>
      <c r="F52" s="1038"/>
      <c r="G52" s="1038"/>
      <c r="H52" s="1038"/>
      <c r="I52" s="1038"/>
      <c r="J52" s="1038"/>
      <c r="K52" s="1038"/>
      <c r="L52" s="1038"/>
      <c r="M52" s="1038"/>
      <c r="N52" s="1037"/>
      <c r="O52" s="1037"/>
      <c r="P52" s="1037"/>
      <c r="Q52" s="1037"/>
      <c r="R52" s="1027"/>
    </row>
    <row r="53" spans="1:18" x14ac:dyDescent="0.25">
      <c r="A53" s="185">
        <v>9257008</v>
      </c>
      <c r="B53" s="38" t="s">
        <v>73</v>
      </c>
      <c r="C53" t="s">
        <v>846</v>
      </c>
      <c r="D53" t="str">
        <f>CONCATENATE(A53,C53)</f>
        <v>92570082019/20</v>
      </c>
      <c r="E53" s="1030">
        <f>VLOOKUP(A53,'1920 Funding Detail'!$A$4:$M$23,13,(FALSE))</f>
        <v>95</v>
      </c>
      <c r="F53" s="1047">
        <f>$E$53*'1920 Band Calculations'!D13</f>
        <v>6</v>
      </c>
      <c r="G53" s="1047">
        <f>$E$53*'1920 Band Calculations'!E13</f>
        <v>55</v>
      </c>
      <c r="H53" s="1047">
        <f>$E$53*'1920 Band Calculations'!F13</f>
        <v>10</v>
      </c>
      <c r="I53" s="1047">
        <f>$E$53*'1920 Band Calculations'!G13</f>
        <v>5</v>
      </c>
      <c r="J53" s="1047">
        <f>$E$53*'1920 Band Calculations'!H13</f>
        <v>1</v>
      </c>
      <c r="K53" s="1047">
        <f>$E$53*'1920 Band Calculations'!I13</f>
        <v>18</v>
      </c>
      <c r="L53" s="1047">
        <f>$E$53*'1920 Band Calculations'!J13</f>
        <v>0</v>
      </c>
      <c r="M53" s="1047"/>
      <c r="N53" s="16">
        <f>VLOOKUP(A53,'1920 Funding Detail'!$A$4:$U$23,21,(FALSE))*-1</f>
        <v>-74.125537404355782</v>
      </c>
      <c r="O53" s="16">
        <f>VLOOKUP(A53,'1920 Funding Detail'!$A$4:$V$23,22,(FALSE))</f>
        <v>0</v>
      </c>
      <c r="P53" s="1027"/>
    </row>
    <row r="54" spans="1:18" x14ac:dyDescent="0.25">
      <c r="A54" s="185">
        <v>9257008</v>
      </c>
      <c r="B54" s="38" t="s">
        <v>73</v>
      </c>
      <c r="C54" t="s">
        <v>937</v>
      </c>
      <c r="D54" t="str">
        <f>CONCATENATE(A54,C54)</f>
        <v>92570082020/21</v>
      </c>
      <c r="E54" s="1030">
        <f>VLOOKUP(A54,'2021 Funding Detail'!$A$4:$M$23,13,(FALSE))</f>
        <v>96.75</v>
      </c>
      <c r="F54" s="1029">
        <f>$E$54*'2021 Band Calculations'!D13</f>
        <v>9.9742268041237114</v>
      </c>
      <c r="G54" s="1029">
        <f>$E$54*'2021 Band Calculations'!E13</f>
        <v>50.868556701030933</v>
      </c>
      <c r="H54" s="1029">
        <f>$E$54*'2021 Band Calculations'!F13</f>
        <v>7.9793814432989691</v>
      </c>
      <c r="I54" s="1029">
        <f>$E$54*'2021 Band Calculations'!G13</f>
        <v>8.9768041237113412</v>
      </c>
      <c r="J54" s="1029">
        <f>$E$54*'2021 Band Calculations'!H13</f>
        <v>0.99742268041237114</v>
      </c>
      <c r="K54" s="1029">
        <f>$E$54*'2021 Band Calculations'!I13</f>
        <v>17.953608247422682</v>
      </c>
      <c r="L54" s="1029">
        <f>$E$54*'2021 Band Calculations'!J13</f>
        <v>0</v>
      </c>
      <c r="M54" s="1047"/>
      <c r="N54" s="16">
        <f>IF(N53&gt;0,(N53),(0))</f>
        <v>0</v>
      </c>
      <c r="O54" s="1047"/>
      <c r="P54" s="1047"/>
      <c r="Q54" s="1047"/>
    </row>
    <row r="55" spans="1:18" x14ac:dyDescent="0.25">
      <c r="A55" s="185"/>
      <c r="B55" s="38"/>
      <c r="E55" s="1047"/>
      <c r="F55" s="1031">
        <f t="shared" ref="F55:K55" si="28">F54-F53</f>
        <v>3.9742268041237114</v>
      </c>
      <c r="G55" s="1031">
        <f t="shared" si="28"/>
        <v>-4.1314432989690673</v>
      </c>
      <c r="H55" s="1031">
        <f t="shared" si="28"/>
        <v>-2.0206185567010309</v>
      </c>
      <c r="I55" s="1031">
        <f t="shared" si="28"/>
        <v>3.9768041237113412</v>
      </c>
      <c r="J55" s="1031">
        <f t="shared" si="28"/>
        <v>-2.5773195876288568E-3</v>
      </c>
      <c r="K55" s="1031">
        <f t="shared" si="28"/>
        <v>-4.6391752577317646E-2</v>
      </c>
      <c r="L55" s="1047"/>
      <c r="M55" s="1027"/>
      <c r="N55" s="1047"/>
      <c r="O55" s="1047"/>
      <c r="P55" s="1047"/>
      <c r="Q55" s="1027"/>
      <c r="R55" s="1027"/>
    </row>
    <row r="56" spans="1:18" x14ac:dyDescent="0.25">
      <c r="A56" s="185"/>
      <c r="B56" s="38"/>
      <c r="E56" s="1047"/>
      <c r="F56" s="16">
        <f t="shared" ref="F56:K56" si="29">F53*$N$54</f>
        <v>0</v>
      </c>
      <c r="G56" s="16">
        <f t="shared" si="29"/>
        <v>0</v>
      </c>
      <c r="H56" s="16">
        <f t="shared" si="29"/>
        <v>0</v>
      </c>
      <c r="I56" s="16">
        <f t="shared" si="29"/>
        <v>0</v>
      </c>
      <c r="J56" s="16">
        <f t="shared" si="29"/>
        <v>0</v>
      </c>
      <c r="K56" s="16">
        <f t="shared" si="29"/>
        <v>0</v>
      </c>
      <c r="L56" s="16">
        <f>SUM(F56:K56)</f>
        <v>0</v>
      </c>
      <c r="M56" s="1027"/>
      <c r="N56" s="1047"/>
      <c r="O56" s="16">
        <f>SUM(F56:K56)</f>
        <v>0</v>
      </c>
      <c r="P56" s="16">
        <f>O53-O56</f>
        <v>0</v>
      </c>
      <c r="Q56" s="1027" t="s">
        <v>965</v>
      </c>
      <c r="R56" s="1027"/>
    </row>
    <row r="57" spans="1:18" ht="13" thickBot="1" x14ac:dyDescent="0.3">
      <c r="A57" s="185"/>
      <c r="B57" s="38"/>
      <c r="E57" s="1047"/>
      <c r="F57" s="16">
        <f t="shared" ref="F57:K57" si="30">IF(F55&lt;0,(F54*$N$54),IF(F55&gt;0,(F53*$N$54),(0)))</f>
        <v>0</v>
      </c>
      <c r="G57" s="16">
        <f t="shared" si="30"/>
        <v>0</v>
      </c>
      <c r="H57" s="16">
        <f t="shared" si="30"/>
        <v>0</v>
      </c>
      <c r="I57" s="16">
        <f t="shared" si="30"/>
        <v>0</v>
      </c>
      <c r="J57" s="16">
        <f t="shared" si="30"/>
        <v>0</v>
      </c>
      <c r="K57" s="16">
        <f t="shared" si="30"/>
        <v>0</v>
      </c>
      <c r="L57" s="1033">
        <f>SUM(F57:K57)</f>
        <v>0</v>
      </c>
      <c r="M57" s="16">
        <f>L57-L56</f>
        <v>0</v>
      </c>
      <c r="N57" s="1047"/>
      <c r="O57" s="1047"/>
      <c r="P57" s="1027"/>
      <c r="Q57" s="1027"/>
      <c r="R57" s="1027"/>
    </row>
    <row r="58" spans="1:18" ht="13.5" thickBot="1" x14ac:dyDescent="0.35">
      <c r="A58" s="75"/>
      <c r="B58" s="50"/>
      <c r="C58" s="420" t="s">
        <v>937</v>
      </c>
      <c r="D58" s="420" t="s">
        <v>1182</v>
      </c>
      <c r="E58" s="1468">
        <f>SUM(F58:K58)</f>
        <v>0</v>
      </c>
      <c r="F58" s="1464">
        <f t="shared" ref="F58:K58" si="31">IF(F57&gt;0,(F57/$N$54),(0))</f>
        <v>0</v>
      </c>
      <c r="G58" s="1464">
        <f t="shared" si="31"/>
        <v>0</v>
      </c>
      <c r="H58" s="1464">
        <f t="shared" si="31"/>
        <v>0</v>
      </c>
      <c r="I58" s="1464">
        <f t="shared" si="31"/>
        <v>0</v>
      </c>
      <c r="J58" s="1464">
        <f t="shared" si="31"/>
        <v>0</v>
      </c>
      <c r="K58" s="1464">
        <f t="shared" si="31"/>
        <v>0</v>
      </c>
      <c r="L58" s="5">
        <v>0</v>
      </c>
      <c r="M58" s="1469">
        <f>IF(L57&gt;0,(L57/E58),(0))</f>
        <v>0</v>
      </c>
      <c r="N58" s="1417"/>
      <c r="O58" s="1417"/>
      <c r="P58" s="1417"/>
      <c r="Q58" s="1417"/>
      <c r="R58" s="1417"/>
    </row>
    <row r="59" spans="1:18" x14ac:dyDescent="0.25">
      <c r="A59" s="1048"/>
      <c r="B59" s="1048"/>
      <c r="C59" s="1036"/>
      <c r="D59" s="1036"/>
      <c r="E59" s="1037"/>
      <c r="F59" s="1038"/>
      <c r="G59" s="1038"/>
      <c r="H59" s="1038"/>
      <c r="I59" s="1038"/>
      <c r="J59" s="1038"/>
      <c r="K59" s="1038"/>
      <c r="L59" s="1038"/>
      <c r="M59" s="1038"/>
      <c r="N59" s="1037"/>
      <c r="O59" s="1037"/>
      <c r="P59" s="1037"/>
      <c r="Q59" s="1037"/>
      <c r="R59" s="1027"/>
    </row>
    <row r="60" spans="1:18" x14ac:dyDescent="0.25">
      <c r="A60" s="185">
        <v>9257034</v>
      </c>
      <c r="B60" s="38" t="s">
        <v>74</v>
      </c>
      <c r="C60" t="s">
        <v>846</v>
      </c>
      <c r="D60" t="str">
        <f>CONCATENATE(A60,C60)</f>
        <v>92570342019/20</v>
      </c>
      <c r="E60" s="1030">
        <f>VLOOKUP(A60,'1920 Funding Detail'!$A$4:$M$23,13,(FALSE))</f>
        <v>116.58333333333334</v>
      </c>
      <c r="F60" s="1029">
        <f>$E$60*'1920 Band Calculations'!D14</f>
        <v>48.923363095238102</v>
      </c>
      <c r="G60" s="1029">
        <f>$E$60*'1920 Band Calculations'!E14</f>
        <v>31.227678571428573</v>
      </c>
      <c r="H60" s="1029">
        <f>$E$60*'1920 Band Calculations'!F14</f>
        <v>20.818452380952383</v>
      </c>
      <c r="I60" s="1029">
        <f>$E$60*'1920 Band Calculations'!G14</f>
        <v>5.2046130952380958</v>
      </c>
      <c r="J60" s="1029">
        <f>$E$60*'1920 Band Calculations'!H14</f>
        <v>4.1636904761904763</v>
      </c>
      <c r="K60" s="1029">
        <f>$E$60*'1920 Band Calculations'!I14</f>
        <v>5.2046130952380958</v>
      </c>
      <c r="L60" s="1029">
        <f>$E$60*'1920 Band Calculations'!J14</f>
        <v>1.0409226190476191</v>
      </c>
      <c r="N60" s="16">
        <f>VLOOKUP(A60,'1920 Funding Detail'!$A$4:$U$23,21,(FALSE))*-1</f>
        <v>646.95163288810181</v>
      </c>
      <c r="O60" s="16">
        <f>VLOOKUP(A60,'1920 Funding Detail'!$A$4:$V$23,22,(FALSE))</f>
        <v>74750.351279434864</v>
      </c>
      <c r="P60" s="1047"/>
    </row>
    <row r="61" spans="1:18" x14ac:dyDescent="0.25">
      <c r="A61" s="185">
        <v>9257034</v>
      </c>
      <c r="B61" s="38" t="s">
        <v>74</v>
      </c>
      <c r="C61" t="s">
        <v>937</v>
      </c>
      <c r="D61" t="str">
        <f>CONCATENATE(A61,C61)</f>
        <v>92570342020/21</v>
      </c>
      <c r="E61" s="1030">
        <f>VLOOKUP(A61,'2021 Funding Detail'!$A$4:$M$23,13,(FALSE))</f>
        <v>124.41666666666666</v>
      </c>
      <c r="F61" s="1029">
        <f>$E$61*'2021 Band Calculations'!D14</f>
        <v>52.506116207951067</v>
      </c>
      <c r="G61" s="1029">
        <f>$E$61*'2021 Band Calculations'!E14</f>
        <v>33.101681957186543</v>
      </c>
      <c r="H61" s="1029">
        <f>$E$61*'2021 Band Calculations'!F14</f>
        <v>19.404434250764524</v>
      </c>
      <c r="I61" s="1029">
        <f>$E$61*'2021 Band Calculations'!G14</f>
        <v>5.7071865443425072</v>
      </c>
      <c r="J61" s="1029">
        <f>$E$61*'2021 Band Calculations'!H14</f>
        <v>5.7071865443425072</v>
      </c>
      <c r="K61" s="1029">
        <f>$E$61*'2021 Band Calculations'!I14</f>
        <v>6.8486238532110093</v>
      </c>
      <c r="L61" s="1029">
        <f>$E$61*'2021 Band Calculations'!J14</f>
        <v>1.1414373088685015</v>
      </c>
      <c r="N61" s="16">
        <f>IF(N60&gt;0,(N60),(0))</f>
        <v>646.95163288810181</v>
      </c>
      <c r="O61" s="1047"/>
      <c r="P61" s="1047"/>
    </row>
    <row r="62" spans="1:18" x14ac:dyDescent="0.25">
      <c r="A62" s="185"/>
      <c r="B62" s="38"/>
      <c r="E62" s="1027"/>
      <c r="F62" s="1031">
        <f t="shared" ref="F62:K62" si="32">F61-F60</f>
        <v>3.5827531127129646</v>
      </c>
      <c r="G62" s="1031">
        <f t="shared" si="32"/>
        <v>1.8740033857579697</v>
      </c>
      <c r="H62" s="1031">
        <f t="shared" si="32"/>
        <v>-1.4140181301878592</v>
      </c>
      <c r="I62" s="1031">
        <f t="shared" si="32"/>
        <v>0.50257344910441137</v>
      </c>
      <c r="J62" s="1031">
        <f t="shared" si="32"/>
        <v>1.5434960681520309</v>
      </c>
      <c r="K62" s="1031">
        <f t="shared" si="32"/>
        <v>1.6440107579729135</v>
      </c>
      <c r="L62" s="1047"/>
      <c r="M62" s="1047"/>
      <c r="N62" s="1027"/>
      <c r="O62" s="1027"/>
      <c r="P62" s="1027"/>
      <c r="Q62" s="1027"/>
      <c r="R62" s="1027"/>
    </row>
    <row r="63" spans="1:18" x14ac:dyDescent="0.25">
      <c r="A63" s="185"/>
      <c r="B63" s="38"/>
      <c r="E63" s="1047"/>
      <c r="F63" s="16">
        <f t="shared" ref="F63:K63" si="33">F60*$N$61</f>
        <v>31651.049640841789</v>
      </c>
      <c r="G63" s="16">
        <f t="shared" si="33"/>
        <v>20202.7976430905</v>
      </c>
      <c r="H63" s="16">
        <f t="shared" si="33"/>
        <v>13468.531762060335</v>
      </c>
      <c r="I63" s="16">
        <f t="shared" si="33"/>
        <v>3367.1329405150836</v>
      </c>
      <c r="J63" s="16">
        <f t="shared" si="33"/>
        <v>2693.7063524120667</v>
      </c>
      <c r="K63" s="16">
        <f t="shared" si="33"/>
        <v>3367.1329405150836</v>
      </c>
      <c r="L63" s="16">
        <f>SUM(F63:K63)</f>
        <v>74750.351279434864</v>
      </c>
      <c r="M63" s="1047"/>
      <c r="N63" s="1047"/>
      <c r="O63" s="16">
        <f>SUM(F63:K63)</f>
        <v>74750.351279434864</v>
      </c>
      <c r="P63" s="16">
        <f>O60-O63</f>
        <v>0</v>
      </c>
      <c r="Q63" s="1047" t="s">
        <v>965</v>
      </c>
      <c r="R63" s="1027"/>
    </row>
    <row r="64" spans="1:18" ht="13" thickBot="1" x14ac:dyDescent="0.3">
      <c r="A64" s="185"/>
      <c r="B64" s="38"/>
      <c r="E64" s="1027"/>
      <c r="F64" s="16">
        <f t="shared" ref="F64:K64" si="34">IF(F62&lt;0,(F61*$N$61),IF(F62&gt;0,(F60*$N$61),(0)))</f>
        <v>31651.049640841789</v>
      </c>
      <c r="G64" s="16">
        <f t="shared" si="34"/>
        <v>20202.7976430905</v>
      </c>
      <c r="H64" s="16">
        <f t="shared" si="34"/>
        <v>12553.730423801919</v>
      </c>
      <c r="I64" s="16">
        <f t="shared" si="34"/>
        <v>3367.1329405150836</v>
      </c>
      <c r="J64" s="16">
        <f t="shared" si="34"/>
        <v>2693.7063524120667</v>
      </c>
      <c r="K64" s="16">
        <f t="shared" si="34"/>
        <v>3367.1329405150836</v>
      </c>
      <c r="L64" s="1033">
        <f>SUM(F64:K64)</f>
        <v>73835.549941176447</v>
      </c>
      <c r="M64" s="16">
        <f>L64-L63</f>
        <v>-914.80133825841767</v>
      </c>
      <c r="N64" s="1027"/>
      <c r="O64" s="1027"/>
      <c r="P64" s="1027"/>
      <c r="Q64" s="1027"/>
      <c r="R64" s="1027"/>
    </row>
    <row r="65" spans="1:25" ht="13.5" thickBot="1" x14ac:dyDescent="0.35">
      <c r="A65" s="75"/>
      <c r="B65" s="50"/>
      <c r="C65" s="420" t="s">
        <v>937</v>
      </c>
      <c r="D65" s="420" t="s">
        <v>1182</v>
      </c>
      <c r="E65" s="1468">
        <f>SUM(F65:K65)</f>
        <v>114.12839258409788</v>
      </c>
      <c r="F65" s="1464">
        <f t="shared" ref="F65:K65" si="35">IF(F64&gt;0,(F64/$N$61),(0))</f>
        <v>48.923363095238102</v>
      </c>
      <c r="G65" s="1464">
        <f t="shared" si="35"/>
        <v>31.227678571428569</v>
      </c>
      <c r="H65" s="1464">
        <f t="shared" si="35"/>
        <v>19.404434250764524</v>
      </c>
      <c r="I65" s="1464">
        <f t="shared" si="35"/>
        <v>5.2046130952380958</v>
      </c>
      <c r="J65" s="1464">
        <f t="shared" si="35"/>
        <v>4.1636904761904763</v>
      </c>
      <c r="K65" s="1464">
        <f t="shared" si="35"/>
        <v>5.2046130952380958</v>
      </c>
      <c r="L65" s="5">
        <v>0</v>
      </c>
      <c r="M65" s="1469">
        <f>IF(L64&gt;0,(L64/E65),(0))</f>
        <v>646.9516328881017</v>
      </c>
      <c r="N65" s="1417"/>
      <c r="O65" s="1417"/>
      <c r="P65" s="1417"/>
      <c r="Q65" s="1417"/>
      <c r="R65" s="1417"/>
    </row>
    <row r="66" spans="1:25" x14ac:dyDescent="0.25">
      <c r="A66" s="1036"/>
      <c r="B66" s="1036"/>
      <c r="C66" s="1036"/>
      <c r="D66" s="1036"/>
      <c r="E66" s="1037"/>
      <c r="F66" s="1038"/>
      <c r="G66" s="1038"/>
      <c r="H66" s="1038"/>
      <c r="I66" s="1038"/>
      <c r="J66" s="1038"/>
      <c r="K66" s="1038"/>
      <c r="L66" s="1038"/>
      <c r="M66" s="1038"/>
      <c r="N66" s="1037"/>
      <c r="O66" s="1037"/>
      <c r="P66" s="1037"/>
      <c r="Q66" s="1037"/>
      <c r="R66" s="1027"/>
    </row>
    <row r="67" spans="1:25" x14ac:dyDescent="0.25">
      <c r="A67" s="185">
        <v>9257002</v>
      </c>
      <c r="B67" s="38" t="s">
        <v>75</v>
      </c>
      <c r="C67" t="s">
        <v>846</v>
      </c>
      <c r="D67" t="str">
        <f>CONCATENATE(A67,C67)</f>
        <v>92570022019/20</v>
      </c>
      <c r="E67" s="1030">
        <f>VLOOKUP(A67,'1920 Funding Detail'!$A$4:$M$23,13,(FALSE))</f>
        <v>144.58333333333334</v>
      </c>
      <c r="F67" s="1029">
        <f>$E$67*'1920 Band Calculations'!D15</f>
        <v>67.271412037037038</v>
      </c>
      <c r="G67" s="1029">
        <f>$E$67*'1920 Band Calculations'!E15</f>
        <v>24.097222222222221</v>
      </c>
      <c r="H67" s="1029">
        <f>$E$67*'1920 Band Calculations'!F15</f>
        <v>27.109375</v>
      </c>
      <c r="I67" s="1029">
        <f>$E$67*'1920 Band Calculations'!G15</f>
        <v>2.0081018518518521</v>
      </c>
      <c r="J67" s="1029">
        <f>$E$67*'1920 Band Calculations'!H15</f>
        <v>7.0283564814814818</v>
      </c>
      <c r="K67" s="1029">
        <f>$E$67*'1920 Band Calculations'!I15</f>
        <v>16.064814814814817</v>
      </c>
      <c r="L67" s="1029">
        <f>$E$67*'1920 Band Calculations'!J15</f>
        <v>1.004050925925926</v>
      </c>
      <c r="M67" s="1047"/>
      <c r="N67" s="16">
        <f>VLOOKUP(A67,'1920 Funding Detail'!$A$4:$U$23,21,(FALSE))*-1</f>
        <v>-323.78150158713288</v>
      </c>
      <c r="O67" s="16">
        <f>VLOOKUP(A67,'1920 Funding Detail'!$A$4:$V$23,22,(FALSE))</f>
        <v>0</v>
      </c>
      <c r="P67" s="1027"/>
    </row>
    <row r="68" spans="1:25" x14ac:dyDescent="0.25">
      <c r="A68" s="185">
        <v>9257002</v>
      </c>
      <c r="B68" s="38" t="s">
        <v>75</v>
      </c>
      <c r="C68" t="s">
        <v>937</v>
      </c>
      <c r="D68" t="str">
        <f>CONCATENATE(A68,C68)</f>
        <v>92570022020/21</v>
      </c>
      <c r="E68" s="1030">
        <f>VLOOKUP(A68,'2021 Funding Detail'!$A$4:$M$23,13,(FALSE))</f>
        <v>147.91666666666669</v>
      </c>
      <c r="F68" s="1029">
        <f>$E$68*'2021 Band Calculations'!D15</f>
        <v>63.541666666666671</v>
      </c>
      <c r="G68" s="1029">
        <f>$E$68*'2021 Band Calculations'!E15</f>
        <v>37.500000000000007</v>
      </c>
      <c r="H68" s="1029">
        <f>$E$68*'2021 Band Calculations'!F15</f>
        <v>22.916666666666668</v>
      </c>
      <c r="I68" s="1029">
        <f>$E$68*'2021 Band Calculations'!G15</f>
        <v>3.1250000000000004</v>
      </c>
      <c r="J68" s="1029">
        <f>$E$68*'2021 Band Calculations'!H15</f>
        <v>6.2500000000000009</v>
      </c>
      <c r="K68" s="1029">
        <f>$E$68*'2021 Band Calculations'!I15</f>
        <v>12.500000000000002</v>
      </c>
      <c r="L68" s="1029">
        <f>$E$68*'2021 Band Calculations'!J15</f>
        <v>2.0833333333333335</v>
      </c>
      <c r="M68" s="1047"/>
      <c r="N68" s="16">
        <f>IF(N67&gt;0,(N67),(0))</f>
        <v>0</v>
      </c>
      <c r="O68" s="1047"/>
      <c r="P68" s="1047"/>
      <c r="Q68" s="1047"/>
    </row>
    <row r="69" spans="1:25" x14ac:dyDescent="0.25">
      <c r="A69" s="185"/>
      <c r="B69" s="38"/>
      <c r="E69" s="1027"/>
      <c r="F69" s="1031">
        <f t="shared" ref="F69:K69" si="36">F68-F67</f>
        <v>-3.7297453703703667</v>
      </c>
      <c r="G69" s="1031">
        <f t="shared" si="36"/>
        <v>13.402777777777786</v>
      </c>
      <c r="H69" s="1031">
        <f t="shared" si="36"/>
        <v>-4.1927083333333321</v>
      </c>
      <c r="I69" s="1031">
        <f t="shared" si="36"/>
        <v>1.1168981481481484</v>
      </c>
      <c r="J69" s="1031">
        <f t="shared" si="36"/>
        <v>-0.77835648148148096</v>
      </c>
      <c r="K69" s="1031">
        <f t="shared" si="36"/>
        <v>-3.5648148148148149</v>
      </c>
      <c r="L69" s="1027"/>
      <c r="M69" s="1027"/>
      <c r="N69" s="1027"/>
      <c r="O69" s="1027"/>
      <c r="P69" s="1027"/>
      <c r="Q69" s="1027"/>
      <c r="R69" s="1027"/>
    </row>
    <row r="70" spans="1:25" x14ac:dyDescent="0.25">
      <c r="A70" s="185"/>
      <c r="B70" s="38"/>
      <c r="E70" s="1027"/>
      <c r="F70" s="16">
        <f t="shared" ref="F70:K70" si="37">F67*$N$68</f>
        <v>0</v>
      </c>
      <c r="G70" s="16">
        <f t="shared" si="37"/>
        <v>0</v>
      </c>
      <c r="H70" s="16">
        <f t="shared" si="37"/>
        <v>0</v>
      </c>
      <c r="I70" s="16">
        <f t="shared" si="37"/>
        <v>0</v>
      </c>
      <c r="J70" s="16">
        <f t="shared" si="37"/>
        <v>0</v>
      </c>
      <c r="K70" s="16">
        <f t="shared" si="37"/>
        <v>0</v>
      </c>
      <c r="L70" s="16">
        <f>SUM(F70:K70)</f>
        <v>0</v>
      </c>
      <c r="M70" s="1027"/>
      <c r="N70" s="1027"/>
      <c r="O70" s="16">
        <f>SUM(F70:K70)</f>
        <v>0</v>
      </c>
      <c r="P70" s="16">
        <f>O67-O70</f>
        <v>0</v>
      </c>
      <c r="Q70" s="1027" t="s">
        <v>965</v>
      </c>
      <c r="R70" s="1027"/>
    </row>
    <row r="71" spans="1:25" ht="13" thickBot="1" x14ac:dyDescent="0.3">
      <c r="A71" s="185"/>
      <c r="B71" s="38"/>
      <c r="E71" s="1027"/>
      <c r="F71" s="84">
        <f t="shared" ref="F71:K71" si="38">IF(F69&lt;0,(F68*$N$68),IF(F69&gt;0,(F67*$N$68),(0)))</f>
        <v>0</v>
      </c>
      <c r="G71" s="84">
        <f t="shared" si="38"/>
        <v>0</v>
      </c>
      <c r="H71" s="84">
        <f t="shared" si="38"/>
        <v>0</v>
      </c>
      <c r="I71" s="84">
        <f t="shared" si="38"/>
        <v>0</v>
      </c>
      <c r="J71" s="84">
        <f t="shared" si="38"/>
        <v>0</v>
      </c>
      <c r="K71" s="84">
        <f t="shared" si="38"/>
        <v>0</v>
      </c>
      <c r="L71" s="1033">
        <f>SUM(F71:K71)</f>
        <v>0</v>
      </c>
      <c r="M71" s="16">
        <f>L71-L70</f>
        <v>0</v>
      </c>
      <c r="N71" s="1027"/>
      <c r="O71" s="1027"/>
      <c r="P71" s="1027"/>
      <c r="Q71" s="1027"/>
      <c r="R71" s="1027"/>
    </row>
    <row r="72" spans="1:25" ht="13.5" thickBot="1" x14ac:dyDescent="0.35">
      <c r="A72" s="75"/>
      <c r="B72" s="50"/>
      <c r="C72" s="420" t="s">
        <v>937</v>
      </c>
      <c r="D72" s="420" t="s">
        <v>1182</v>
      </c>
      <c r="E72" s="1468">
        <f>SUM(F72:K72)</f>
        <v>0</v>
      </c>
      <c r="F72" s="1464">
        <f t="shared" ref="F72:K72" si="39">IF(F71&gt;0,(F71/$N$68),(0))</f>
        <v>0</v>
      </c>
      <c r="G72" s="1464">
        <f t="shared" si="39"/>
        <v>0</v>
      </c>
      <c r="H72" s="1464">
        <f t="shared" si="39"/>
        <v>0</v>
      </c>
      <c r="I72" s="1464">
        <f t="shared" si="39"/>
        <v>0</v>
      </c>
      <c r="J72" s="1464">
        <f t="shared" si="39"/>
        <v>0</v>
      </c>
      <c r="K72" s="1464">
        <f t="shared" si="39"/>
        <v>0</v>
      </c>
      <c r="L72" s="5">
        <v>0</v>
      </c>
      <c r="M72" s="1469">
        <f>IF(L71&gt;0,(L71/E72),(0))</f>
        <v>0</v>
      </c>
      <c r="N72" s="1417"/>
      <c r="O72" s="1417"/>
      <c r="P72" s="1417"/>
      <c r="Q72" s="1417"/>
      <c r="R72" s="1417"/>
    </row>
    <row r="73" spans="1:25" x14ac:dyDescent="0.25">
      <c r="A73" s="1048"/>
      <c r="B73" s="1048"/>
      <c r="C73" s="1036"/>
      <c r="D73" s="1036"/>
      <c r="E73" s="1037"/>
      <c r="F73" s="1038"/>
      <c r="G73" s="1038"/>
      <c r="H73" s="1038"/>
      <c r="I73" s="1038"/>
      <c r="J73" s="1038"/>
      <c r="K73" s="1038"/>
      <c r="L73" s="1038"/>
      <c r="M73" s="1038"/>
      <c r="N73" s="1037"/>
      <c r="O73" s="1037"/>
      <c r="P73" s="1037"/>
      <c r="Q73" s="1037"/>
      <c r="R73" s="1027"/>
    </row>
    <row r="74" spans="1:25" x14ac:dyDescent="0.25">
      <c r="A74" s="185">
        <v>9257009</v>
      </c>
      <c r="B74" s="38" t="s">
        <v>76</v>
      </c>
      <c r="C74" t="s">
        <v>846</v>
      </c>
      <c r="D74" t="str">
        <f>CONCATENATE(A74,C74)</f>
        <v>92570092019/20</v>
      </c>
      <c r="E74" s="1030">
        <f>VLOOKUP(A74,'1920 Funding Detail'!$A$4:$M$23,13,(FALSE))</f>
        <v>134.16666666666669</v>
      </c>
      <c r="F74" s="1029">
        <f>$E$74*'1920 Band Calculations'!D16</f>
        <v>24.029850746268657</v>
      </c>
      <c r="G74" s="1029">
        <f>$E$74*'1920 Band Calculations'!E16</f>
        <v>68.084577114427873</v>
      </c>
      <c r="H74" s="1029">
        <f>$E$74*'1920 Band Calculations'!F16</f>
        <v>16.019900497512438</v>
      </c>
      <c r="I74" s="1029">
        <f>$E$74*'1920 Band Calculations'!G16</f>
        <v>2.0024875621890548</v>
      </c>
      <c r="J74" s="1029">
        <f>$E$74*'1920 Band Calculations'!H16</f>
        <v>5.0062189054726369</v>
      </c>
      <c r="K74" s="1029">
        <f>$E$74*'1920 Band Calculations'!I16</f>
        <v>19.023631840796021</v>
      </c>
      <c r="L74" s="1029">
        <f>$E$74*'1920 Band Calculations'!J16</f>
        <v>0</v>
      </c>
      <c r="N74" s="16">
        <f>VLOOKUP(A74,'1920 Funding Detail'!$A$4:$U$23,21,(FALSE))*-1</f>
        <v>620.19281408091047</v>
      </c>
      <c r="O74" s="16">
        <f>VLOOKUP(A74,'1920 Funding Detail'!$A$4:$V$23,22,(FALSE))</f>
        <v>83209.202555855503</v>
      </c>
      <c r="S74" s="1029"/>
      <c r="T74" s="1029"/>
      <c r="U74" s="1029"/>
      <c r="V74" s="1029"/>
      <c r="W74" s="1029"/>
      <c r="X74" s="1029"/>
      <c r="Y74" s="1029"/>
    </row>
    <row r="75" spans="1:25" x14ac:dyDescent="0.25">
      <c r="A75" s="185">
        <v>9257009</v>
      </c>
      <c r="B75" s="38" t="s">
        <v>76</v>
      </c>
      <c r="C75" t="s">
        <v>937</v>
      </c>
      <c r="D75" t="str">
        <f>CONCATENATE(A75,C75)</f>
        <v>92570092020/21</v>
      </c>
      <c r="E75" s="1030">
        <f>VLOOKUP(A75,'2021 Funding Detail'!$A$4:$M$23,13,(FALSE))</f>
        <v>135.58333333333334</v>
      </c>
      <c r="F75" s="1029">
        <f>$E$75*'2021 Band Calculations'!D16</f>
        <v>23.122739018087856</v>
      </c>
      <c r="G75" s="1029">
        <f>$E$75*'2021 Band Calculations'!E16</f>
        <v>78.827519379844972</v>
      </c>
      <c r="H75" s="1029">
        <f>$E$75*'2021 Band Calculations'!F16</f>
        <v>11.561369509043928</v>
      </c>
      <c r="I75" s="1029">
        <f>$E$75*'2021 Band Calculations'!G16</f>
        <v>2.1020671834625326</v>
      </c>
      <c r="J75" s="1029">
        <f>$E$75*'2021 Band Calculations'!H16</f>
        <v>4.2041343669250653</v>
      </c>
      <c r="K75" s="1029">
        <f>$E$75*'2021 Band Calculations'!I16</f>
        <v>15.765503875968992</v>
      </c>
      <c r="L75" s="1029">
        <f>$E$75*'2021 Band Calculations'!J16</f>
        <v>0</v>
      </c>
      <c r="N75" s="16">
        <f>IF(N74&gt;0,(N74),(0))</f>
        <v>620.19281408091047</v>
      </c>
      <c r="O75" s="1047"/>
      <c r="P75" s="1047"/>
      <c r="S75" s="1029"/>
      <c r="T75" s="1029"/>
      <c r="U75" s="1029"/>
      <c r="V75" s="1029"/>
      <c r="W75" s="1029"/>
      <c r="X75" s="1029"/>
      <c r="Y75" s="1029"/>
    </row>
    <row r="76" spans="1:25" x14ac:dyDescent="0.25">
      <c r="A76" s="185"/>
      <c r="B76" s="38"/>
      <c r="E76" s="1027"/>
      <c r="F76" s="1031">
        <f t="shared" ref="F76:K76" si="40">F75-F74</f>
        <v>-0.90711172818080144</v>
      </c>
      <c r="G76" s="1031">
        <f t="shared" si="40"/>
        <v>10.742942265417099</v>
      </c>
      <c r="H76" s="1031">
        <f t="shared" si="40"/>
        <v>-4.4585309884685103</v>
      </c>
      <c r="I76" s="1031">
        <f t="shared" si="40"/>
        <v>9.9579621273477859E-2</v>
      </c>
      <c r="J76" s="1031">
        <f t="shared" si="40"/>
        <v>-0.80208453854757167</v>
      </c>
      <c r="K76" s="1031">
        <f t="shared" si="40"/>
        <v>-3.2581279648270289</v>
      </c>
      <c r="L76" s="1047"/>
      <c r="M76" s="1047"/>
      <c r="N76" s="1027"/>
      <c r="O76" s="1027"/>
      <c r="P76" s="1027"/>
      <c r="Q76" s="1027"/>
      <c r="R76" s="1027"/>
      <c r="S76" s="1029"/>
      <c r="T76" s="1029"/>
      <c r="U76" s="1029"/>
      <c r="V76" s="1029"/>
      <c r="W76" s="1029"/>
      <c r="X76" s="1029"/>
      <c r="Y76" s="1029"/>
    </row>
    <row r="77" spans="1:25" x14ac:dyDescent="0.25">
      <c r="A77" s="185"/>
      <c r="B77" s="38"/>
      <c r="E77" s="1047"/>
      <c r="F77" s="16">
        <f t="shared" ref="F77:K77" si="41">F74*$N$75</f>
        <v>14903.140756272625</v>
      </c>
      <c r="G77" s="16">
        <f t="shared" si="41"/>
        <v>42225.565476105774</v>
      </c>
      <c r="H77" s="16">
        <f t="shared" si="41"/>
        <v>9935.4271708484175</v>
      </c>
      <c r="I77" s="16">
        <f t="shared" si="41"/>
        <v>1241.9283963560522</v>
      </c>
      <c r="J77" s="16">
        <f t="shared" si="41"/>
        <v>3104.8209908901304</v>
      </c>
      <c r="K77" s="16">
        <f t="shared" si="41"/>
        <v>11798.319765382495</v>
      </c>
      <c r="L77" s="16">
        <f>SUM(F77:K77)</f>
        <v>83209.202555855503</v>
      </c>
      <c r="M77" s="1047"/>
      <c r="N77" s="1047"/>
      <c r="O77" s="16">
        <f>SUM(F77:K77)</f>
        <v>83209.202555855503</v>
      </c>
      <c r="P77" s="16">
        <f>O74-O77</f>
        <v>0</v>
      </c>
      <c r="Q77" s="1047" t="s">
        <v>965</v>
      </c>
      <c r="R77" s="1027"/>
    </row>
    <row r="78" spans="1:25" ht="13" thickBot="1" x14ac:dyDescent="0.3">
      <c r="A78" s="185"/>
      <c r="B78" s="38"/>
      <c r="E78" s="1027"/>
      <c r="F78" s="16">
        <f t="shared" ref="F78:K78" si="42">IF(F76&lt;0,(F75*$N$75),IF(F76&gt;0,(F74*$N$75),(0)))</f>
        <v>14340.556580886376</v>
      </c>
      <c r="G78" s="16">
        <f t="shared" si="42"/>
        <v>42225.565476105774</v>
      </c>
      <c r="H78" s="16">
        <f t="shared" si="42"/>
        <v>7170.2782904431879</v>
      </c>
      <c r="I78" s="16">
        <f t="shared" si="42"/>
        <v>1241.9283963560522</v>
      </c>
      <c r="J78" s="16">
        <f t="shared" si="42"/>
        <v>2607.3739237975233</v>
      </c>
      <c r="K78" s="16">
        <f t="shared" si="42"/>
        <v>9777.6522142407102</v>
      </c>
      <c r="L78" s="1033">
        <f>SUM(F78:K78)</f>
        <v>77363.354881829611</v>
      </c>
      <c r="M78" s="16">
        <f>L78-L77</f>
        <v>-5845.847674025892</v>
      </c>
      <c r="N78" s="1027"/>
      <c r="O78" s="1027"/>
      <c r="P78" s="1027"/>
      <c r="Q78" s="1027"/>
      <c r="R78" s="1027"/>
    </row>
    <row r="79" spans="1:25" ht="13.5" thickBot="1" x14ac:dyDescent="0.35">
      <c r="A79" s="75">
        <v>9257009</v>
      </c>
      <c r="B79" s="50"/>
      <c r="C79" s="420" t="s">
        <v>937</v>
      </c>
      <c r="D79" s="420" t="s">
        <v>1182</v>
      </c>
      <c r="E79" s="1468">
        <f>SUM(F79:K79)</f>
        <v>124.74081144664277</v>
      </c>
      <c r="F79" s="1464">
        <f t="shared" ref="F79:K79" si="43">IF(F78&gt;0,(F78/$N$75),(0))</f>
        <v>23.122739018087856</v>
      </c>
      <c r="G79" s="1464">
        <f t="shared" si="43"/>
        <v>68.084577114427873</v>
      </c>
      <c r="H79" s="1464">
        <f t="shared" si="43"/>
        <v>11.561369509043928</v>
      </c>
      <c r="I79" s="1464">
        <f t="shared" si="43"/>
        <v>2.0024875621890548</v>
      </c>
      <c r="J79" s="1464">
        <f t="shared" si="43"/>
        <v>4.2041343669250653</v>
      </c>
      <c r="K79" s="1464">
        <f t="shared" si="43"/>
        <v>15.765503875968992</v>
      </c>
      <c r="L79" s="5">
        <v>0</v>
      </c>
      <c r="M79" s="1469">
        <f>IF(L78&gt;0,(L78/E79),(0))</f>
        <v>620.19281408091035</v>
      </c>
      <c r="N79" s="1417"/>
      <c r="O79" s="1417"/>
      <c r="P79" s="1417"/>
      <c r="Q79" s="1417"/>
      <c r="R79" s="1417"/>
    </row>
    <row r="80" spans="1:25" x14ac:dyDescent="0.25">
      <c r="A80" s="1048"/>
      <c r="B80" s="1048"/>
      <c r="C80" s="1036"/>
      <c r="D80" s="1036"/>
      <c r="E80" s="1037"/>
      <c r="F80" s="1038"/>
      <c r="G80" s="1038"/>
      <c r="H80" s="1038"/>
      <c r="I80" s="1038"/>
      <c r="J80" s="1038"/>
      <c r="K80" s="1038"/>
      <c r="L80" s="1038"/>
      <c r="M80" s="1038"/>
      <c r="N80" s="1037"/>
      <c r="O80" s="1037"/>
      <c r="P80" s="1037"/>
      <c r="Q80" s="1037"/>
      <c r="R80" s="1027"/>
    </row>
    <row r="81" spans="1:18" x14ac:dyDescent="0.25">
      <c r="A81" s="185">
        <v>9257029</v>
      </c>
      <c r="B81" s="915" t="s">
        <v>848</v>
      </c>
      <c r="C81" t="s">
        <v>846</v>
      </c>
      <c r="D81" t="str">
        <f>CONCATENATE(A81,C81)</f>
        <v>92570292019/20</v>
      </c>
      <c r="E81" s="1030">
        <f>VLOOKUP(A81,'1920 Funding Detail'!$A$4:$M$23,13,(FALSE))</f>
        <v>56.750000000000007</v>
      </c>
      <c r="F81" s="1029">
        <f>$E$81*'1920 Band Calculations'!D17</f>
        <v>0</v>
      </c>
      <c r="G81" s="1029">
        <f>$E$81*'1920 Band Calculations'!E17</f>
        <v>0</v>
      </c>
      <c r="H81" s="1029">
        <f>$E$81*'1920 Band Calculations'!F17</f>
        <v>56.750000000000007</v>
      </c>
      <c r="I81" s="1029">
        <f>$E$81*'1920 Band Calculations'!G17</f>
        <v>0</v>
      </c>
      <c r="J81" s="1029">
        <f>$E$81*'1920 Band Calculations'!H17</f>
        <v>0</v>
      </c>
      <c r="K81" s="1029">
        <f>$E$81*'1920 Band Calculations'!I17</f>
        <v>0</v>
      </c>
      <c r="L81" s="1029">
        <f>$E$81*'1920 Band Calculations'!J17</f>
        <v>0</v>
      </c>
      <c r="M81" s="1047"/>
      <c r="N81" s="16">
        <f>VLOOKUP(A81,'1920 Funding Detail'!$A$4:$U$23,21,(FALSE))*-1</f>
        <v>298.91737375922457</v>
      </c>
      <c r="O81" s="16">
        <f>VLOOKUP(A81,'1920 Funding Detail'!$A$4:$V$23,22,(FALSE))</f>
        <v>16963.560960835996</v>
      </c>
      <c r="P81" s="1027"/>
    </row>
    <row r="82" spans="1:18" x14ac:dyDescent="0.25">
      <c r="A82" s="185">
        <v>9257029</v>
      </c>
      <c r="B82" s="915" t="s">
        <v>848</v>
      </c>
      <c r="C82" t="s">
        <v>937</v>
      </c>
      <c r="D82" t="str">
        <f>CONCATENATE(A82,C82)</f>
        <v>92570292020/21</v>
      </c>
      <c r="E82" s="1030">
        <f>VLOOKUP(A82,'2021 Funding Detail'!$A$4:$M$23,13,(FALSE))</f>
        <v>69.166666666666671</v>
      </c>
      <c r="F82" s="1029">
        <f>$E$82*'2021 Band Calculations'!D17</f>
        <v>0</v>
      </c>
      <c r="G82" s="1029">
        <f>$E$82*'2021 Band Calculations'!E17</f>
        <v>0</v>
      </c>
      <c r="H82" s="1029">
        <f>$E$82*'2021 Band Calculations'!F17</f>
        <v>69.166666666666671</v>
      </c>
      <c r="I82" s="1029">
        <f>$E$82*'2021 Band Calculations'!G17</f>
        <v>0</v>
      </c>
      <c r="J82" s="1029">
        <f>$E$82*'2021 Band Calculations'!H17</f>
        <v>0</v>
      </c>
      <c r="K82" s="1029">
        <f>$E$82*'2021 Band Calculations'!I17</f>
        <v>0</v>
      </c>
      <c r="L82" s="1029">
        <f>$E$82*'2021 Band Calculations'!J17</f>
        <v>0</v>
      </c>
      <c r="M82" s="1047"/>
      <c r="N82" s="16">
        <f>IF(N81&gt;0,(N81),(0))</f>
        <v>298.91737375922457</v>
      </c>
      <c r="O82" s="1047"/>
      <c r="P82" s="1047"/>
      <c r="Q82" s="1047"/>
    </row>
    <row r="83" spans="1:18" x14ac:dyDescent="0.25">
      <c r="A83" s="185"/>
      <c r="B83" s="915"/>
      <c r="E83" s="1027"/>
      <c r="F83" s="1031">
        <f t="shared" ref="F83:K83" si="44">F82-F81</f>
        <v>0</v>
      </c>
      <c r="G83" s="1031">
        <f t="shared" si="44"/>
        <v>0</v>
      </c>
      <c r="H83" s="1031">
        <f t="shared" si="44"/>
        <v>12.416666666666664</v>
      </c>
      <c r="I83" s="1031">
        <f t="shared" si="44"/>
        <v>0</v>
      </c>
      <c r="J83" s="1031">
        <f t="shared" si="44"/>
        <v>0</v>
      </c>
      <c r="K83" s="1031">
        <f t="shared" si="44"/>
        <v>0</v>
      </c>
      <c r="L83" s="1027"/>
      <c r="M83" s="1027"/>
      <c r="N83" s="1027"/>
      <c r="O83" s="1027"/>
      <c r="P83" s="1027"/>
      <c r="Q83" s="1027"/>
      <c r="R83" s="1027"/>
    </row>
    <row r="84" spans="1:18" x14ac:dyDescent="0.25">
      <c r="A84" s="185"/>
      <c r="B84" s="915"/>
      <c r="E84" s="1027"/>
      <c r="F84" s="16">
        <f t="shared" ref="F84:K84" si="45">F81*$N$82</f>
        <v>0</v>
      </c>
      <c r="G84" s="16">
        <f t="shared" si="45"/>
        <v>0</v>
      </c>
      <c r="H84" s="16">
        <f t="shared" si="45"/>
        <v>16963.560960835996</v>
      </c>
      <c r="I84" s="16">
        <f t="shared" si="45"/>
        <v>0</v>
      </c>
      <c r="J84" s="16">
        <f t="shared" si="45"/>
        <v>0</v>
      </c>
      <c r="K84" s="16">
        <f t="shared" si="45"/>
        <v>0</v>
      </c>
      <c r="L84" s="16">
        <f>SUM(F84:K84)</f>
        <v>16963.560960835996</v>
      </c>
      <c r="M84" s="1027"/>
      <c r="N84" s="1027"/>
      <c r="O84" s="16">
        <f>SUM(F84:K84)</f>
        <v>16963.560960835996</v>
      </c>
      <c r="P84" s="16">
        <f>O81-O84</f>
        <v>0</v>
      </c>
      <c r="Q84" s="1027" t="s">
        <v>965</v>
      </c>
      <c r="R84" s="1027"/>
    </row>
    <row r="85" spans="1:18" ht="13" thickBot="1" x14ac:dyDescent="0.3">
      <c r="A85" s="185"/>
      <c r="B85" s="915"/>
      <c r="E85" s="1027"/>
      <c r="F85" s="16">
        <f t="shared" ref="F85:K85" si="46">IF(F83&lt;0,(F82*$N$82),IF(F83&gt;0,(F81*$N$82),(0)))</f>
        <v>0</v>
      </c>
      <c r="G85" s="16">
        <f t="shared" si="46"/>
        <v>0</v>
      </c>
      <c r="H85" s="16">
        <f t="shared" si="46"/>
        <v>16963.560960835996</v>
      </c>
      <c r="I85" s="16">
        <f t="shared" si="46"/>
        <v>0</v>
      </c>
      <c r="J85" s="16">
        <f t="shared" si="46"/>
        <v>0</v>
      </c>
      <c r="K85" s="16">
        <f t="shared" si="46"/>
        <v>0</v>
      </c>
      <c r="L85" s="1033">
        <f>SUM(F85:K85)</f>
        <v>16963.560960835996</v>
      </c>
      <c r="M85" s="16">
        <f>L85-L84</f>
        <v>0</v>
      </c>
      <c r="N85" s="1027"/>
      <c r="O85" s="1027"/>
      <c r="P85" s="1027"/>
      <c r="Q85" s="1027"/>
      <c r="R85" s="1027"/>
    </row>
    <row r="86" spans="1:18" ht="13.5" thickBot="1" x14ac:dyDescent="0.35">
      <c r="A86" s="75"/>
      <c r="B86" s="921"/>
      <c r="C86" s="420" t="s">
        <v>937</v>
      </c>
      <c r="D86" s="420" t="s">
        <v>1182</v>
      </c>
      <c r="E86" s="1468">
        <f>SUM(F86:K86)</f>
        <v>56.75</v>
      </c>
      <c r="F86" s="1464">
        <f t="shared" ref="F86:K86" si="47">IF(F85&gt;0,(F85/$N$82),(0))</f>
        <v>0</v>
      </c>
      <c r="G86" s="1464">
        <f t="shared" si="47"/>
        <v>0</v>
      </c>
      <c r="H86" s="1464">
        <f t="shared" si="47"/>
        <v>56.75</v>
      </c>
      <c r="I86" s="1464">
        <f t="shared" si="47"/>
        <v>0</v>
      </c>
      <c r="J86" s="1464">
        <f t="shared" si="47"/>
        <v>0</v>
      </c>
      <c r="K86" s="1464">
        <f t="shared" si="47"/>
        <v>0</v>
      </c>
      <c r="L86" s="5">
        <v>0</v>
      </c>
      <c r="M86" s="1469">
        <f>IF(L85&gt;0,(L85/E86),(0))</f>
        <v>298.91737375922457</v>
      </c>
      <c r="N86" s="1417"/>
      <c r="O86" s="1417"/>
      <c r="P86" s="1417"/>
      <c r="Q86" s="1417"/>
      <c r="R86" s="1417"/>
    </row>
    <row r="87" spans="1:18" x14ac:dyDescent="0.25">
      <c r="A87" s="1036"/>
      <c r="B87" s="1036"/>
      <c r="C87" s="1036"/>
      <c r="D87" s="1036"/>
      <c r="E87" s="1037"/>
      <c r="F87" s="1038"/>
      <c r="G87" s="1038"/>
      <c r="H87" s="1038"/>
      <c r="I87" s="1038"/>
      <c r="J87" s="1038"/>
      <c r="K87" s="1038"/>
      <c r="L87" s="1038"/>
      <c r="M87" s="1038"/>
      <c r="N87" s="1037"/>
      <c r="O87" s="1037"/>
      <c r="P87" s="1037"/>
      <c r="Q87" s="1037"/>
      <c r="R87" s="1027"/>
    </row>
    <row r="88" spans="1:18" x14ac:dyDescent="0.25">
      <c r="A88" s="185">
        <v>9257032</v>
      </c>
      <c r="B88" s="915" t="s">
        <v>934</v>
      </c>
      <c r="C88" t="s">
        <v>846</v>
      </c>
      <c r="D88" t="str">
        <f>CONCATENATE(A88,C88)</f>
        <v>92570322019/20</v>
      </c>
      <c r="E88" s="1030">
        <f>VLOOKUP(A88,'1920 Funding Detail'!$A$4:$M$23,13,(FALSE))</f>
        <v>71.416666666666671</v>
      </c>
      <c r="F88" s="1029">
        <f>$E$88*'1920 Band Calculations'!D18</f>
        <v>0</v>
      </c>
      <c r="G88" s="1029">
        <f>$E$88*'1920 Band Calculations'!E18</f>
        <v>0</v>
      </c>
      <c r="H88" s="1029">
        <f>$E$88*'1920 Band Calculations'!F18</f>
        <v>71.416666666666671</v>
      </c>
      <c r="I88" s="1029">
        <f>$E$88*'1920 Band Calculations'!G18</f>
        <v>0</v>
      </c>
      <c r="J88" s="1029">
        <f>$E$88*'1920 Band Calculations'!H18</f>
        <v>0</v>
      </c>
      <c r="K88" s="1029">
        <f>$E$88*'1920 Band Calculations'!I18</f>
        <v>0</v>
      </c>
      <c r="L88" s="1029">
        <f>$E$88*'1920 Band Calculations'!J18</f>
        <v>0</v>
      </c>
      <c r="N88" s="16">
        <f>VLOOKUP(A88,'1920 Funding Detail'!$A$4:$U$23,21,(FALSE))*-1</f>
        <v>587.48862610920514</v>
      </c>
      <c r="O88" s="16">
        <f>VLOOKUP(A88,'1920 Funding Detail'!$A$4:$V$23,22,(FALSE))</f>
        <v>41956.479381299068</v>
      </c>
      <c r="P88" s="1027"/>
    </row>
    <row r="89" spans="1:18" x14ac:dyDescent="0.25">
      <c r="A89" s="185">
        <v>9257032</v>
      </c>
      <c r="B89" s="915" t="s">
        <v>934</v>
      </c>
      <c r="C89" t="s">
        <v>937</v>
      </c>
      <c r="D89" t="str">
        <f>CONCATENATE(A89,C89)</f>
        <v>92570322020/21</v>
      </c>
      <c r="E89" s="1030">
        <f>VLOOKUP(A89,'2021 Funding Detail'!$A$4:$M$23,13,(FALSE))</f>
        <v>77.416666666666671</v>
      </c>
      <c r="F89" s="1029">
        <f>$E$89*'2021 Band Calculations'!D18</f>
        <v>0</v>
      </c>
      <c r="G89" s="1029">
        <f>$E$89*'2021 Band Calculations'!E18</f>
        <v>0</v>
      </c>
      <c r="H89" s="1029">
        <f>$E$89*'2021 Band Calculations'!F18</f>
        <v>77.416666666666671</v>
      </c>
      <c r="I89" s="1029">
        <f>$E$89*'2021 Band Calculations'!G18</f>
        <v>0</v>
      </c>
      <c r="J89" s="1029">
        <f>$E$89*'2021 Band Calculations'!H18</f>
        <v>0</v>
      </c>
      <c r="K89" s="1029">
        <f>$E$89*'2021 Band Calculations'!I18</f>
        <v>0</v>
      </c>
      <c r="L89" s="1029">
        <f>$E$89*'2021 Band Calculations'!J18</f>
        <v>0</v>
      </c>
      <c r="N89" s="16">
        <f>IF(N88&gt;0,(N88),(0))</f>
        <v>587.48862610920514</v>
      </c>
      <c r="O89" s="1047"/>
      <c r="P89" s="1047"/>
    </row>
    <row r="90" spans="1:18" x14ac:dyDescent="0.25">
      <c r="A90" s="185"/>
      <c r="B90" s="915"/>
      <c r="E90" s="1027"/>
      <c r="F90" s="1031">
        <f t="shared" ref="F90:K90" si="48">F89-F88</f>
        <v>0</v>
      </c>
      <c r="G90" s="1031">
        <f t="shared" si="48"/>
        <v>0</v>
      </c>
      <c r="H90" s="1031">
        <f t="shared" si="48"/>
        <v>6</v>
      </c>
      <c r="I90" s="1031">
        <f t="shared" si="48"/>
        <v>0</v>
      </c>
      <c r="J90" s="1031">
        <f t="shared" si="48"/>
        <v>0</v>
      </c>
      <c r="K90" s="1031">
        <f t="shared" si="48"/>
        <v>0</v>
      </c>
      <c r="L90" s="1047"/>
      <c r="M90" s="1047"/>
      <c r="N90" s="1027"/>
      <c r="O90" s="1027"/>
      <c r="P90" s="1027"/>
      <c r="Q90" s="1027"/>
      <c r="R90" s="1027"/>
    </row>
    <row r="91" spans="1:18" x14ac:dyDescent="0.25">
      <c r="A91" s="185"/>
      <c r="B91" s="915"/>
      <c r="E91" s="1047"/>
      <c r="F91" s="16">
        <f t="shared" ref="F91:K91" si="49">F88*$N$89</f>
        <v>0</v>
      </c>
      <c r="G91" s="16">
        <f t="shared" si="49"/>
        <v>0</v>
      </c>
      <c r="H91" s="16">
        <f t="shared" si="49"/>
        <v>41956.479381299068</v>
      </c>
      <c r="I91" s="16">
        <f t="shared" si="49"/>
        <v>0</v>
      </c>
      <c r="J91" s="16">
        <f t="shared" si="49"/>
        <v>0</v>
      </c>
      <c r="K91" s="16">
        <f t="shared" si="49"/>
        <v>0</v>
      </c>
      <c r="L91" s="16">
        <f>SUM(F91:K91)</f>
        <v>41956.479381299068</v>
      </c>
      <c r="M91" s="1047"/>
      <c r="N91" s="1047"/>
      <c r="O91" s="16">
        <f>SUM(F91:K91)</f>
        <v>41956.479381299068</v>
      </c>
      <c r="P91" s="16">
        <f>O88-O91</f>
        <v>0</v>
      </c>
      <c r="Q91" s="1047" t="s">
        <v>965</v>
      </c>
      <c r="R91" s="1027"/>
    </row>
    <row r="92" spans="1:18" ht="13" thickBot="1" x14ac:dyDescent="0.3">
      <c r="A92" s="185"/>
      <c r="B92" s="915"/>
      <c r="E92" s="1027"/>
      <c r="F92" s="84">
        <f t="shared" ref="F92:K92" si="50">IF(F90&lt;0,(F89*$N$89),IF(F90&gt;0,(F88*$N$89),(0)))</f>
        <v>0</v>
      </c>
      <c r="G92" s="84">
        <f t="shared" si="50"/>
        <v>0</v>
      </c>
      <c r="H92" s="84">
        <f t="shared" si="50"/>
        <v>41956.479381299068</v>
      </c>
      <c r="I92" s="84">
        <f t="shared" si="50"/>
        <v>0</v>
      </c>
      <c r="J92" s="84">
        <f t="shared" si="50"/>
        <v>0</v>
      </c>
      <c r="K92" s="84">
        <f t="shared" si="50"/>
        <v>0</v>
      </c>
      <c r="L92" s="1033">
        <f>SUM(F92:K92)</f>
        <v>41956.479381299068</v>
      </c>
      <c r="M92" s="16">
        <f>L92-L91</f>
        <v>0</v>
      </c>
      <c r="N92" s="1027"/>
      <c r="O92" s="1027"/>
      <c r="P92" s="1027"/>
      <c r="Q92" s="1027"/>
      <c r="R92" s="1027"/>
    </row>
    <row r="93" spans="1:18" ht="13.5" thickBot="1" x14ac:dyDescent="0.35">
      <c r="A93" s="75"/>
      <c r="B93" s="921"/>
      <c r="C93" s="420" t="s">
        <v>937</v>
      </c>
      <c r="D93" s="420" t="s">
        <v>1182</v>
      </c>
      <c r="E93" s="1468">
        <f>SUM(F93:K93)</f>
        <v>71.416666666666671</v>
      </c>
      <c r="F93" s="1464">
        <f t="shared" ref="F93:K93" si="51">IF(F92&gt;0,(F92/$N$89),(0))</f>
        <v>0</v>
      </c>
      <c r="G93" s="1464">
        <f t="shared" si="51"/>
        <v>0</v>
      </c>
      <c r="H93" s="1464">
        <f t="shared" si="51"/>
        <v>71.416666666666671</v>
      </c>
      <c r="I93" s="1464">
        <f t="shared" si="51"/>
        <v>0</v>
      </c>
      <c r="J93" s="1464">
        <f t="shared" si="51"/>
        <v>0</v>
      </c>
      <c r="K93" s="1464">
        <f t="shared" si="51"/>
        <v>0</v>
      </c>
      <c r="L93" s="5">
        <v>0</v>
      </c>
      <c r="M93" s="1469">
        <f>IF(L92&gt;0,(L92/E93),(0))</f>
        <v>587.48862610920514</v>
      </c>
      <c r="N93" s="1417"/>
      <c r="O93" s="1417"/>
      <c r="P93" s="1417"/>
      <c r="Q93" s="1417"/>
      <c r="R93" s="1417"/>
    </row>
    <row r="94" spans="1:18" x14ac:dyDescent="0.25">
      <c r="A94" s="1048"/>
      <c r="B94" s="1048"/>
      <c r="C94" s="1036"/>
      <c r="D94" s="1036"/>
      <c r="E94" s="1037"/>
      <c r="F94" s="1038"/>
      <c r="G94" s="1038"/>
      <c r="H94" s="1038"/>
      <c r="I94" s="1038"/>
      <c r="J94" s="1038"/>
      <c r="K94" s="1038"/>
      <c r="L94" s="1038"/>
      <c r="M94" s="1038"/>
      <c r="N94" s="1037"/>
      <c r="O94" s="1037"/>
      <c r="P94" s="1037"/>
      <c r="Q94" s="1037"/>
      <c r="R94" s="1027"/>
    </row>
    <row r="95" spans="1:18" x14ac:dyDescent="0.25">
      <c r="A95" s="185">
        <v>9257030</v>
      </c>
      <c r="B95" s="915" t="s">
        <v>933</v>
      </c>
      <c r="C95" t="s">
        <v>846</v>
      </c>
      <c r="D95" t="str">
        <f>CONCATENATE(A95,C95)</f>
        <v>92570302019/20</v>
      </c>
      <c r="E95" s="1030">
        <f>VLOOKUP(A95,'1920 Funding Detail'!$A$4:$M$23,13,(FALSE))</f>
        <v>72.333333333333343</v>
      </c>
      <c r="F95" s="1046">
        <f>$E$95*'1920 Band Calculations'!D19</f>
        <v>0</v>
      </c>
      <c r="G95" s="1046">
        <f>$E$95*'1920 Band Calculations'!E19</f>
        <v>0</v>
      </c>
      <c r="H95" s="1046">
        <f>$E$95*'1920 Band Calculations'!F19</f>
        <v>72.333333333333343</v>
      </c>
      <c r="I95" s="1046">
        <f>$E$95*'1920 Band Calculations'!G19</f>
        <v>0</v>
      </c>
      <c r="J95" s="1046">
        <f>$E$95*'1920 Band Calculations'!H19</f>
        <v>0</v>
      </c>
      <c r="K95" s="1046">
        <f>$E$95*'1920 Band Calculations'!I19</f>
        <v>0</v>
      </c>
      <c r="L95" s="1029">
        <f>$E$95*'1920 Band Calculations'!J19</f>
        <v>0</v>
      </c>
      <c r="M95" s="1047"/>
      <c r="N95" s="16">
        <f>VLOOKUP(A95,'1920 Funding Detail'!$A$4:$U$23,21,(FALSE))*-1</f>
        <v>671.07753074711582</v>
      </c>
      <c r="O95" s="16">
        <f>VLOOKUP(A95,'1920 Funding Detail'!$A$4:$V$23,22,(FALSE))</f>
        <v>48541.274724041381</v>
      </c>
      <c r="P95" s="1044"/>
    </row>
    <row r="96" spans="1:18" x14ac:dyDescent="0.25">
      <c r="A96" s="185">
        <v>9257030</v>
      </c>
      <c r="B96" s="915" t="s">
        <v>933</v>
      </c>
      <c r="C96" t="s">
        <v>937</v>
      </c>
      <c r="D96" t="str">
        <f>CONCATENATE(A96,C96)</f>
        <v>92570302020/21</v>
      </c>
      <c r="E96" s="1030">
        <f>VLOOKUP(A96,'2021 Funding Detail'!$A$4:$M$23,13,(FALSE))</f>
        <v>74.583333333333343</v>
      </c>
      <c r="F96" s="1046">
        <f>$E$96*'2021 Band Calculations'!D19</f>
        <v>0</v>
      </c>
      <c r="G96" s="1046">
        <f>$E$96*'2021 Band Calculations'!E19</f>
        <v>0</v>
      </c>
      <c r="H96" s="1046">
        <f>$E$96*'2021 Band Calculations'!F19</f>
        <v>74.583333333333343</v>
      </c>
      <c r="I96" s="1046">
        <f>$E$96*'2021 Band Calculations'!G19</f>
        <v>0</v>
      </c>
      <c r="J96" s="1046">
        <f>$E$96*'2021 Band Calculations'!H19</f>
        <v>0</v>
      </c>
      <c r="K96" s="1046">
        <f>$E$96*'2021 Band Calculations'!I19</f>
        <v>0</v>
      </c>
      <c r="L96" s="1029">
        <f>$E$96*'2021 Band Calculations'!J19</f>
        <v>0</v>
      </c>
      <c r="M96" s="1047"/>
      <c r="N96" s="16">
        <f>IF(N95&gt;0,(N95),(0))</f>
        <v>671.07753074711582</v>
      </c>
      <c r="O96" s="1047"/>
      <c r="P96" s="1047"/>
      <c r="Q96" s="1047"/>
    </row>
    <row r="97" spans="1:18" x14ac:dyDescent="0.25">
      <c r="A97" s="185"/>
      <c r="B97" s="915"/>
      <c r="E97" s="1027"/>
      <c r="F97" s="1031">
        <f t="shared" ref="F97:K97" si="52">F96-F95</f>
        <v>0</v>
      </c>
      <c r="G97" s="1031">
        <f t="shared" si="52"/>
        <v>0</v>
      </c>
      <c r="H97" s="1031">
        <f t="shared" si="52"/>
        <v>2.25</v>
      </c>
      <c r="I97" s="1031">
        <f t="shared" si="52"/>
        <v>0</v>
      </c>
      <c r="J97" s="1031">
        <f t="shared" si="52"/>
        <v>0</v>
      </c>
      <c r="K97" s="1031">
        <f t="shared" si="52"/>
        <v>0</v>
      </c>
      <c r="L97" s="1027"/>
      <c r="M97" s="1027"/>
      <c r="N97" s="1027"/>
      <c r="O97" s="1044"/>
      <c r="P97" s="1044"/>
      <c r="Q97" s="1027"/>
      <c r="R97" s="1027"/>
    </row>
    <row r="98" spans="1:18" x14ac:dyDescent="0.25">
      <c r="A98" s="185"/>
      <c r="B98" s="915"/>
      <c r="E98" s="1027"/>
      <c r="F98" s="16">
        <f t="shared" ref="F98:K98" si="53">F95*$N$96</f>
        <v>0</v>
      </c>
      <c r="G98" s="16">
        <f t="shared" si="53"/>
        <v>0</v>
      </c>
      <c r="H98" s="16">
        <f t="shared" si="53"/>
        <v>48541.274724041381</v>
      </c>
      <c r="I98" s="16">
        <f t="shared" si="53"/>
        <v>0</v>
      </c>
      <c r="J98" s="16">
        <f t="shared" si="53"/>
        <v>0</v>
      </c>
      <c r="K98" s="16">
        <f t="shared" si="53"/>
        <v>0</v>
      </c>
      <c r="L98" s="16">
        <f>SUM(F98:K98)</f>
        <v>48541.274724041381</v>
      </c>
      <c r="M98" s="1027"/>
      <c r="N98" s="1027"/>
      <c r="O98" s="16">
        <f>SUM(F98:K98)</f>
        <v>48541.274724041381</v>
      </c>
      <c r="P98" s="16">
        <f>O95-O98</f>
        <v>0</v>
      </c>
      <c r="Q98" s="1027" t="s">
        <v>965</v>
      </c>
      <c r="R98" s="1027"/>
    </row>
    <row r="99" spans="1:18" ht="13" thickBot="1" x14ac:dyDescent="0.3">
      <c r="A99" s="185"/>
      <c r="B99" s="915"/>
      <c r="E99" s="1027"/>
      <c r="F99" s="16">
        <f t="shared" ref="F99:K99" si="54">IF(F97&lt;0,(F96*$N$96),IF(F97&gt;0,(F95*$N$96),(0)))</f>
        <v>0</v>
      </c>
      <c r="G99" s="16">
        <f t="shared" si="54"/>
        <v>0</v>
      </c>
      <c r="H99" s="16">
        <f t="shared" si="54"/>
        <v>48541.274724041381</v>
      </c>
      <c r="I99" s="16">
        <f t="shared" si="54"/>
        <v>0</v>
      </c>
      <c r="J99" s="16">
        <f t="shared" si="54"/>
        <v>0</v>
      </c>
      <c r="K99" s="16">
        <f t="shared" si="54"/>
        <v>0</v>
      </c>
      <c r="L99" s="1033">
        <f>SUM(F99:K99)</f>
        <v>48541.274724041381</v>
      </c>
      <c r="M99" s="16">
        <f>L99-L98</f>
        <v>0</v>
      </c>
      <c r="N99" s="1027"/>
      <c r="O99" s="1027"/>
      <c r="P99" s="1027"/>
      <c r="Q99" s="1027"/>
      <c r="R99" s="1027"/>
    </row>
    <row r="100" spans="1:18" ht="13.5" thickBot="1" x14ac:dyDescent="0.35">
      <c r="A100" s="75"/>
      <c r="B100" s="921"/>
      <c r="C100" s="420" t="s">
        <v>937</v>
      </c>
      <c r="D100" s="420" t="s">
        <v>1182</v>
      </c>
      <c r="E100" s="1468">
        <f>SUM(F100:K100)</f>
        <v>72.333333333333343</v>
      </c>
      <c r="F100" s="1464">
        <f t="shared" ref="F100:K100" si="55">IF(F99&gt;0,(F99/$N$96),(0))</f>
        <v>0</v>
      </c>
      <c r="G100" s="1464">
        <f t="shared" si="55"/>
        <v>0</v>
      </c>
      <c r="H100" s="1464">
        <f t="shared" si="55"/>
        <v>72.333333333333343</v>
      </c>
      <c r="I100" s="1464">
        <f t="shared" si="55"/>
        <v>0</v>
      </c>
      <c r="J100" s="1464">
        <f t="shared" si="55"/>
        <v>0</v>
      </c>
      <c r="K100" s="1464">
        <f t="shared" si="55"/>
        <v>0</v>
      </c>
      <c r="L100" s="5">
        <v>0</v>
      </c>
      <c r="M100" s="1469">
        <f>IF(L99&gt;0,(L99/E100),(0))</f>
        <v>671.07753074711582</v>
      </c>
      <c r="N100" s="1417"/>
      <c r="O100" s="1417"/>
      <c r="P100" s="1417"/>
      <c r="Q100" s="1417"/>
      <c r="R100" s="1417"/>
    </row>
    <row r="101" spans="1:18" x14ac:dyDescent="0.25">
      <c r="A101" s="1048"/>
      <c r="B101" s="1048"/>
      <c r="C101" s="1036"/>
      <c r="D101" s="1036"/>
      <c r="E101" s="1037"/>
      <c r="F101" s="1038"/>
      <c r="G101" s="1038"/>
      <c r="H101" s="1038"/>
      <c r="I101" s="1038"/>
      <c r="J101" s="1038"/>
      <c r="K101" s="1038"/>
      <c r="L101" s="1038"/>
      <c r="M101" s="1038"/>
      <c r="N101" s="1037"/>
      <c r="O101" s="1037"/>
      <c r="P101" s="1037"/>
      <c r="Q101" s="1037"/>
      <c r="R101" s="1027"/>
    </row>
    <row r="102" spans="1:18" x14ac:dyDescent="0.25">
      <c r="A102" s="185">
        <v>9257028</v>
      </c>
      <c r="B102" s="38" t="s">
        <v>77</v>
      </c>
      <c r="C102" t="s">
        <v>846</v>
      </c>
      <c r="D102" t="str">
        <f>CONCATENATE(A102,C102)</f>
        <v>92570282019/20</v>
      </c>
      <c r="E102" s="1030">
        <f>VLOOKUP(A102,'1920 Funding Detail'!$A$4:$M$23,13,(FALSE))</f>
        <v>83.333333333333343</v>
      </c>
      <c r="F102" s="1029">
        <f>$E$102*'1920 Band Calculations'!D20</f>
        <v>5.8139534883720936</v>
      </c>
      <c r="G102" s="1029">
        <f>$E$102*'1920 Band Calculations'!E20</f>
        <v>23.255813953488374</v>
      </c>
      <c r="H102" s="1029">
        <f>$E$102*'1920 Band Calculations'!F20</f>
        <v>2.9069767441860468</v>
      </c>
      <c r="I102" s="1029">
        <f>$E$102*'1920 Band Calculations'!G20</f>
        <v>10.658914728682172</v>
      </c>
      <c r="J102" s="1029">
        <f>$E$102*'1920 Band Calculations'!H20</f>
        <v>15.503875968992249</v>
      </c>
      <c r="K102" s="1029">
        <f>$E$102*'1920 Band Calculations'!I20</f>
        <v>13.56589147286822</v>
      </c>
      <c r="L102" s="1029">
        <f>$E$102*'1920 Band Calculations'!J20</f>
        <v>11.627906976744187</v>
      </c>
      <c r="N102" s="16">
        <f>VLOOKUP(A102,'1920 Funding Detail'!$A$4:$U$23,21,(FALSE))*-1</f>
        <v>-262.82852311932766</v>
      </c>
      <c r="O102" s="16">
        <f>VLOOKUP(A102,'1920 Funding Detail'!$A$4:$V$23,22,(FALSE))</f>
        <v>0</v>
      </c>
      <c r="P102" s="1044"/>
    </row>
    <row r="103" spans="1:18" x14ac:dyDescent="0.25">
      <c r="A103" s="185">
        <v>9257028</v>
      </c>
      <c r="B103" s="38" t="s">
        <v>77</v>
      </c>
      <c r="C103" t="s">
        <v>937</v>
      </c>
      <c r="D103" t="str">
        <f>CONCATENATE(A103,C103)</f>
        <v>92570282020/21</v>
      </c>
      <c r="E103" s="1030">
        <f>VLOOKUP(A103,'2021 Funding Detail'!$A$4:$M$23,13,(FALSE))</f>
        <v>93.25</v>
      </c>
      <c r="F103" s="1029">
        <f>$E$103*'2021 Band Calculations'!D20</f>
        <v>8.8342105263157897</v>
      </c>
      <c r="G103" s="1029">
        <f>$E$103*'2021 Band Calculations'!E20</f>
        <v>33.373684210526314</v>
      </c>
      <c r="H103" s="1029">
        <f>$E$103*'2021 Band Calculations'!F20</f>
        <v>3.926315789473684</v>
      </c>
      <c r="I103" s="1029">
        <f>$E$103*'2021 Band Calculations'!G20</f>
        <v>8.8342105263157897</v>
      </c>
      <c r="J103" s="1029">
        <f>$E$103*'2021 Band Calculations'!H20</f>
        <v>13.742105263157894</v>
      </c>
      <c r="K103" s="1029">
        <f>$E$103*'2021 Band Calculations'!I20</f>
        <v>12.760526315789475</v>
      </c>
      <c r="L103" s="1029">
        <f>$E$103*'2021 Band Calculations'!J20</f>
        <v>11.778947368421052</v>
      </c>
      <c r="N103" s="16">
        <f>IF(N102&gt;0,(N102),(0))</f>
        <v>0</v>
      </c>
      <c r="O103" s="1047"/>
      <c r="P103" s="1047"/>
    </row>
    <row r="104" spans="1:18" x14ac:dyDescent="0.25">
      <c r="A104" s="185"/>
      <c r="B104" s="38"/>
      <c r="E104" s="1027"/>
      <c r="F104" s="1031">
        <f t="shared" ref="F104:K104" si="56">F103-F102</f>
        <v>3.0202570379436962</v>
      </c>
      <c r="G104" s="1031">
        <f t="shared" si="56"/>
        <v>10.117870257037939</v>
      </c>
      <c r="H104" s="1031">
        <f t="shared" si="56"/>
        <v>1.0193390452876372</v>
      </c>
      <c r="I104" s="1031">
        <f t="shared" si="56"/>
        <v>-1.824704202366382</v>
      </c>
      <c r="J104" s="1031">
        <f t="shared" si="56"/>
        <v>-1.7617707058343548</v>
      </c>
      <c r="K104" s="1031">
        <f t="shared" si="56"/>
        <v>-0.80536515707874479</v>
      </c>
      <c r="L104" s="1047"/>
      <c r="M104" s="1047"/>
      <c r="N104" s="1027"/>
      <c r="O104" s="1044"/>
      <c r="P104" s="1044"/>
      <c r="Q104" s="1027"/>
      <c r="R104" s="1027"/>
    </row>
    <row r="105" spans="1:18" x14ac:dyDescent="0.25">
      <c r="A105" s="185"/>
      <c r="B105" s="38"/>
      <c r="E105" s="1047"/>
      <c r="F105" s="16">
        <f t="shared" ref="F105:K105" si="57">F102*$N$103</f>
        <v>0</v>
      </c>
      <c r="G105" s="16">
        <f t="shared" si="57"/>
        <v>0</v>
      </c>
      <c r="H105" s="16">
        <f t="shared" si="57"/>
        <v>0</v>
      </c>
      <c r="I105" s="16">
        <f t="shared" si="57"/>
        <v>0</v>
      </c>
      <c r="J105" s="16">
        <f t="shared" si="57"/>
        <v>0</v>
      </c>
      <c r="K105" s="16">
        <f t="shared" si="57"/>
        <v>0</v>
      </c>
      <c r="L105" s="16">
        <f>SUM(F105:K105)</f>
        <v>0</v>
      </c>
      <c r="M105" s="1047"/>
      <c r="N105" s="1047"/>
      <c r="O105" s="16">
        <f>SUM(F105:K105)</f>
        <v>0</v>
      </c>
      <c r="P105" s="16">
        <f>O102-O105</f>
        <v>0</v>
      </c>
      <c r="Q105" s="1047" t="s">
        <v>965</v>
      </c>
      <c r="R105" s="1027"/>
    </row>
    <row r="106" spans="1:18" ht="13" thickBot="1" x14ac:dyDescent="0.3">
      <c r="A106" s="185"/>
      <c r="B106" s="38"/>
      <c r="E106" s="1027"/>
      <c r="F106" s="16">
        <f t="shared" ref="F106:K106" si="58">IF(F104&lt;0,(F103*$N$103),IF(F104&gt;0,(F102*$N$103),(0)))</f>
        <v>0</v>
      </c>
      <c r="G106" s="16">
        <f t="shared" si="58"/>
        <v>0</v>
      </c>
      <c r="H106" s="16">
        <f t="shared" si="58"/>
        <v>0</v>
      </c>
      <c r="I106" s="16">
        <f t="shared" si="58"/>
        <v>0</v>
      </c>
      <c r="J106" s="16">
        <f t="shared" si="58"/>
        <v>0</v>
      </c>
      <c r="K106" s="16">
        <f t="shared" si="58"/>
        <v>0</v>
      </c>
      <c r="L106" s="1033">
        <f>SUM(F106:K106)</f>
        <v>0</v>
      </c>
      <c r="M106" s="16">
        <f>L106-L105</f>
        <v>0</v>
      </c>
      <c r="N106" s="1027"/>
      <c r="O106" s="1027"/>
      <c r="P106" s="1027"/>
      <c r="Q106" s="1027"/>
      <c r="R106" s="1027"/>
    </row>
    <row r="107" spans="1:18" ht="13.5" thickBot="1" x14ac:dyDescent="0.35">
      <c r="A107" s="75"/>
      <c r="B107" s="50"/>
      <c r="C107" s="420" t="s">
        <v>937</v>
      </c>
      <c r="D107" s="420" t="s">
        <v>1182</v>
      </c>
      <c r="E107" s="1468">
        <f>SUM(F107:K107)</f>
        <v>0</v>
      </c>
      <c r="F107" s="1464">
        <f t="shared" ref="F107:K107" si="59">IF(F106&gt;0,(F106/$N$103),(0))</f>
        <v>0</v>
      </c>
      <c r="G107" s="1464">
        <f t="shared" si="59"/>
        <v>0</v>
      </c>
      <c r="H107" s="1464">
        <f t="shared" si="59"/>
        <v>0</v>
      </c>
      <c r="I107" s="1464">
        <f t="shared" si="59"/>
        <v>0</v>
      </c>
      <c r="J107" s="1464">
        <f t="shared" si="59"/>
        <v>0</v>
      </c>
      <c r="K107" s="1464">
        <f t="shared" si="59"/>
        <v>0</v>
      </c>
      <c r="L107" s="5">
        <v>0</v>
      </c>
      <c r="M107" s="1469">
        <f>IF(L106&gt;0,(L106/E107),(0))</f>
        <v>0</v>
      </c>
      <c r="N107" s="1417"/>
      <c r="O107" s="1417"/>
      <c r="P107" s="1417"/>
      <c r="Q107" s="1417"/>
      <c r="R107" s="1417"/>
    </row>
    <row r="108" spans="1:18" x14ac:dyDescent="0.25">
      <c r="A108" s="1036"/>
      <c r="B108" s="1036"/>
      <c r="C108" s="1036"/>
      <c r="D108" s="1036"/>
      <c r="E108" s="1037"/>
      <c r="F108" s="1038"/>
      <c r="G108" s="1038"/>
      <c r="H108" s="1038"/>
      <c r="I108" s="1038"/>
      <c r="J108" s="1038"/>
      <c r="K108" s="1038"/>
      <c r="L108" s="1038"/>
      <c r="M108" s="1038"/>
      <c r="N108" s="1037"/>
      <c r="O108" s="1037"/>
      <c r="P108" s="1037"/>
      <c r="Q108" s="1037"/>
      <c r="R108" s="1027"/>
    </row>
    <row r="109" spans="1:18" x14ac:dyDescent="0.25">
      <c r="A109" s="185">
        <v>9257021</v>
      </c>
      <c r="B109" s="38" t="s">
        <v>78</v>
      </c>
      <c r="C109" t="s">
        <v>846</v>
      </c>
      <c r="D109" t="str">
        <f>CONCATENATE(A109,C109)</f>
        <v>92570212019/20</v>
      </c>
      <c r="E109" s="1030">
        <f>VLOOKUP(A109,'1920 Funding Detail'!$A$4:$M$23,13,(FALSE))</f>
        <v>159.08333333333334</v>
      </c>
      <c r="F109" s="1029">
        <f>$E$109*'1920 Band Calculations'!D21</f>
        <v>44.189814814814817</v>
      </c>
      <c r="G109" s="1029">
        <f>$E$109*'1920 Band Calculations'!E21</f>
        <v>55.973765432098773</v>
      </c>
      <c r="H109" s="1029">
        <f>$E$109*'1920 Band Calculations'!F21</f>
        <v>15.7119341563786</v>
      </c>
      <c r="I109" s="1029">
        <f>$E$109*'1920 Band Calculations'!G21</f>
        <v>6.8739711934156382</v>
      </c>
      <c r="J109" s="1029">
        <f>$E$109*'1920 Band Calculations'!H21</f>
        <v>11.783950617283951</v>
      </c>
      <c r="K109" s="1029">
        <f>$E$109*'1920 Band Calculations'!I21</f>
        <v>23.567901234567902</v>
      </c>
      <c r="L109" s="1029">
        <f>$E$109*'1920 Band Calculations'!J21</f>
        <v>0.98199588477366251</v>
      </c>
      <c r="M109" s="1047"/>
      <c r="N109" s="16">
        <f>VLOOKUP(A109,'1920 Funding Detail'!$A$4:$U$23,21,(FALSE))*-1</f>
        <v>194.43750827352051</v>
      </c>
      <c r="O109" s="16">
        <f>VLOOKUP(A109,'1920 Funding Detail'!$A$4:$V$23,22,(FALSE))</f>
        <v>30740.830108208982</v>
      </c>
      <c r="P109" s="1044"/>
    </row>
    <row r="110" spans="1:18" x14ac:dyDescent="0.25">
      <c r="A110" s="185">
        <v>9257021</v>
      </c>
      <c r="B110" s="38" t="s">
        <v>78</v>
      </c>
      <c r="C110" t="s">
        <v>937</v>
      </c>
      <c r="D110" t="str">
        <f>CONCATENATE(A110,C110)</f>
        <v>92570212020/21</v>
      </c>
      <c r="E110" s="1030">
        <f>VLOOKUP(A110,'2021 Funding Detail'!$A$4:$M$23,13,(FALSE))</f>
        <v>164.33333333333334</v>
      </c>
      <c r="F110" s="1029">
        <f>$E$110*'2021 Band Calculations'!D21</f>
        <v>47.384458077709617</v>
      </c>
      <c r="G110" s="1029">
        <f>$E$110*'2021 Band Calculations'!E21</f>
        <v>58.474437627811866</v>
      </c>
      <c r="H110" s="1029">
        <f>$E$110*'2021 Band Calculations'!F21</f>
        <v>16.130879345603272</v>
      </c>
      <c r="I110" s="1029">
        <f>$E$110*'2021 Band Calculations'!G21</f>
        <v>10.081799591002046</v>
      </c>
      <c r="J110" s="1029">
        <f>$E$110*'2021 Band Calculations'!H21</f>
        <v>10.081799591002046</v>
      </c>
      <c r="K110" s="1029">
        <f>$E$110*'2021 Band Calculations'!I21</f>
        <v>20.163599182004091</v>
      </c>
      <c r="L110" s="1029">
        <f>$E$110*'2021 Band Calculations'!J21</f>
        <v>2.0163599182004091</v>
      </c>
      <c r="M110" s="1047"/>
      <c r="N110" s="16">
        <f>IF(N109&gt;0,(N109),(0))</f>
        <v>194.43750827352051</v>
      </c>
      <c r="O110" s="1047"/>
      <c r="P110" s="1047"/>
      <c r="Q110" s="1047"/>
    </row>
    <row r="111" spans="1:18" x14ac:dyDescent="0.25">
      <c r="A111" s="185"/>
      <c r="B111" s="38"/>
      <c r="E111" s="1027"/>
      <c r="F111" s="1031">
        <f t="shared" ref="F111:K111" si="60">F110-F109</f>
        <v>3.1946432628948003</v>
      </c>
      <c r="G111" s="1031">
        <f t="shared" si="60"/>
        <v>2.5006721957130935</v>
      </c>
      <c r="H111" s="1031">
        <f t="shared" si="60"/>
        <v>0.41894518922467228</v>
      </c>
      <c r="I111" s="1031">
        <f t="shared" si="60"/>
        <v>3.2078283975864075</v>
      </c>
      <c r="J111" s="1031">
        <f t="shared" si="60"/>
        <v>-1.7021510262819053</v>
      </c>
      <c r="K111" s="1031">
        <f t="shared" si="60"/>
        <v>-3.4043020525638106</v>
      </c>
      <c r="L111" s="1027"/>
      <c r="M111" s="1027"/>
      <c r="N111" s="1027"/>
      <c r="O111" s="1044"/>
      <c r="P111" s="1044"/>
      <c r="Q111" s="1027"/>
      <c r="R111" s="1027"/>
    </row>
    <row r="112" spans="1:18" x14ac:dyDescent="0.25">
      <c r="A112" s="185"/>
      <c r="B112" s="38"/>
      <c r="E112" s="1027"/>
      <c r="F112" s="16">
        <f t="shared" ref="F112:K112" si="61">F109*$N$110</f>
        <v>8592.1574836608943</v>
      </c>
      <c r="G112" s="16">
        <f t="shared" si="61"/>
        <v>10883.399479303802</v>
      </c>
      <c r="H112" s="16">
        <f t="shared" si="61"/>
        <v>3054.9893275238737</v>
      </c>
      <c r="I112" s="16">
        <f t="shared" si="61"/>
        <v>1336.5578307916949</v>
      </c>
      <c r="J112" s="16">
        <f t="shared" si="61"/>
        <v>2291.2419956429053</v>
      </c>
      <c r="K112" s="16">
        <f t="shared" si="61"/>
        <v>4582.4839912858106</v>
      </c>
      <c r="L112" s="16">
        <f>SUM(F112:K112)</f>
        <v>30740.830108208982</v>
      </c>
      <c r="M112" s="1027"/>
      <c r="N112" s="1027"/>
      <c r="O112" s="16">
        <f>SUM(F112:K112)</f>
        <v>30740.830108208982</v>
      </c>
      <c r="P112" s="16">
        <f>O109-O112</f>
        <v>0</v>
      </c>
      <c r="Q112" s="1027" t="s">
        <v>965</v>
      </c>
      <c r="R112" s="1027"/>
    </row>
    <row r="113" spans="1:18" ht="13" thickBot="1" x14ac:dyDescent="0.3">
      <c r="A113" s="185"/>
      <c r="B113" s="38"/>
      <c r="E113" s="1027"/>
      <c r="F113" s="84">
        <f t="shared" ref="F113:K113" si="62">IF(F111&lt;0,(F110*$N$110),IF(F111&gt;0,(F109*$N$110),(0)))</f>
        <v>8592.1574836608943</v>
      </c>
      <c r="G113" s="84">
        <f t="shared" si="62"/>
        <v>10883.399479303802</v>
      </c>
      <c r="H113" s="84">
        <f t="shared" si="62"/>
        <v>3054.9893275238737</v>
      </c>
      <c r="I113" s="84">
        <f t="shared" si="62"/>
        <v>1336.5578307916949</v>
      </c>
      <c r="J113" s="84">
        <f t="shared" si="62"/>
        <v>1960.279991387436</v>
      </c>
      <c r="K113" s="84">
        <f t="shared" si="62"/>
        <v>3920.559982774872</v>
      </c>
      <c r="L113" s="1033">
        <f>SUM(F113:K113)</f>
        <v>29747.944095442574</v>
      </c>
      <c r="M113" s="16">
        <f>L113-L112</f>
        <v>-992.88601276640838</v>
      </c>
      <c r="N113" s="1027"/>
      <c r="O113" s="1027"/>
      <c r="P113" s="1027"/>
      <c r="Q113" s="1027"/>
      <c r="R113" s="1027"/>
    </row>
    <row r="114" spans="1:18" ht="13.5" thickBot="1" x14ac:dyDescent="0.35">
      <c r="A114" s="75"/>
      <c r="B114" s="50"/>
      <c r="C114" s="420" t="s">
        <v>937</v>
      </c>
      <c r="D114" s="420" t="s">
        <v>1182</v>
      </c>
      <c r="E114" s="1468">
        <f>SUM(F114:K114)</f>
        <v>152.99488436971399</v>
      </c>
      <c r="F114" s="1464">
        <f t="shared" ref="F114:K114" si="63">IF(F113&gt;0,(F113/$N$110),(0))</f>
        <v>44.18981481481481</v>
      </c>
      <c r="G114" s="1464">
        <f t="shared" si="63"/>
        <v>55.973765432098773</v>
      </c>
      <c r="H114" s="1464">
        <f t="shared" si="63"/>
        <v>15.711934156378602</v>
      </c>
      <c r="I114" s="1464">
        <f t="shared" si="63"/>
        <v>6.8739711934156382</v>
      </c>
      <c r="J114" s="1464">
        <f t="shared" si="63"/>
        <v>10.081799591002046</v>
      </c>
      <c r="K114" s="1464">
        <f t="shared" si="63"/>
        <v>20.163599182004091</v>
      </c>
      <c r="L114" s="5">
        <v>0</v>
      </c>
      <c r="M114" s="1469">
        <f>IF(L113&gt;0,(L113/E114),(0))</f>
        <v>194.43750827352048</v>
      </c>
      <c r="N114" s="1417"/>
      <c r="O114" s="1417"/>
      <c r="P114" s="1417"/>
      <c r="Q114" s="1417"/>
      <c r="R114" s="1417"/>
    </row>
    <row r="115" spans="1:18" x14ac:dyDescent="0.25">
      <c r="A115" s="1048"/>
      <c r="B115" s="1048"/>
      <c r="C115" s="1036"/>
      <c r="D115" s="1036"/>
      <c r="E115" s="1037"/>
      <c r="F115" s="1038"/>
      <c r="G115" s="1038"/>
      <c r="H115" s="1038"/>
      <c r="I115" s="1038"/>
      <c r="J115" s="1038"/>
      <c r="K115" s="1038"/>
      <c r="L115" s="1038"/>
      <c r="M115" s="1038"/>
      <c r="N115" s="1037"/>
      <c r="O115" s="1037"/>
      <c r="P115" s="1037"/>
      <c r="Q115" s="1037"/>
      <c r="R115" s="1027"/>
    </row>
    <row r="116" spans="1:18" x14ac:dyDescent="0.25">
      <c r="A116" s="185">
        <v>9257015</v>
      </c>
      <c r="B116" s="38" t="s">
        <v>55</v>
      </c>
      <c r="C116" t="s">
        <v>846</v>
      </c>
      <c r="D116" t="str">
        <f>CONCATENATE(A116,C116)</f>
        <v>92570152019/20</v>
      </c>
      <c r="E116" s="1030">
        <f>VLOOKUP(A116,'1920 Funding Detail'!$A$4:$M$23,13,(FALSE))</f>
        <v>238.00000000000003</v>
      </c>
      <c r="F116" s="1029">
        <f>$E$116*'1920 Band Calculations'!D22</f>
        <v>102.43037974683546</v>
      </c>
      <c r="G116" s="1029">
        <f>$E$116*'1920 Band Calculations'!E22</f>
        <v>64.270042194092824</v>
      </c>
      <c r="H116" s="1029">
        <f>$E$116*'1920 Band Calculations'!F22</f>
        <v>7.0295358649789037</v>
      </c>
      <c r="I116" s="1029">
        <f>$E$116*'1920 Band Calculations'!G22</f>
        <v>15.063291139240508</v>
      </c>
      <c r="J116" s="1029">
        <f>$E$116*'1920 Band Calculations'!H22</f>
        <v>14.059071729957807</v>
      </c>
      <c r="K116" s="1029">
        <f>$E$116*'1920 Band Calculations'!I22</f>
        <v>33.139240506329116</v>
      </c>
      <c r="L116" s="1029">
        <f>$E$116*'1920 Band Calculations'!J22</f>
        <v>2.0084388185654007</v>
      </c>
      <c r="N116" s="16">
        <f>VLOOKUP(A116,'1920 Funding Detail'!$A$4:$U$23,21,(FALSE))*-1</f>
        <v>-133.4314770990095</v>
      </c>
      <c r="O116" s="16">
        <f>VLOOKUP(A116,'1920 Funding Detail'!$A$4:$V$23,22,(FALSE))</f>
        <v>0</v>
      </c>
    </row>
    <row r="117" spans="1:18" x14ac:dyDescent="0.25">
      <c r="A117" s="185">
        <v>9257015</v>
      </c>
      <c r="B117" s="38" t="s">
        <v>55</v>
      </c>
      <c r="C117" t="s">
        <v>937</v>
      </c>
      <c r="D117" t="str">
        <f>CONCATENATE(A117,C117)</f>
        <v>92570152020/21</v>
      </c>
      <c r="E117" s="1030">
        <f>VLOOKUP(A117,'2021 Funding Detail'!$A$4:$M$23,13,(FALSE))</f>
        <v>233.41666666666671</v>
      </c>
      <c r="F117" s="1029">
        <f>$E$117*'2021 Band Calculations'!D22</f>
        <v>88.537356321839098</v>
      </c>
      <c r="G117" s="1029">
        <f>$E$117*'2021 Band Calculations'!E22</f>
        <v>77.470186781609215</v>
      </c>
      <c r="H117" s="1029">
        <f>$E$117*'2021 Band Calculations'!F22</f>
        <v>6.036637931034484</v>
      </c>
      <c r="I117" s="1029">
        <f>$E$117*'2021 Band Calculations'!G22</f>
        <v>15.091594827586212</v>
      </c>
      <c r="J117" s="1029">
        <f>$E$117*'2021 Band Calculations'!H22</f>
        <v>9.054956896551726</v>
      </c>
      <c r="K117" s="1029">
        <f>$E$117*'2021 Band Calculations'!I22</f>
        <v>34.207614942528743</v>
      </c>
      <c r="L117" s="1029">
        <f>$E$117*'2021 Band Calculations'!J22</f>
        <v>3.018318965517242</v>
      </c>
      <c r="N117" s="16">
        <f>IF(N116&gt;0,(N116),(0))</f>
        <v>0</v>
      </c>
      <c r="O117" s="1047"/>
      <c r="P117" s="1047"/>
    </row>
    <row r="118" spans="1:18" x14ac:dyDescent="0.25">
      <c r="A118" s="185"/>
      <c r="B118" s="38"/>
      <c r="E118" s="1027"/>
      <c r="F118" s="1031">
        <f t="shared" ref="F118:K118" si="64">F117-F116</f>
        <v>-13.893023424996358</v>
      </c>
      <c r="G118" s="1031">
        <f t="shared" si="64"/>
        <v>13.200144587516391</v>
      </c>
      <c r="H118" s="1031">
        <f t="shared" si="64"/>
        <v>-0.99289793394441972</v>
      </c>
      <c r="I118" s="1031">
        <f t="shared" si="64"/>
        <v>2.8303688345703293E-2</v>
      </c>
      <c r="J118" s="1031">
        <f t="shared" si="64"/>
        <v>-5.0041148334060814</v>
      </c>
      <c r="K118" s="1031">
        <f t="shared" si="64"/>
        <v>1.0683744361996261</v>
      </c>
      <c r="L118" s="1046"/>
      <c r="M118" s="1047"/>
      <c r="N118" s="1027"/>
      <c r="O118" s="1027"/>
      <c r="P118" s="1027"/>
      <c r="Q118" s="1027"/>
      <c r="R118" s="1027"/>
    </row>
    <row r="119" spans="1:18" x14ac:dyDescent="0.25">
      <c r="A119" s="185"/>
      <c r="B119" s="38"/>
      <c r="E119" s="1047"/>
      <c r="F119" s="16">
        <f t="shared" ref="F119:K119" si="65">F116*$N$117</f>
        <v>0</v>
      </c>
      <c r="G119" s="16">
        <f t="shared" si="65"/>
        <v>0</v>
      </c>
      <c r="H119" s="16">
        <f t="shared" si="65"/>
        <v>0</v>
      </c>
      <c r="I119" s="16">
        <f t="shared" si="65"/>
        <v>0</v>
      </c>
      <c r="J119" s="16">
        <f t="shared" si="65"/>
        <v>0</v>
      </c>
      <c r="K119" s="16">
        <f t="shared" si="65"/>
        <v>0</v>
      </c>
      <c r="L119" s="16">
        <f>SUM(F119:K119)</f>
        <v>0</v>
      </c>
      <c r="M119" s="1047"/>
      <c r="N119" s="1047"/>
      <c r="O119" s="16">
        <f>SUM(F119:K119)</f>
        <v>0</v>
      </c>
      <c r="P119" s="16">
        <f>O116-O119</f>
        <v>0</v>
      </c>
      <c r="Q119" s="1047" t="s">
        <v>965</v>
      </c>
      <c r="R119" s="1027"/>
    </row>
    <row r="120" spans="1:18" ht="13" thickBot="1" x14ac:dyDescent="0.3">
      <c r="A120" s="185"/>
      <c r="B120" s="38"/>
      <c r="E120" s="1027"/>
      <c r="F120" s="16">
        <f t="shared" ref="F120:K120" si="66">IF(F118&lt;0,(F117*$N$117),IF(F118&gt;0,(F116*$N$117),(0)))</f>
        <v>0</v>
      </c>
      <c r="G120" s="16">
        <f t="shared" si="66"/>
        <v>0</v>
      </c>
      <c r="H120" s="16">
        <f t="shared" si="66"/>
        <v>0</v>
      </c>
      <c r="I120" s="16">
        <f t="shared" si="66"/>
        <v>0</v>
      </c>
      <c r="J120" s="16">
        <f t="shared" si="66"/>
        <v>0</v>
      </c>
      <c r="K120" s="16">
        <f t="shared" si="66"/>
        <v>0</v>
      </c>
      <c r="L120" s="1033">
        <f>SUM(F120:K120)</f>
        <v>0</v>
      </c>
      <c r="M120" s="16">
        <f>L120-L119</f>
        <v>0</v>
      </c>
      <c r="N120" s="1027"/>
      <c r="O120" s="1027"/>
      <c r="P120" s="1027"/>
      <c r="Q120" s="1027"/>
      <c r="R120" s="1027"/>
    </row>
    <row r="121" spans="1:18" ht="13.5" thickBot="1" x14ac:dyDescent="0.35">
      <c r="A121" s="75"/>
      <c r="B121" s="50"/>
      <c r="C121" s="420" t="s">
        <v>937</v>
      </c>
      <c r="D121" s="420" t="s">
        <v>1182</v>
      </c>
      <c r="E121" s="1468">
        <f>SUM(F121:K121)</f>
        <v>0</v>
      </c>
      <c r="F121" s="1464">
        <f t="shared" ref="F121:K121" si="67">IF(F120&gt;0,(F120/$N$117),(0))</f>
        <v>0</v>
      </c>
      <c r="G121" s="1464">
        <f t="shared" si="67"/>
        <v>0</v>
      </c>
      <c r="H121" s="1464">
        <f t="shared" si="67"/>
        <v>0</v>
      </c>
      <c r="I121" s="1464">
        <f t="shared" si="67"/>
        <v>0</v>
      </c>
      <c r="J121" s="1464">
        <f t="shared" si="67"/>
        <v>0</v>
      </c>
      <c r="K121" s="1464">
        <f t="shared" si="67"/>
        <v>0</v>
      </c>
      <c r="L121" s="5">
        <v>0</v>
      </c>
      <c r="M121" s="1469">
        <f>IF(L120&gt;0,(L120/E121),(0))</f>
        <v>0</v>
      </c>
      <c r="N121" s="1417"/>
      <c r="O121" s="1417"/>
      <c r="P121" s="1417"/>
      <c r="Q121" s="1417"/>
      <c r="R121" s="1417"/>
    </row>
    <row r="122" spans="1:18" x14ac:dyDescent="0.25">
      <c r="A122" s="1048"/>
      <c r="B122" s="1048"/>
      <c r="C122" s="1036"/>
      <c r="D122" s="1036"/>
      <c r="E122" s="1037"/>
      <c r="F122" s="1038"/>
      <c r="G122" s="1038"/>
      <c r="H122" s="1038"/>
      <c r="I122" s="1038"/>
      <c r="J122" s="1038"/>
      <c r="K122" s="1038"/>
      <c r="L122" s="1038"/>
      <c r="M122" s="1038"/>
      <c r="N122" s="1037"/>
      <c r="O122" s="1037"/>
      <c r="P122" s="1037"/>
      <c r="Q122" s="1037"/>
      <c r="R122" s="1027"/>
    </row>
    <row r="123" spans="1:18" x14ac:dyDescent="0.25">
      <c r="A123" s="185">
        <v>9257016</v>
      </c>
      <c r="B123" s="38" t="s">
        <v>80</v>
      </c>
      <c r="C123" t="s">
        <v>846</v>
      </c>
      <c r="D123" t="str">
        <f>CONCATENATE(A123,C123)</f>
        <v>92570162019/20</v>
      </c>
      <c r="E123" s="1030">
        <f>VLOOKUP(A123,'1920 Funding Detail'!$A$4:$M$23,13,(FALSE))</f>
        <v>137.08333333333334</v>
      </c>
      <c r="F123" s="1029">
        <f>$E$123*'1920 Band Calculations'!D23</f>
        <v>23.183210784313729</v>
      </c>
      <c r="G123" s="1029">
        <f>$E$123*'1920 Band Calculations'!E23</f>
        <v>16.127450980392158</v>
      </c>
      <c r="H123" s="1029">
        <f>$E$123*'1920 Band Calculations'!F23</f>
        <v>1.0079656862745099</v>
      </c>
      <c r="I123" s="1029">
        <f>$E$123*'1920 Band Calculations'!G23</f>
        <v>28.223039215686274</v>
      </c>
      <c r="J123" s="1029">
        <f>$E$123*'1920 Band Calculations'!H23</f>
        <v>32.254901960784316</v>
      </c>
      <c r="K123" s="1029">
        <f>$E$123*'1920 Band Calculations'!I23</f>
        <v>1.0079656862745099</v>
      </c>
      <c r="L123" s="1029">
        <f>$E$123*'1920 Band Calculations'!J23</f>
        <v>35.278799019607845</v>
      </c>
      <c r="M123" s="1047"/>
      <c r="N123" s="16">
        <f>VLOOKUP(A123,'1920 Funding Detail'!$A$4:$U$23,21,(FALSE))*-1</f>
        <v>-445.82028854968303</v>
      </c>
      <c r="O123" s="16">
        <f>VLOOKUP(A123,'1920 Funding Detail'!$A$4:$V$23,22,(FALSE))</f>
        <v>0</v>
      </c>
    </row>
    <row r="124" spans="1:18" x14ac:dyDescent="0.25">
      <c r="A124" s="185">
        <v>9257016</v>
      </c>
      <c r="B124" s="38" t="s">
        <v>80</v>
      </c>
      <c r="C124" t="s">
        <v>937</v>
      </c>
      <c r="D124" t="str">
        <f>CONCATENATE(A124,C124)</f>
        <v>92570162020/21</v>
      </c>
      <c r="E124" s="1030">
        <f>VLOOKUP(A124,'2021 Funding Detail'!$A$4:$M$23,13,(FALSE))</f>
        <v>149</v>
      </c>
      <c r="F124" s="1046">
        <f>$E$124*'2021 Band Calculations'!D23</f>
        <v>31.368421052631579</v>
      </c>
      <c r="G124" s="1046">
        <f>$E$124*'2021 Band Calculations'!E23</f>
        <v>20.585526315789476</v>
      </c>
      <c r="H124" s="1046">
        <f>$E$124*'2021 Band Calculations'!F23</f>
        <v>0.98026315789473684</v>
      </c>
      <c r="I124" s="1046">
        <f>$E$124*'2021 Band Calculations'!G23</f>
        <v>32.348684210526315</v>
      </c>
      <c r="J124" s="1046">
        <f>$E$124*'2021 Band Calculations'!H23</f>
        <v>29.407894736842106</v>
      </c>
      <c r="K124" s="1046">
        <f>$E$124*'2021 Band Calculations'!I23</f>
        <v>0.98026315789473684</v>
      </c>
      <c r="L124" s="1029">
        <f>$E$124*'2021 Band Calculations'!J23</f>
        <v>33.328947368421055</v>
      </c>
      <c r="M124" s="1047"/>
      <c r="N124" s="16">
        <f>IF(N123&gt;0,(N123),(0))</f>
        <v>0</v>
      </c>
      <c r="O124" s="1047"/>
      <c r="P124" s="1047"/>
      <c r="Q124" s="1047"/>
    </row>
    <row r="125" spans="1:18" x14ac:dyDescent="0.25">
      <c r="F125" s="1031">
        <f t="shared" ref="F125:K125" si="68">F124-F123</f>
        <v>8.1852102683178494</v>
      </c>
      <c r="G125" s="1031">
        <f t="shared" si="68"/>
        <v>4.4580753353973179</v>
      </c>
      <c r="H125" s="1031">
        <f t="shared" si="68"/>
        <v>-2.770252837977305E-2</v>
      </c>
      <c r="I125" s="1031">
        <f t="shared" si="68"/>
        <v>4.1256449948400409</v>
      </c>
      <c r="J125" s="1031">
        <f t="shared" si="68"/>
        <v>-2.8470072239422102</v>
      </c>
      <c r="K125" s="1031">
        <f t="shared" si="68"/>
        <v>-2.770252837977305E-2</v>
      </c>
      <c r="O125" s="1027"/>
    </row>
    <row r="126" spans="1:18" x14ac:dyDescent="0.25">
      <c r="F126" s="16">
        <f t="shared" ref="F126:K126" si="69">F123*$N$124</f>
        <v>0</v>
      </c>
      <c r="G126" s="16">
        <f t="shared" si="69"/>
        <v>0</v>
      </c>
      <c r="H126" s="16">
        <f t="shared" si="69"/>
        <v>0</v>
      </c>
      <c r="I126" s="16">
        <f t="shared" si="69"/>
        <v>0</v>
      </c>
      <c r="J126" s="16">
        <f t="shared" si="69"/>
        <v>0</v>
      </c>
      <c r="K126" s="16">
        <f t="shared" si="69"/>
        <v>0</v>
      </c>
      <c r="L126" s="16">
        <f>SUM(F126:K126)</f>
        <v>0</v>
      </c>
      <c r="O126" s="16">
        <f>SUM(F126:K126)</f>
        <v>0</v>
      </c>
      <c r="P126" s="16">
        <f>O123-O126</f>
        <v>0</v>
      </c>
      <c r="Q126" s="1027" t="s">
        <v>965</v>
      </c>
    </row>
    <row r="127" spans="1:18" ht="13" thickBot="1" x14ac:dyDescent="0.3">
      <c r="F127" s="16">
        <f t="shared" ref="F127:K127" si="70">IF(F125&lt;0,(F124*$N$124),IF(F125&gt;0,(F123*$N$124),(0)))</f>
        <v>0</v>
      </c>
      <c r="G127" s="16">
        <f t="shared" si="70"/>
        <v>0</v>
      </c>
      <c r="H127" s="16">
        <f t="shared" si="70"/>
        <v>0</v>
      </c>
      <c r="I127" s="16">
        <f t="shared" si="70"/>
        <v>0</v>
      </c>
      <c r="J127" s="16">
        <f t="shared" si="70"/>
        <v>0</v>
      </c>
      <c r="K127" s="16">
        <f t="shared" si="70"/>
        <v>0</v>
      </c>
      <c r="L127" s="1033">
        <f>SUM(F127:K127)</f>
        <v>0</v>
      </c>
      <c r="M127" s="16">
        <f>L127-L126</f>
        <v>0</v>
      </c>
    </row>
    <row r="128" spans="1:18" ht="13.5" thickBot="1" x14ac:dyDescent="0.35">
      <c r="C128" s="420" t="s">
        <v>937</v>
      </c>
      <c r="D128" s="420" t="s">
        <v>1182</v>
      </c>
      <c r="E128" s="1468">
        <f>SUM(F128:K128)</f>
        <v>0</v>
      </c>
      <c r="F128" s="1464">
        <f t="shared" ref="F128:K128" si="71">IF(F127&gt;0,(F127/$N$123),(0))</f>
        <v>0</v>
      </c>
      <c r="G128" s="1464">
        <f t="shared" si="71"/>
        <v>0</v>
      </c>
      <c r="H128" s="1464">
        <f t="shared" si="71"/>
        <v>0</v>
      </c>
      <c r="I128" s="1464">
        <f t="shared" si="71"/>
        <v>0</v>
      </c>
      <c r="J128" s="1464">
        <f t="shared" si="71"/>
        <v>0</v>
      </c>
      <c r="K128" s="1464">
        <f t="shared" si="71"/>
        <v>0</v>
      </c>
      <c r="L128" s="5">
        <v>0</v>
      </c>
      <c r="M128" s="1469">
        <f>IF(L127&gt;0,(L127/E128),(0))</f>
        <v>0</v>
      </c>
      <c r="N128" s="1417"/>
      <c r="O128" s="1417"/>
      <c r="P128" s="1417"/>
      <c r="Q128" s="1417"/>
      <c r="R128" s="1417"/>
    </row>
    <row r="129" spans="1:18" x14ac:dyDescent="0.25">
      <c r="A129" s="1036"/>
      <c r="B129" s="1036"/>
      <c r="C129" s="1036"/>
      <c r="D129" s="1036"/>
      <c r="E129" s="1037"/>
      <c r="F129" s="1038"/>
      <c r="G129" s="1038"/>
      <c r="H129" s="1038"/>
      <c r="I129" s="1038"/>
      <c r="J129" s="1038"/>
      <c r="K129" s="1038"/>
      <c r="L129" s="1038"/>
      <c r="M129" s="1038"/>
      <c r="N129" s="1037"/>
      <c r="O129" s="1037"/>
      <c r="P129" s="1037"/>
      <c r="Q129" s="1037"/>
      <c r="R129" s="1027"/>
    </row>
    <row r="131" spans="1:18" x14ac:dyDescent="0.25">
      <c r="E131"/>
      <c r="F131"/>
      <c r="G131"/>
      <c r="H131"/>
      <c r="I131"/>
      <c r="J131"/>
      <c r="K131"/>
      <c r="L131" s="1033">
        <f>L8+L15+L22+L29+L36+L43+L50+L57+L64+L71+L78+L85+L92+L99+L106+L113+L120+L127</f>
        <v>408593.27346645918</v>
      </c>
      <c r="M131"/>
      <c r="N131"/>
      <c r="O131"/>
      <c r="P131"/>
      <c r="Q131"/>
      <c r="R131"/>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04"/>
  <sheetViews>
    <sheetView topLeftCell="A19" zoomScale="85" zoomScaleNormal="85" workbookViewId="0">
      <selection activeCell="E56" sqref="E56"/>
    </sheetView>
  </sheetViews>
  <sheetFormatPr defaultRowHeight="12.5" x14ac:dyDescent="0.25"/>
  <cols>
    <col min="1" max="1" width="14" customWidth="1"/>
    <col min="2" max="2" width="27.453125" bestFit="1" customWidth="1"/>
    <col min="3" max="3" width="28.7265625" customWidth="1"/>
    <col min="4" max="4" width="10.1796875" bestFit="1" customWidth="1"/>
    <col min="5" max="5" width="10.1796875" customWidth="1"/>
    <col min="8" max="8" width="11.7265625" customWidth="1"/>
    <col min="9" max="9" width="10.26953125" bestFit="1" customWidth="1"/>
    <col min="11" max="11" width="10.26953125" bestFit="1" customWidth="1"/>
    <col min="12" max="12" width="10.453125" customWidth="1"/>
    <col min="13" max="13" width="10.26953125" bestFit="1" customWidth="1"/>
    <col min="16" max="16" width="11.7265625" customWidth="1"/>
    <col min="17" max="17" width="23.453125" customWidth="1"/>
    <col min="18" max="18" width="11.26953125" customWidth="1"/>
  </cols>
  <sheetData>
    <row r="1" spans="1:18" ht="13" thickBot="1" x14ac:dyDescent="0.3"/>
    <row r="2" spans="1:18" x14ac:dyDescent="0.25">
      <c r="A2" s="833" t="s">
        <v>716</v>
      </c>
      <c r="B2" s="834"/>
      <c r="C2" s="835" t="s">
        <v>709</v>
      </c>
    </row>
    <row r="3" spans="1:18" ht="13" x14ac:dyDescent="0.3">
      <c r="A3" s="836" t="s">
        <v>718</v>
      </c>
      <c r="B3" s="84"/>
      <c r="C3" s="837"/>
      <c r="O3" s="20"/>
      <c r="P3" s="559"/>
      <c r="Q3" s="863"/>
      <c r="R3" s="84"/>
    </row>
    <row r="4" spans="1:18" x14ac:dyDescent="0.25">
      <c r="A4" s="836" t="s">
        <v>717</v>
      </c>
      <c r="B4" s="84"/>
      <c r="C4" s="838" t="s">
        <v>15</v>
      </c>
      <c r="O4" s="346"/>
      <c r="P4" s="559"/>
      <c r="Q4" s="556"/>
      <c r="R4" s="84"/>
    </row>
    <row r="5" spans="1:18" ht="13" x14ac:dyDescent="0.3">
      <c r="A5" s="836" t="s">
        <v>710</v>
      </c>
      <c r="B5" s="84"/>
      <c r="C5" s="837"/>
      <c r="O5" s="346"/>
      <c r="P5" s="559"/>
      <c r="Q5" s="863"/>
      <c r="R5" s="84"/>
    </row>
    <row r="6" spans="1:18" x14ac:dyDescent="0.25">
      <c r="A6" s="836" t="s">
        <v>711</v>
      </c>
      <c r="B6" s="839"/>
      <c r="C6" s="838" t="s">
        <v>16</v>
      </c>
      <c r="O6" s="346"/>
      <c r="P6" s="559"/>
      <c r="Q6" s="556"/>
      <c r="R6" s="84"/>
    </row>
    <row r="7" spans="1:18" x14ac:dyDescent="0.25">
      <c r="A7" s="836" t="s">
        <v>712</v>
      </c>
      <c r="B7" s="840"/>
      <c r="C7" s="837"/>
      <c r="O7" s="346"/>
      <c r="P7" s="559"/>
      <c r="Q7" s="556"/>
      <c r="R7" s="84"/>
    </row>
    <row r="8" spans="1:18" ht="13" x14ac:dyDescent="0.3">
      <c r="A8" s="836" t="s">
        <v>713</v>
      </c>
      <c r="B8" s="841"/>
      <c r="C8" s="838" t="s">
        <v>17</v>
      </c>
      <c r="F8" s="612" t="s">
        <v>779</v>
      </c>
      <c r="O8" s="346"/>
      <c r="P8" s="559"/>
      <c r="Q8" s="863"/>
      <c r="R8" s="84"/>
    </row>
    <row r="9" spans="1:18" ht="13" x14ac:dyDescent="0.3">
      <c r="A9" s="836" t="s">
        <v>722</v>
      </c>
      <c r="B9" s="84"/>
      <c r="C9" s="837"/>
      <c r="O9" s="346"/>
      <c r="P9" s="559"/>
      <c r="Q9" s="863"/>
      <c r="R9" s="84"/>
    </row>
    <row r="10" spans="1:18" x14ac:dyDescent="0.25">
      <c r="A10" s="836" t="s">
        <v>721</v>
      </c>
      <c r="B10" s="842"/>
      <c r="C10" s="838" t="s">
        <v>18</v>
      </c>
      <c r="O10" s="346"/>
      <c r="P10" s="559"/>
      <c r="Q10" s="556"/>
      <c r="R10" s="84"/>
    </row>
    <row r="11" spans="1:18" x14ac:dyDescent="0.25">
      <c r="A11" s="836" t="s">
        <v>720</v>
      </c>
      <c r="B11" s="84"/>
      <c r="C11" s="837"/>
      <c r="O11" s="346"/>
      <c r="P11" s="559"/>
      <c r="Q11" s="556"/>
      <c r="R11" s="84"/>
    </row>
    <row r="12" spans="1:18" ht="13" thickBot="1" x14ac:dyDescent="0.3">
      <c r="A12" s="844" t="s">
        <v>719</v>
      </c>
      <c r="B12" s="843"/>
      <c r="C12" s="838" t="s">
        <v>714</v>
      </c>
      <c r="O12" s="346"/>
      <c r="P12" s="559"/>
      <c r="Q12" s="556"/>
      <c r="R12" s="84"/>
    </row>
    <row r="13" spans="1:18" ht="13" thickBot="1" x14ac:dyDescent="0.3">
      <c r="A13" s="844" t="s">
        <v>715</v>
      </c>
      <c r="B13" s="845"/>
      <c r="C13" s="846"/>
      <c r="O13" s="21"/>
      <c r="P13" s="559"/>
      <c r="Q13" s="556"/>
      <c r="R13" s="84"/>
    </row>
    <row r="14" spans="1:18" x14ac:dyDescent="0.25">
      <c r="O14" s="21"/>
      <c r="P14" s="559"/>
      <c r="Q14" s="556"/>
      <c r="R14" s="84"/>
    </row>
    <row r="15" spans="1:18" x14ac:dyDescent="0.25">
      <c r="O15" s="21"/>
      <c r="P15" s="559"/>
      <c r="Q15" s="556"/>
      <c r="R15" s="84"/>
    </row>
    <row r="16" spans="1:18" x14ac:dyDescent="0.25">
      <c r="O16" s="19"/>
      <c r="P16" s="559"/>
      <c r="Q16" s="556"/>
      <c r="R16" s="84"/>
    </row>
    <row r="17" spans="1:18" x14ac:dyDescent="0.25">
      <c r="A17" s="830">
        <v>9257029</v>
      </c>
      <c r="B17" s="552" t="s">
        <v>99</v>
      </c>
      <c r="C17" s="2">
        <v>3</v>
      </c>
      <c r="D17" s="16"/>
      <c r="E17" s="16"/>
      <c r="F17" s="16"/>
      <c r="G17" s="16"/>
      <c r="H17" s="16"/>
      <c r="O17" s="19"/>
      <c r="P17" s="559"/>
      <c r="Q17" s="556"/>
      <c r="R17" s="84"/>
    </row>
    <row r="18" spans="1:18" x14ac:dyDescent="0.25">
      <c r="A18" s="830">
        <v>9257011</v>
      </c>
      <c r="B18" s="552" t="s">
        <v>70</v>
      </c>
      <c r="C18" s="2">
        <v>4</v>
      </c>
      <c r="D18" s="16"/>
      <c r="E18" s="16"/>
      <c r="F18" s="16"/>
      <c r="G18" s="16"/>
      <c r="H18" s="16"/>
      <c r="P18" s="559"/>
      <c r="Q18" s="556"/>
      <c r="R18" s="84"/>
    </row>
    <row r="19" spans="1:18" x14ac:dyDescent="0.25">
      <c r="A19" s="830">
        <v>9257010</v>
      </c>
      <c r="B19" s="552" t="s">
        <v>67</v>
      </c>
      <c r="C19" s="2">
        <v>4</v>
      </c>
      <c r="D19" s="16"/>
      <c r="E19" s="16"/>
      <c r="F19" s="16"/>
      <c r="G19" s="16"/>
      <c r="H19" s="16"/>
      <c r="P19" s="559"/>
      <c r="Q19" s="556"/>
      <c r="R19" s="84"/>
    </row>
    <row r="20" spans="1:18" x14ac:dyDescent="0.25">
      <c r="A20" s="830">
        <v>9257033</v>
      </c>
      <c r="B20" s="552" t="s">
        <v>72</v>
      </c>
      <c r="C20" s="2">
        <v>3</v>
      </c>
      <c r="D20" s="16"/>
      <c r="E20" s="865" t="s">
        <v>780</v>
      </c>
      <c r="F20" s="16"/>
      <c r="G20" s="16"/>
      <c r="H20" s="16"/>
      <c r="P20" s="864"/>
      <c r="Q20" s="556"/>
      <c r="R20" s="84"/>
    </row>
    <row r="21" spans="1:18" x14ac:dyDescent="0.25">
      <c r="A21" s="830">
        <v>9257025</v>
      </c>
      <c r="B21" s="552" t="s">
        <v>69</v>
      </c>
      <c r="C21" s="2">
        <v>4</v>
      </c>
      <c r="D21" s="16"/>
      <c r="E21" s="16"/>
      <c r="F21" s="16"/>
      <c r="G21" s="16"/>
      <c r="H21" s="16"/>
      <c r="P21" s="20"/>
      <c r="Q21" s="20"/>
      <c r="R21" s="20"/>
    </row>
    <row r="22" spans="1:18" x14ac:dyDescent="0.25">
      <c r="A22" s="830">
        <v>9257032</v>
      </c>
      <c r="B22" s="552" t="s">
        <v>100</v>
      </c>
      <c r="C22" s="2">
        <v>4</v>
      </c>
      <c r="D22" s="16"/>
      <c r="E22" s="16"/>
      <c r="F22" s="16"/>
      <c r="G22" s="16"/>
      <c r="H22" s="16"/>
      <c r="P22" s="20"/>
      <c r="Q22" s="20"/>
      <c r="R22" s="20"/>
    </row>
    <row r="23" spans="1:18" x14ac:dyDescent="0.25">
      <c r="A23" s="830">
        <v>9257024</v>
      </c>
      <c r="B23" s="552" t="s">
        <v>71</v>
      </c>
      <c r="C23" s="2">
        <v>3</v>
      </c>
      <c r="D23" s="16"/>
      <c r="E23" s="16"/>
      <c r="F23" s="16"/>
      <c r="G23" s="16"/>
      <c r="H23" s="16"/>
      <c r="P23" s="75"/>
      <c r="Q23" s="50"/>
      <c r="R23" s="84"/>
    </row>
    <row r="24" spans="1:18" x14ac:dyDescent="0.25">
      <c r="A24" s="830">
        <v>9257030</v>
      </c>
      <c r="B24" s="552" t="s">
        <v>92</v>
      </c>
      <c r="C24" s="2">
        <v>4</v>
      </c>
      <c r="D24" s="16"/>
      <c r="E24" s="16"/>
      <c r="F24" s="16"/>
      <c r="G24" s="16"/>
      <c r="H24" s="16"/>
      <c r="P24" s="75"/>
      <c r="Q24" s="50"/>
      <c r="R24" s="84"/>
    </row>
    <row r="25" spans="1:18" x14ac:dyDescent="0.25">
      <c r="A25" s="830">
        <v>9257008</v>
      </c>
      <c r="B25" s="552" t="s">
        <v>73</v>
      </c>
      <c r="C25" s="2">
        <v>4</v>
      </c>
      <c r="D25" s="16"/>
      <c r="E25" s="16"/>
      <c r="F25" s="16"/>
      <c r="G25" s="16"/>
      <c r="H25" s="16"/>
      <c r="P25" s="75"/>
      <c r="Q25" s="50"/>
      <c r="R25" s="84"/>
    </row>
    <row r="26" spans="1:18" x14ac:dyDescent="0.25">
      <c r="A26" s="830">
        <v>9257031</v>
      </c>
      <c r="B26" s="552" t="s">
        <v>98</v>
      </c>
      <c r="C26" s="2">
        <v>4</v>
      </c>
      <c r="D26" s="16"/>
      <c r="E26" s="16"/>
      <c r="F26" s="16"/>
      <c r="G26" s="16"/>
      <c r="H26" s="16"/>
      <c r="P26" s="75"/>
      <c r="Q26" s="50"/>
      <c r="R26" s="84"/>
    </row>
    <row r="27" spans="1:18" x14ac:dyDescent="0.25">
      <c r="A27" s="830">
        <v>9257005</v>
      </c>
      <c r="B27" s="552" t="s">
        <v>68</v>
      </c>
      <c r="C27" s="2">
        <v>4</v>
      </c>
      <c r="D27" s="16"/>
      <c r="E27" s="16"/>
      <c r="F27" s="16"/>
      <c r="G27" s="16"/>
      <c r="H27" s="16"/>
      <c r="P27" s="75"/>
      <c r="Q27" s="50"/>
      <c r="R27" s="84"/>
    </row>
    <row r="28" spans="1:18" x14ac:dyDescent="0.25">
      <c r="A28" s="830">
        <v>9257009</v>
      </c>
      <c r="B28" s="552" t="s">
        <v>76</v>
      </c>
      <c r="C28" s="2">
        <v>4</v>
      </c>
      <c r="D28" s="16"/>
      <c r="E28" s="16"/>
      <c r="F28" s="16"/>
      <c r="G28" s="16"/>
      <c r="H28" s="16"/>
      <c r="P28" s="75"/>
      <c r="Q28" s="50"/>
      <c r="R28" s="84"/>
    </row>
    <row r="29" spans="1:18" x14ac:dyDescent="0.25">
      <c r="A29" s="830">
        <v>9257028</v>
      </c>
      <c r="B29" s="552" t="s">
        <v>77</v>
      </c>
      <c r="C29" s="2">
        <v>5</v>
      </c>
      <c r="D29" s="16"/>
      <c r="E29" s="16"/>
      <c r="F29" s="16"/>
      <c r="G29" s="16"/>
      <c r="H29" s="16"/>
      <c r="P29" s="75"/>
      <c r="Q29" s="50"/>
      <c r="R29" s="84"/>
    </row>
    <row r="30" spans="1:18" x14ac:dyDescent="0.25">
      <c r="A30" s="830">
        <v>9257034</v>
      </c>
      <c r="B30" s="552" t="s">
        <v>74</v>
      </c>
      <c r="C30" s="2">
        <v>5</v>
      </c>
      <c r="D30" s="16"/>
      <c r="E30" s="16"/>
      <c r="F30" s="16"/>
      <c r="G30" s="16"/>
      <c r="H30" s="16"/>
      <c r="P30" s="75"/>
      <c r="Q30" s="50"/>
      <c r="R30" s="84"/>
    </row>
    <row r="31" spans="1:18" x14ac:dyDescent="0.25">
      <c r="A31" s="830">
        <v>9257002</v>
      </c>
      <c r="B31" s="552" t="s">
        <v>75</v>
      </c>
      <c r="C31" s="2">
        <v>5</v>
      </c>
      <c r="D31" s="16"/>
      <c r="E31" s="16"/>
      <c r="F31" s="16"/>
      <c r="G31" s="16"/>
      <c r="H31" s="16"/>
      <c r="P31" s="75"/>
      <c r="Q31" s="50"/>
      <c r="R31" s="84"/>
    </row>
    <row r="32" spans="1:18" x14ac:dyDescent="0.25">
      <c r="A32" s="830">
        <v>9257021</v>
      </c>
      <c r="B32" s="552" t="s">
        <v>78</v>
      </c>
      <c r="C32" s="2">
        <v>5</v>
      </c>
      <c r="D32" s="16"/>
      <c r="E32" s="16"/>
      <c r="F32" s="16"/>
      <c r="G32" s="16"/>
      <c r="H32" s="16"/>
      <c r="P32" s="75"/>
      <c r="Q32" s="50"/>
      <c r="R32" s="84"/>
    </row>
    <row r="33" spans="1:18" x14ac:dyDescent="0.25">
      <c r="A33" s="830">
        <v>9257016</v>
      </c>
      <c r="B33" s="552" t="s">
        <v>80</v>
      </c>
      <c r="C33" s="2">
        <v>6</v>
      </c>
      <c r="D33" s="16"/>
      <c r="E33" s="16"/>
      <c r="F33" s="16"/>
      <c r="G33" s="16"/>
      <c r="H33" s="16"/>
      <c r="P33" s="127"/>
      <c r="Q33" s="50"/>
      <c r="R33" s="84"/>
    </row>
    <row r="34" spans="1:18" x14ac:dyDescent="0.25">
      <c r="A34" s="536">
        <v>9257015</v>
      </c>
      <c r="B34" s="552" t="s">
        <v>55</v>
      </c>
      <c r="C34" s="2">
        <v>6</v>
      </c>
      <c r="D34" s="16"/>
      <c r="E34" s="16"/>
      <c r="F34" s="16"/>
      <c r="G34" s="16"/>
      <c r="H34" s="16"/>
      <c r="P34" s="75"/>
      <c r="Q34" s="50"/>
      <c r="R34" s="84"/>
    </row>
    <row r="35" spans="1:18" x14ac:dyDescent="0.25">
      <c r="P35" s="75"/>
      <c r="Q35" s="50"/>
      <c r="R35" s="84"/>
    </row>
    <row r="36" spans="1:18" ht="13" x14ac:dyDescent="0.3">
      <c r="P36" s="75"/>
      <c r="Q36" s="863"/>
      <c r="R36" s="84"/>
    </row>
    <row r="37" spans="1:18" ht="13" x14ac:dyDescent="0.3">
      <c r="P37" s="75"/>
      <c r="Q37" s="863"/>
      <c r="R37" s="84"/>
    </row>
    <row r="38" spans="1:18" ht="13" x14ac:dyDescent="0.3">
      <c r="A38" s="612" t="s">
        <v>729</v>
      </c>
      <c r="B38" s="612" t="s">
        <v>731</v>
      </c>
      <c r="P38" s="75"/>
      <c r="Q38" s="863"/>
      <c r="R38" s="84"/>
    </row>
    <row r="39" spans="1:18" ht="13" x14ac:dyDescent="0.3">
      <c r="A39" s="612" t="s">
        <v>730</v>
      </c>
      <c r="B39" s="612" t="s">
        <v>731</v>
      </c>
      <c r="P39" s="75"/>
      <c r="Q39" s="863"/>
      <c r="R39" s="84"/>
    </row>
    <row r="40" spans="1:18" ht="13" x14ac:dyDescent="0.3">
      <c r="P40" s="75"/>
      <c r="Q40" s="863"/>
      <c r="R40" s="84"/>
    </row>
    <row r="41" spans="1:18" x14ac:dyDescent="0.25">
      <c r="B41" s="1" t="s">
        <v>802</v>
      </c>
      <c r="P41" s="75"/>
      <c r="Q41" s="50"/>
      <c r="R41" s="84"/>
    </row>
    <row r="42" spans="1:18" x14ac:dyDescent="0.25">
      <c r="P42" s="75"/>
      <c r="Q42" s="50"/>
      <c r="R42" s="20"/>
    </row>
    <row r="43" spans="1:18" x14ac:dyDescent="0.25">
      <c r="C43" s="2"/>
      <c r="D43" s="672" t="s">
        <v>724</v>
      </c>
      <c r="E43" s="672" t="s">
        <v>723</v>
      </c>
    </row>
    <row r="44" spans="1:18" x14ac:dyDescent="0.25">
      <c r="C44" s="2"/>
      <c r="D44" s="672"/>
      <c r="E44" s="672"/>
    </row>
    <row r="45" spans="1:18" x14ac:dyDescent="0.25">
      <c r="B45" s="849" t="s">
        <v>727</v>
      </c>
      <c r="C45" s="2"/>
      <c r="D45" s="672" t="s">
        <v>724</v>
      </c>
      <c r="E45" s="672" t="s">
        <v>728</v>
      </c>
      <c r="F45" s="672" t="s">
        <v>62</v>
      </c>
      <c r="H45" s="672" t="s">
        <v>524</v>
      </c>
      <c r="I45" s="2"/>
      <c r="J45" s="2"/>
      <c r="K45" s="672" t="s">
        <v>726</v>
      </c>
      <c r="L45" s="612" t="s">
        <v>732</v>
      </c>
    </row>
    <row r="46" spans="1:18" x14ac:dyDescent="0.25">
      <c r="A46">
        <v>600</v>
      </c>
      <c r="B46" s="502">
        <v>600000</v>
      </c>
      <c r="C46" s="317" t="s">
        <v>749</v>
      </c>
      <c r="D46" s="1536">
        <v>305000</v>
      </c>
      <c r="E46" s="16">
        <v>100000</v>
      </c>
      <c r="F46" s="16">
        <f>SUM(D46:E46)</f>
        <v>405000</v>
      </c>
      <c r="H46" s="2"/>
      <c r="I46" s="2"/>
      <c r="J46" s="2"/>
      <c r="K46" s="16">
        <v>600000</v>
      </c>
      <c r="L46" s="502">
        <v>600000</v>
      </c>
      <c r="P46" s="1" t="s">
        <v>739</v>
      </c>
    </row>
    <row r="47" spans="1:18" ht="13" x14ac:dyDescent="0.3">
      <c r="A47">
        <v>100</v>
      </c>
      <c r="B47" s="502">
        <v>700000</v>
      </c>
      <c r="C47" s="317" t="s">
        <v>755</v>
      </c>
      <c r="D47" s="848">
        <f>((D48-D46)/2)+D46</f>
        <v>332500</v>
      </c>
      <c r="E47" s="848">
        <f>((E48-E46)/2)+E46</f>
        <v>105000</v>
      </c>
      <c r="F47" s="16">
        <f>SUM(D47:E47)</f>
        <v>437500</v>
      </c>
      <c r="G47" s="419"/>
      <c r="H47" s="16">
        <f>F47-F46</f>
        <v>32500</v>
      </c>
      <c r="I47" s="2"/>
      <c r="J47" s="2"/>
      <c r="K47" s="16">
        <v>700000</v>
      </c>
      <c r="L47" s="502">
        <v>700000</v>
      </c>
      <c r="M47" s="502">
        <f>L47-L46</f>
        <v>100000</v>
      </c>
      <c r="P47" s="2"/>
    </row>
    <row r="48" spans="1:18" x14ac:dyDescent="0.25">
      <c r="A48">
        <v>250</v>
      </c>
      <c r="B48" s="502">
        <v>950000</v>
      </c>
      <c r="C48" s="317" t="s">
        <v>750</v>
      </c>
      <c r="D48" s="1536">
        <v>360000</v>
      </c>
      <c r="E48" s="16">
        <v>110000</v>
      </c>
      <c r="F48" s="16">
        <f t="shared" ref="F48:F56" si="0">SUM(D48:E48)</f>
        <v>470000</v>
      </c>
      <c r="H48" s="16">
        <f t="shared" ref="H48:H56" si="1">F48-F47</f>
        <v>32500</v>
      </c>
      <c r="I48" s="2"/>
      <c r="J48" s="2"/>
      <c r="K48" s="16">
        <v>950000</v>
      </c>
      <c r="L48" s="502">
        <v>950000</v>
      </c>
      <c r="M48" s="502">
        <f t="shared" ref="M48:M56" si="2">L48-L47</f>
        <v>250000</v>
      </c>
      <c r="P48" s="16">
        <f>60*'1819 Band Calculations'!G104</f>
        <v>1350765.0453476657</v>
      </c>
      <c r="Q48" s="612" t="s">
        <v>740</v>
      </c>
    </row>
    <row r="49" spans="1:18" x14ac:dyDescent="0.25">
      <c r="A49">
        <v>150</v>
      </c>
      <c r="B49" s="502">
        <v>1100000</v>
      </c>
      <c r="C49" s="317" t="s">
        <v>756</v>
      </c>
      <c r="D49" s="848">
        <f>((D50-D48)/2)+D48</f>
        <v>390000</v>
      </c>
      <c r="E49" s="848">
        <f>((E50-E48)/2)+E48</f>
        <v>115000</v>
      </c>
      <c r="F49" s="16">
        <f t="shared" si="0"/>
        <v>505000</v>
      </c>
      <c r="H49" s="16">
        <f t="shared" si="1"/>
        <v>35000</v>
      </c>
      <c r="I49" s="2"/>
      <c r="J49" s="2"/>
      <c r="K49" s="16">
        <v>1050000</v>
      </c>
      <c r="L49" s="502">
        <v>1050000</v>
      </c>
      <c r="M49" s="502">
        <f t="shared" si="2"/>
        <v>100000</v>
      </c>
      <c r="P49" s="16">
        <f>F47</f>
        <v>437500</v>
      </c>
      <c r="Q49" s="612" t="s">
        <v>741</v>
      </c>
    </row>
    <row r="50" spans="1:18" x14ac:dyDescent="0.25">
      <c r="A50">
        <v>300</v>
      </c>
      <c r="B50" s="502">
        <v>1400000</v>
      </c>
      <c r="C50" s="317" t="s">
        <v>751</v>
      </c>
      <c r="D50" s="1536">
        <v>420000</v>
      </c>
      <c r="E50" s="16">
        <v>120000</v>
      </c>
      <c r="F50" s="16">
        <f t="shared" si="0"/>
        <v>540000</v>
      </c>
      <c r="H50" s="16">
        <f t="shared" si="1"/>
        <v>35000</v>
      </c>
      <c r="I50" s="2"/>
      <c r="J50" s="2"/>
      <c r="K50" s="16">
        <v>1300000</v>
      </c>
      <c r="L50" s="502">
        <v>1350000</v>
      </c>
      <c r="M50" s="502">
        <f t="shared" si="2"/>
        <v>300000</v>
      </c>
      <c r="P50" s="859">
        <f>SUM(P48:P49)</f>
        <v>1788265.0453476657</v>
      </c>
      <c r="Q50" s="612" t="s">
        <v>742</v>
      </c>
    </row>
    <row r="51" spans="1:18" x14ac:dyDescent="0.25">
      <c r="A51">
        <v>200</v>
      </c>
      <c r="B51" s="502">
        <v>1600000</v>
      </c>
      <c r="C51" s="317" t="s">
        <v>758</v>
      </c>
      <c r="D51" s="848">
        <f>((D52-D50)/2)+D50</f>
        <v>455000</v>
      </c>
      <c r="E51" s="848">
        <f>((E52-E50)/2)+E50</f>
        <v>130000</v>
      </c>
      <c r="F51" s="16">
        <f t="shared" si="0"/>
        <v>585000</v>
      </c>
      <c r="H51" s="16">
        <f t="shared" si="1"/>
        <v>45000</v>
      </c>
      <c r="I51" s="2"/>
      <c r="J51" s="2"/>
      <c r="K51" s="16">
        <v>1400000</v>
      </c>
      <c r="L51" s="502">
        <v>1450000</v>
      </c>
      <c r="M51" s="502">
        <f t="shared" si="2"/>
        <v>100000</v>
      </c>
      <c r="P51" s="16">
        <f>P50*4</f>
        <v>7153060.1813906627</v>
      </c>
      <c r="Q51" s="612" t="s">
        <v>743</v>
      </c>
    </row>
    <row r="52" spans="1:18" x14ac:dyDescent="0.25">
      <c r="A52">
        <v>350</v>
      </c>
      <c r="B52" s="502">
        <v>1950000</v>
      </c>
      <c r="C52" s="317" t="s">
        <v>752</v>
      </c>
      <c r="D52" s="1536">
        <v>490000</v>
      </c>
      <c r="E52" s="16">
        <v>140000</v>
      </c>
      <c r="F52" s="16">
        <f t="shared" si="0"/>
        <v>630000</v>
      </c>
      <c r="H52" s="16">
        <f t="shared" si="1"/>
        <v>45000</v>
      </c>
      <c r="I52" s="2"/>
      <c r="J52" s="2"/>
      <c r="K52" s="16">
        <v>1650000</v>
      </c>
      <c r="L52" s="502">
        <v>1800000</v>
      </c>
      <c r="M52" s="502">
        <f t="shared" si="2"/>
        <v>350000</v>
      </c>
      <c r="P52" s="16"/>
    </row>
    <row r="53" spans="1:18" x14ac:dyDescent="0.25">
      <c r="A53">
        <v>250</v>
      </c>
      <c r="B53" s="502">
        <v>2200000</v>
      </c>
      <c r="C53" s="317" t="s">
        <v>759</v>
      </c>
      <c r="D53" s="848">
        <f>((D54-D52)/2)+D52</f>
        <v>525000</v>
      </c>
      <c r="E53" s="848">
        <f>((E54-E52)/2)+E52</f>
        <v>145000</v>
      </c>
      <c r="F53" s="418">
        <f t="shared" si="0"/>
        <v>670000</v>
      </c>
      <c r="H53" s="16">
        <f t="shared" si="1"/>
        <v>40000</v>
      </c>
      <c r="I53" s="2"/>
      <c r="J53" s="2"/>
      <c r="K53" s="16">
        <v>1750000</v>
      </c>
      <c r="L53" s="502">
        <v>1900000</v>
      </c>
      <c r="M53" s="502">
        <f t="shared" si="2"/>
        <v>100000</v>
      </c>
      <c r="P53" s="16">
        <f>20500*252</f>
        <v>5166000</v>
      </c>
      <c r="Q53" s="612" t="s">
        <v>744</v>
      </c>
    </row>
    <row r="54" spans="1:18" x14ac:dyDescent="0.25">
      <c r="A54">
        <v>400</v>
      </c>
      <c r="B54" s="502">
        <v>2600000</v>
      </c>
      <c r="C54" s="317" t="s">
        <v>753</v>
      </c>
      <c r="D54" s="1536">
        <v>560000</v>
      </c>
      <c r="E54" s="16">
        <v>150000</v>
      </c>
      <c r="F54" s="418">
        <f t="shared" si="0"/>
        <v>710000</v>
      </c>
      <c r="H54" s="16">
        <f t="shared" si="1"/>
        <v>40000</v>
      </c>
      <c r="I54" s="2"/>
      <c r="J54" s="2"/>
      <c r="K54" s="16">
        <v>2000000</v>
      </c>
      <c r="L54" s="502">
        <v>2300000</v>
      </c>
      <c r="M54" s="502">
        <f t="shared" si="2"/>
        <v>400000</v>
      </c>
      <c r="P54" s="16"/>
    </row>
    <row r="55" spans="1:18" x14ac:dyDescent="0.25">
      <c r="A55">
        <v>300</v>
      </c>
      <c r="B55" s="502">
        <v>2900000</v>
      </c>
      <c r="C55" s="317" t="s">
        <v>757</v>
      </c>
      <c r="D55" s="1544">
        <f>((D56-D54)/2)+D54</f>
        <v>595000</v>
      </c>
      <c r="E55" s="670">
        <f>((E56-E54)/2)+E54</f>
        <v>155000</v>
      </c>
      <c r="F55" s="418">
        <f t="shared" si="0"/>
        <v>750000</v>
      </c>
      <c r="G55" s="19"/>
      <c r="H55" s="418">
        <f t="shared" si="1"/>
        <v>40000</v>
      </c>
      <c r="I55" s="2"/>
      <c r="J55" s="2"/>
      <c r="K55" s="16">
        <v>2100000</v>
      </c>
      <c r="L55" s="502">
        <v>2400000</v>
      </c>
      <c r="M55" s="502">
        <f t="shared" si="2"/>
        <v>100000</v>
      </c>
      <c r="P55" s="613">
        <f>P51-P53</f>
        <v>1987060.1813906627</v>
      </c>
      <c r="Q55" s="410" t="s">
        <v>745</v>
      </c>
    </row>
    <row r="56" spans="1:18" x14ac:dyDescent="0.25">
      <c r="A56">
        <v>450</v>
      </c>
      <c r="B56" s="502">
        <v>3350000</v>
      </c>
      <c r="C56" s="317" t="s">
        <v>754</v>
      </c>
      <c r="D56" s="1545">
        <v>630000</v>
      </c>
      <c r="E56" s="418">
        <v>160000</v>
      </c>
      <c r="F56" s="418">
        <f t="shared" si="0"/>
        <v>790000</v>
      </c>
      <c r="G56" s="19"/>
      <c r="H56" s="418">
        <f t="shared" si="1"/>
        <v>40000</v>
      </c>
      <c r="I56" s="2"/>
      <c r="J56" s="2"/>
      <c r="K56" s="16">
        <v>2350000</v>
      </c>
      <c r="L56" s="502">
        <v>2950000</v>
      </c>
      <c r="M56" s="502">
        <f t="shared" si="2"/>
        <v>550000</v>
      </c>
      <c r="P56" s="16"/>
    </row>
    <row r="57" spans="1:18" ht="13.5" thickBot="1" x14ac:dyDescent="0.35">
      <c r="A57" s="856">
        <f>SUM(A46:A56)</f>
        <v>3350</v>
      </c>
      <c r="P57" s="16">
        <f>('1819 Band Calculations'!G104+'1819 Band Calculations'!G106)*60</f>
        <v>1508865.0453476657</v>
      </c>
      <c r="Q57" s="612" t="s">
        <v>740</v>
      </c>
      <c r="R57" s="860" t="s">
        <v>746</v>
      </c>
    </row>
    <row r="58" spans="1:18" x14ac:dyDescent="0.25">
      <c r="P58" s="16">
        <f>F48</f>
        <v>470000</v>
      </c>
      <c r="Q58" s="612" t="s">
        <v>741</v>
      </c>
    </row>
    <row r="59" spans="1:18" x14ac:dyDescent="0.25">
      <c r="P59" s="859">
        <f>SUM(P57:P58)</f>
        <v>1978865.0453476657</v>
      </c>
      <c r="Q59" s="612" t="s">
        <v>742</v>
      </c>
    </row>
    <row r="60" spans="1:18" x14ac:dyDescent="0.25">
      <c r="A60" s="1" t="s">
        <v>734</v>
      </c>
      <c r="P60" s="16">
        <f>P59*4</f>
        <v>7915460.1813906627</v>
      </c>
      <c r="Q60" s="612" t="s">
        <v>743</v>
      </c>
    </row>
    <row r="61" spans="1:18" x14ac:dyDescent="0.25">
      <c r="A61">
        <v>600</v>
      </c>
      <c r="B61" s="502">
        <v>600000</v>
      </c>
      <c r="C61" s="862" t="s">
        <v>761</v>
      </c>
      <c r="D61" s="16">
        <v>270000</v>
      </c>
      <c r="E61" s="16">
        <v>85000</v>
      </c>
      <c r="F61" s="16">
        <f t="shared" ref="F61:F66" si="3">SUM(D61:E61)</f>
        <v>355000</v>
      </c>
      <c r="H61" s="2"/>
      <c r="P61" s="16"/>
    </row>
    <row r="62" spans="1:18" ht="13" x14ac:dyDescent="0.3">
      <c r="A62">
        <v>100</v>
      </c>
      <c r="B62" s="502">
        <v>700000</v>
      </c>
      <c r="C62" s="862" t="s">
        <v>762</v>
      </c>
      <c r="D62" s="848">
        <f>((D63-D61)/2)+D61</f>
        <v>305000</v>
      </c>
      <c r="E62" s="16">
        <v>85000</v>
      </c>
      <c r="F62" s="16">
        <f t="shared" si="3"/>
        <v>390000</v>
      </c>
      <c r="G62" s="419"/>
      <c r="H62" s="16">
        <f>F62-F61</f>
        <v>35000</v>
      </c>
      <c r="P62" s="613">
        <f>P60-P53</f>
        <v>2749460.1813906627</v>
      </c>
      <c r="Q62" s="410" t="s">
        <v>745</v>
      </c>
      <c r="R62" s="860" t="s">
        <v>747</v>
      </c>
    </row>
    <row r="63" spans="1:18" x14ac:dyDescent="0.25">
      <c r="A63">
        <v>250</v>
      </c>
      <c r="B63" s="502">
        <v>950000</v>
      </c>
      <c r="C63" s="862" t="s">
        <v>763</v>
      </c>
      <c r="D63" s="16">
        <v>340000</v>
      </c>
      <c r="E63" s="16">
        <v>85000</v>
      </c>
      <c r="F63" s="16">
        <f t="shared" si="3"/>
        <v>425000</v>
      </c>
      <c r="H63" s="16">
        <f>F63-F62</f>
        <v>35000</v>
      </c>
      <c r="P63" s="16"/>
    </row>
    <row r="64" spans="1:18" x14ac:dyDescent="0.25">
      <c r="A64">
        <v>150</v>
      </c>
      <c r="B64" s="502">
        <v>1100000</v>
      </c>
      <c r="C64" s="862" t="s">
        <v>764</v>
      </c>
      <c r="D64" s="848">
        <f>((D65-D63)/2)+D63</f>
        <v>350000</v>
      </c>
      <c r="E64" s="16">
        <v>85000</v>
      </c>
      <c r="F64" s="16">
        <f t="shared" si="3"/>
        <v>435000</v>
      </c>
      <c r="H64" s="16">
        <f>F64-F63</f>
        <v>10000</v>
      </c>
      <c r="P64" s="16">
        <f>252*'1819 Band Calculations'!G104</f>
        <v>5673213.1904601958</v>
      </c>
    </row>
    <row r="65" spans="1:19" x14ac:dyDescent="0.25">
      <c r="A65">
        <v>300</v>
      </c>
      <c r="B65" s="502">
        <v>1400000</v>
      </c>
      <c r="C65" s="862" t="s">
        <v>765</v>
      </c>
      <c r="D65" s="16">
        <v>360000</v>
      </c>
      <c r="E65" s="16">
        <v>85000</v>
      </c>
      <c r="F65" s="16">
        <f t="shared" si="3"/>
        <v>445000</v>
      </c>
      <c r="H65" s="16">
        <f>F65-F64</f>
        <v>10000</v>
      </c>
      <c r="P65" s="16">
        <f>F55</f>
        <v>750000</v>
      </c>
    </row>
    <row r="66" spans="1:19" x14ac:dyDescent="0.25">
      <c r="A66" s="21">
        <v>200</v>
      </c>
      <c r="B66" s="857">
        <v>1600000</v>
      </c>
      <c r="C66" s="862" t="s">
        <v>975</v>
      </c>
      <c r="D66" s="1546">
        <v>370000</v>
      </c>
      <c r="E66" s="16">
        <v>85000</v>
      </c>
      <c r="F66" s="346">
        <f t="shared" si="3"/>
        <v>455000</v>
      </c>
      <c r="G66" s="21"/>
      <c r="H66" s="16">
        <f>F66-F65</f>
        <v>10000</v>
      </c>
      <c r="P66" s="859">
        <f>SUM(P64:P65)</f>
        <v>6423213.1904601958</v>
      </c>
    </row>
    <row r="67" spans="1:19" x14ac:dyDescent="0.25">
      <c r="A67" s="21"/>
      <c r="B67" s="857"/>
      <c r="C67" s="344"/>
      <c r="D67" s="346"/>
      <c r="E67" s="346"/>
      <c r="F67" s="346"/>
      <c r="G67" s="21"/>
      <c r="H67" s="346"/>
      <c r="P67" s="16"/>
    </row>
    <row r="68" spans="1:19" x14ac:dyDescent="0.25">
      <c r="A68" s="21"/>
      <c r="B68" s="857"/>
      <c r="C68" s="344"/>
      <c r="D68" s="671"/>
      <c r="E68" s="671"/>
      <c r="F68" s="346"/>
      <c r="G68" s="21"/>
      <c r="H68" s="346"/>
      <c r="P68" s="613">
        <f>P66-P53</f>
        <v>1257213.1904601958</v>
      </c>
      <c r="Q68" s="410" t="s">
        <v>782</v>
      </c>
    </row>
    <row r="69" spans="1:19" x14ac:dyDescent="0.25">
      <c r="A69" s="21"/>
      <c r="B69" s="857"/>
      <c r="C69" s="344"/>
      <c r="D69" s="346"/>
      <c r="E69" s="346"/>
      <c r="F69" s="346"/>
      <c r="G69" s="21"/>
      <c r="H69" s="346"/>
      <c r="P69" s="16"/>
    </row>
    <row r="70" spans="1:19" ht="13" x14ac:dyDescent="0.3">
      <c r="A70" s="21"/>
      <c r="B70" s="857">
        <v>100000</v>
      </c>
      <c r="C70" s="344">
        <v>110000</v>
      </c>
      <c r="D70" s="671">
        <v>120000</v>
      </c>
      <c r="E70" s="671">
        <v>130000</v>
      </c>
      <c r="F70" s="346">
        <v>140000</v>
      </c>
      <c r="G70" s="21">
        <v>150000</v>
      </c>
      <c r="H70" s="346"/>
      <c r="I70" s="850"/>
      <c r="P70" s="16"/>
    </row>
    <row r="71" spans="1:19" x14ac:dyDescent="0.25">
      <c r="A71" s="21"/>
      <c r="B71" s="857"/>
      <c r="C71" s="344"/>
      <c r="D71" s="346"/>
      <c r="E71" s="346"/>
      <c r="F71" s="346"/>
      <c r="G71" s="21"/>
      <c r="H71" s="346"/>
      <c r="I71" s="81"/>
    </row>
    <row r="72" spans="1:19" ht="13" thickBot="1" x14ac:dyDescent="0.3">
      <c r="A72" s="866"/>
      <c r="B72" s="866"/>
      <c r="C72" s="866"/>
      <c r="D72" s="866"/>
      <c r="E72" s="866"/>
      <c r="F72" s="866"/>
      <c r="G72" s="866"/>
      <c r="H72" s="866"/>
      <c r="I72" s="867"/>
      <c r="J72" s="67"/>
      <c r="K72" s="67"/>
      <c r="L72" s="67"/>
      <c r="M72" s="67"/>
      <c r="N72" s="67"/>
      <c r="O72" s="67"/>
      <c r="P72" s="67"/>
      <c r="Q72" s="67"/>
      <c r="R72" s="67"/>
      <c r="S72" s="67"/>
    </row>
    <row r="73" spans="1:19" x14ac:dyDescent="0.25">
      <c r="A73" s="21"/>
      <c r="B73" s="21"/>
      <c r="C73" s="21"/>
      <c r="D73" s="21"/>
      <c r="E73" s="21"/>
      <c r="F73" s="21"/>
      <c r="G73" s="21"/>
      <c r="H73" s="21"/>
      <c r="I73" s="81"/>
    </row>
    <row r="74" spans="1:19" x14ac:dyDescent="0.25">
      <c r="A74" s="868" t="s">
        <v>781</v>
      </c>
      <c r="I74" s="81"/>
    </row>
    <row r="75" spans="1:19" x14ac:dyDescent="0.25">
      <c r="C75" s="672" t="s">
        <v>725</v>
      </c>
      <c r="D75" s="2"/>
      <c r="E75" s="672" t="s">
        <v>708</v>
      </c>
      <c r="F75" s="2"/>
    </row>
    <row r="76" spans="1:19" ht="13" x14ac:dyDescent="0.3">
      <c r="A76" s="544">
        <v>9257029</v>
      </c>
      <c r="B76" s="43" t="s">
        <v>84</v>
      </c>
      <c r="C76" s="16">
        <f>VLOOKUP(A76,$O$84:$R$103,4,(FALSE))</f>
        <v>581416.9152688859</v>
      </c>
      <c r="D76" s="2">
        <v>3</v>
      </c>
      <c r="E76" s="16">
        <f>VLOOKUP(A76,$O$84:$Q$103,3,(FALSE))</f>
        <v>603422.73477109475</v>
      </c>
      <c r="F76" s="2">
        <v>3.5</v>
      </c>
    </row>
    <row r="77" spans="1:19" x14ac:dyDescent="0.25">
      <c r="A77" s="544">
        <v>9257011</v>
      </c>
      <c r="B77" s="545" t="s">
        <v>70</v>
      </c>
      <c r="C77" s="16">
        <f t="shared" ref="C77:C93" si="4">VLOOKUP(A77,$O$84:$R$103,4,(FALSE))</f>
        <v>682103.85476892302</v>
      </c>
      <c r="D77" s="2">
        <v>3.5</v>
      </c>
      <c r="E77" s="16">
        <f t="shared" ref="E77:E93" si="5">VLOOKUP(A77,$O$84:$Q$103,3,(FALSE))</f>
        <v>639534.23828842421</v>
      </c>
      <c r="F77" s="2">
        <v>3.5</v>
      </c>
    </row>
    <row r="78" spans="1:19" x14ac:dyDescent="0.25">
      <c r="A78" s="544">
        <v>9257010</v>
      </c>
      <c r="B78" s="545" t="s">
        <v>67</v>
      </c>
      <c r="C78" s="16">
        <f t="shared" si="4"/>
        <v>726587.04228393221</v>
      </c>
      <c r="D78" s="2">
        <v>4</v>
      </c>
      <c r="E78" s="16">
        <f t="shared" si="5"/>
        <v>653063.35348139156</v>
      </c>
      <c r="F78" s="2">
        <v>3.5</v>
      </c>
      <c r="L78" s="848"/>
      <c r="M78" s="848"/>
      <c r="N78" s="848"/>
      <c r="O78" s="848"/>
      <c r="P78" s="848"/>
      <c r="Q78" s="612"/>
    </row>
    <row r="79" spans="1:19" ht="13" x14ac:dyDescent="0.3">
      <c r="A79" s="544">
        <v>9257032</v>
      </c>
      <c r="B79" s="43" t="s">
        <v>82</v>
      </c>
      <c r="C79" s="16">
        <f t="shared" si="4"/>
        <v>850119.55340112012</v>
      </c>
      <c r="D79" s="2">
        <v>3.5</v>
      </c>
      <c r="E79" s="16">
        <f t="shared" si="5"/>
        <v>833904.73903107154</v>
      </c>
      <c r="F79" s="2">
        <v>3.5</v>
      </c>
      <c r="L79" s="612"/>
      <c r="M79" s="612"/>
      <c r="N79" s="612"/>
      <c r="O79" s="612"/>
      <c r="P79" s="612"/>
      <c r="Q79" s="612"/>
    </row>
    <row r="80" spans="1:19" x14ac:dyDescent="0.25">
      <c r="A80" s="544">
        <v>9257025</v>
      </c>
      <c r="B80" s="545" t="s">
        <v>69</v>
      </c>
      <c r="C80" s="16">
        <f t="shared" si="4"/>
        <v>757407.11642919737</v>
      </c>
      <c r="D80" s="2">
        <v>4</v>
      </c>
      <c r="E80" s="16">
        <f t="shared" si="5"/>
        <v>719250.58663427574</v>
      </c>
      <c r="F80" s="2">
        <v>3.5</v>
      </c>
    </row>
    <row r="81" spans="1:19" x14ac:dyDescent="0.25">
      <c r="A81" s="544">
        <v>9257033</v>
      </c>
      <c r="B81" s="545" t="s">
        <v>72</v>
      </c>
      <c r="C81" s="16">
        <f t="shared" si="4"/>
        <v>901096.48328941432</v>
      </c>
      <c r="D81" s="2">
        <v>4</v>
      </c>
      <c r="E81" s="16">
        <f t="shared" si="5"/>
        <v>736956.2316865098</v>
      </c>
      <c r="F81" s="2">
        <v>3.5</v>
      </c>
    </row>
    <row r="82" spans="1:19" x14ac:dyDescent="0.25">
      <c r="A82" s="544">
        <v>9257024</v>
      </c>
      <c r="B82" s="545" t="s">
        <v>71</v>
      </c>
      <c r="C82" s="16">
        <f t="shared" si="4"/>
        <v>878743.7336704795</v>
      </c>
      <c r="D82" s="2">
        <v>4</v>
      </c>
      <c r="E82" s="16">
        <f t="shared" si="5"/>
        <v>754467.05864135828</v>
      </c>
      <c r="F82" s="2">
        <v>4</v>
      </c>
    </row>
    <row r="83" spans="1:19" ht="13" x14ac:dyDescent="0.3">
      <c r="A83" s="544">
        <v>9257030</v>
      </c>
      <c r="B83" s="43" t="s">
        <v>83</v>
      </c>
      <c r="C83" s="16">
        <f t="shared" si="4"/>
        <v>972888.86220291676</v>
      </c>
      <c r="D83" s="2">
        <v>4</v>
      </c>
      <c r="E83" s="16">
        <f t="shared" si="5"/>
        <v>943933.83654211555</v>
      </c>
      <c r="F83" s="2">
        <v>4</v>
      </c>
      <c r="Q83" s="672" t="s">
        <v>708</v>
      </c>
      <c r="R83" s="672" t="s">
        <v>725</v>
      </c>
    </row>
    <row r="84" spans="1:19" ht="13" x14ac:dyDescent="0.3">
      <c r="A84" s="544">
        <v>9257031</v>
      </c>
      <c r="B84" s="43" t="s">
        <v>81</v>
      </c>
      <c r="C84" s="16">
        <f t="shared" si="4"/>
        <v>989103.67657296546</v>
      </c>
      <c r="D84" s="2">
        <v>4</v>
      </c>
      <c r="E84" s="16">
        <f t="shared" si="5"/>
        <v>961306.85193859623</v>
      </c>
      <c r="F84" s="2">
        <v>4</v>
      </c>
      <c r="L84" s="536">
        <v>9257010</v>
      </c>
      <c r="M84" s="418">
        <v>709118.96272024023</v>
      </c>
      <c r="N84" s="418"/>
      <c r="O84" s="536">
        <v>9257010</v>
      </c>
      <c r="P84" s="418">
        <v>637362.87720688258</v>
      </c>
      <c r="Q84" s="418">
        <v>653063.35348139156</v>
      </c>
      <c r="R84" s="418">
        <v>726587.04228393221</v>
      </c>
      <c r="S84" s="19"/>
    </row>
    <row r="85" spans="1:19" x14ac:dyDescent="0.25">
      <c r="A85" s="544">
        <v>9257008</v>
      </c>
      <c r="B85" s="545" t="s">
        <v>73</v>
      </c>
      <c r="C85" s="16">
        <f t="shared" si="4"/>
        <v>867278.07928279345</v>
      </c>
      <c r="D85" s="2">
        <v>4</v>
      </c>
      <c r="E85" s="16">
        <f t="shared" si="5"/>
        <v>840054.10369992536</v>
      </c>
      <c r="F85" s="2">
        <v>4</v>
      </c>
      <c r="L85" s="536">
        <v>9257005</v>
      </c>
      <c r="M85" s="418">
        <v>849621.58188459184</v>
      </c>
      <c r="N85" s="418"/>
      <c r="O85" s="536">
        <v>9257005</v>
      </c>
      <c r="P85" s="418">
        <v>895601.1027865815</v>
      </c>
      <c r="Q85" s="418">
        <v>937691.95577488269</v>
      </c>
      <c r="R85" s="418">
        <v>889551.52054536866</v>
      </c>
      <c r="S85" s="19"/>
    </row>
    <row r="86" spans="1:19" x14ac:dyDescent="0.25">
      <c r="A86" s="544">
        <v>9257009</v>
      </c>
      <c r="B86" s="545" t="s">
        <v>76</v>
      </c>
      <c r="C86" s="16">
        <f t="shared" si="4"/>
        <v>944480.87797612452</v>
      </c>
      <c r="D86" s="2">
        <v>4.5</v>
      </c>
      <c r="E86" s="16">
        <f t="shared" si="5"/>
        <v>924704.31136875646</v>
      </c>
      <c r="F86" s="2">
        <v>4</v>
      </c>
      <c r="H86" s="612" t="s">
        <v>733</v>
      </c>
      <c r="L86" s="536">
        <v>9257025</v>
      </c>
      <c r="M86" s="418">
        <v>716347.44280782714</v>
      </c>
      <c r="N86" s="418"/>
      <c r="O86" s="536">
        <v>9257025</v>
      </c>
      <c r="P86" s="418">
        <v>680259.41042456124</v>
      </c>
      <c r="Q86" s="418">
        <v>719250.58663427574</v>
      </c>
      <c r="R86" s="418">
        <v>757407.11642919737</v>
      </c>
      <c r="S86" s="19"/>
    </row>
    <row r="87" spans="1:19" x14ac:dyDescent="0.25">
      <c r="A87" s="544">
        <v>9257005</v>
      </c>
      <c r="B87" s="545" t="s">
        <v>68</v>
      </c>
      <c r="C87" s="16">
        <f t="shared" si="4"/>
        <v>889551.52054536866</v>
      </c>
      <c r="D87" s="2">
        <v>4</v>
      </c>
      <c r="E87" s="16">
        <f t="shared" si="5"/>
        <v>937691.95577488269</v>
      </c>
      <c r="F87" s="2">
        <v>4</v>
      </c>
      <c r="H87" s="848">
        <v>188370</v>
      </c>
      <c r="I87" s="16">
        <f>E87+H87</f>
        <v>1126061.9557748828</v>
      </c>
      <c r="J87" s="2">
        <v>5</v>
      </c>
      <c r="L87" s="536">
        <v>9257011</v>
      </c>
      <c r="M87" s="418">
        <v>660746.5151957355</v>
      </c>
      <c r="N87" s="418"/>
      <c r="O87" s="536">
        <v>9257011</v>
      </c>
      <c r="P87" s="418">
        <v>619509.79508918023</v>
      </c>
      <c r="Q87" s="418">
        <v>639534.23828842421</v>
      </c>
      <c r="R87" s="418">
        <v>682103.85476892302</v>
      </c>
      <c r="S87" s="19"/>
    </row>
    <row r="88" spans="1:19" x14ac:dyDescent="0.25">
      <c r="A88" s="544">
        <v>9257028</v>
      </c>
      <c r="B88" s="545" t="s">
        <v>77</v>
      </c>
      <c r="C88" s="16">
        <f t="shared" si="4"/>
        <v>1039306.0084437662</v>
      </c>
      <c r="D88" s="2">
        <v>4.5</v>
      </c>
      <c r="E88" s="16">
        <f t="shared" si="5"/>
        <v>983570.35499410029</v>
      </c>
      <c r="F88" s="2">
        <v>4.5</v>
      </c>
      <c r="L88" s="536">
        <v>9257024</v>
      </c>
      <c r="M88" s="418">
        <v>849147.17444463656</v>
      </c>
      <c r="N88" s="418"/>
      <c r="O88" s="536">
        <v>9257024</v>
      </c>
      <c r="P88" s="418">
        <v>729056.20433943742</v>
      </c>
      <c r="Q88" s="418">
        <v>754467.05864135828</v>
      </c>
      <c r="R88" s="418">
        <v>878743.7336704795</v>
      </c>
      <c r="S88" s="19"/>
    </row>
    <row r="89" spans="1:19" x14ac:dyDescent="0.25">
      <c r="A89" s="544">
        <v>9257034</v>
      </c>
      <c r="B89" s="545" t="s">
        <v>74</v>
      </c>
      <c r="C89" s="16">
        <f t="shared" si="4"/>
        <v>1083854.947967215</v>
      </c>
      <c r="D89" s="2">
        <v>4.5</v>
      </c>
      <c r="E89" s="16">
        <f t="shared" si="5"/>
        <v>1137250.7431979529</v>
      </c>
      <c r="F89" s="2">
        <v>4.5</v>
      </c>
      <c r="L89" s="536">
        <v>9257008</v>
      </c>
      <c r="M89" s="418">
        <v>826501.5903191804</v>
      </c>
      <c r="N89" s="418"/>
      <c r="O89" s="536">
        <v>9257008</v>
      </c>
      <c r="P89" s="418">
        <v>800557.59421050642</v>
      </c>
      <c r="Q89" s="418">
        <v>840054.10369992536</v>
      </c>
      <c r="R89" s="418">
        <v>867278.07928279345</v>
      </c>
      <c r="S89" s="19"/>
    </row>
    <row r="90" spans="1:19" x14ac:dyDescent="0.25">
      <c r="A90" s="544">
        <v>9257002</v>
      </c>
      <c r="B90" s="545" t="s">
        <v>75</v>
      </c>
      <c r="C90" s="16">
        <f t="shared" si="4"/>
        <v>1257019.3371475358</v>
      </c>
      <c r="D90" s="2">
        <v>5</v>
      </c>
      <c r="E90" s="16">
        <f t="shared" si="5"/>
        <v>1184583.4149254134</v>
      </c>
      <c r="F90" s="2">
        <v>5</v>
      </c>
      <c r="L90" s="536">
        <v>9257002</v>
      </c>
      <c r="M90" s="418">
        <v>1172340.7669869612</v>
      </c>
      <c r="N90" s="418"/>
      <c r="O90" s="536">
        <v>9257002</v>
      </c>
      <c r="P90" s="418">
        <v>1104784.459692602</v>
      </c>
      <c r="Q90" s="418">
        <v>1184583.4149254134</v>
      </c>
      <c r="R90" s="418">
        <v>1257019.3371475358</v>
      </c>
      <c r="S90" s="19"/>
    </row>
    <row r="91" spans="1:19" x14ac:dyDescent="0.25">
      <c r="A91" s="544">
        <v>9257021</v>
      </c>
      <c r="B91" s="545" t="s">
        <v>78</v>
      </c>
      <c r="C91" s="16">
        <f t="shared" si="4"/>
        <v>1489872.6774959087</v>
      </c>
      <c r="D91" s="2">
        <v>5.5</v>
      </c>
      <c r="E91" s="16">
        <f t="shared" si="5"/>
        <v>1503533.8617016419</v>
      </c>
      <c r="F91" s="2">
        <v>6</v>
      </c>
      <c r="L91" s="536">
        <v>9257009</v>
      </c>
      <c r="M91" s="418">
        <v>902898.55986347911</v>
      </c>
      <c r="N91" s="418"/>
      <c r="O91" s="536">
        <v>9257009</v>
      </c>
      <c r="P91" s="418">
        <v>883992.68900339352</v>
      </c>
      <c r="Q91" s="418">
        <v>924704.31136875646</v>
      </c>
      <c r="R91" s="418">
        <v>944480.87797612452</v>
      </c>
      <c r="S91" s="19"/>
    </row>
    <row r="92" spans="1:19" x14ac:dyDescent="0.25">
      <c r="A92" s="544">
        <v>9257016</v>
      </c>
      <c r="B92" s="545" t="s">
        <v>80</v>
      </c>
      <c r="C92" s="16">
        <f t="shared" si="4"/>
        <v>1943937.3602233136</v>
      </c>
      <c r="D92" s="2">
        <v>6</v>
      </c>
      <c r="E92" s="16">
        <f t="shared" si="5"/>
        <v>2023513.7433903497</v>
      </c>
      <c r="F92" s="2">
        <v>6.5</v>
      </c>
      <c r="L92" s="536">
        <v>9257028</v>
      </c>
      <c r="M92" s="418">
        <v>1008463.5165552463</v>
      </c>
      <c r="N92" s="418"/>
      <c r="O92" s="536">
        <v>9257028</v>
      </c>
      <c r="P92" s="418">
        <v>954381.8768661638</v>
      </c>
      <c r="Q92" s="418">
        <v>983570.35499410029</v>
      </c>
      <c r="R92" s="418">
        <v>1039306.0084437662</v>
      </c>
      <c r="S92" s="19"/>
    </row>
    <row r="93" spans="1:19" x14ac:dyDescent="0.25">
      <c r="A93" s="552">
        <v>9257015</v>
      </c>
      <c r="B93" s="545" t="s">
        <v>55</v>
      </c>
      <c r="C93" s="16">
        <f t="shared" si="4"/>
        <v>2175711.2592479717</v>
      </c>
      <c r="D93" s="2">
        <v>6.5</v>
      </c>
      <c r="E93" s="16">
        <f t="shared" si="5"/>
        <v>2363573.8780183787</v>
      </c>
      <c r="F93" s="2">
        <v>7</v>
      </c>
      <c r="L93" s="536">
        <v>9257021</v>
      </c>
      <c r="M93" s="418">
        <v>1418720.4265163103</v>
      </c>
      <c r="N93" s="418"/>
      <c r="O93" s="536">
        <v>9257021</v>
      </c>
      <c r="P93" s="418">
        <v>1431729.1898662441</v>
      </c>
      <c r="Q93" s="418">
        <v>1503533.8617016419</v>
      </c>
      <c r="R93" s="418">
        <v>1489872.6774959087</v>
      </c>
      <c r="S93" s="19"/>
    </row>
    <row r="94" spans="1:19" x14ac:dyDescent="0.25">
      <c r="L94" s="536">
        <v>9257015</v>
      </c>
      <c r="M94" s="418">
        <v>2123363.4869011724</v>
      </c>
      <c r="N94" s="418"/>
      <c r="O94" s="536">
        <v>9257015</v>
      </c>
      <c r="P94" s="418">
        <v>2306706.1172962538</v>
      </c>
      <c r="Q94" s="418">
        <v>2363573.8780183787</v>
      </c>
      <c r="R94" s="418">
        <v>2175711.2592479717</v>
      </c>
      <c r="S94" s="19"/>
    </row>
    <row r="95" spans="1:19" x14ac:dyDescent="0.25">
      <c r="L95" s="536">
        <v>9257016</v>
      </c>
      <c r="M95" s="418">
        <v>1889322.8756522837</v>
      </c>
      <c r="N95" s="418"/>
      <c r="O95" s="536">
        <v>9257016</v>
      </c>
      <c r="P95" s="418">
        <v>1966663.5781643654</v>
      </c>
      <c r="Q95" s="418">
        <v>2023513.7433903497</v>
      </c>
      <c r="R95" s="418">
        <v>1943937.3602233136</v>
      </c>
      <c r="S95" s="19"/>
    </row>
    <row r="96" spans="1:19" x14ac:dyDescent="0.25">
      <c r="L96" s="536"/>
      <c r="M96" s="418"/>
      <c r="N96" s="418"/>
      <c r="O96" s="536"/>
      <c r="P96" s="418"/>
      <c r="Q96" s="418"/>
      <c r="R96" s="418"/>
      <c r="S96" s="19"/>
    </row>
    <row r="97" spans="12:19" x14ac:dyDescent="0.25">
      <c r="L97" s="536">
        <v>9257031</v>
      </c>
      <c r="M97" s="418">
        <v>801579.50990629871</v>
      </c>
      <c r="N97" s="418"/>
      <c r="O97" s="536">
        <v>9257031</v>
      </c>
      <c r="P97" s="418">
        <v>779052.6852719296</v>
      </c>
      <c r="Q97" s="418">
        <v>961306.85193859623</v>
      </c>
      <c r="R97" s="418">
        <v>989103.67657296546</v>
      </c>
      <c r="S97" s="19"/>
    </row>
    <row r="98" spans="12:19" x14ac:dyDescent="0.25">
      <c r="L98" s="536">
        <v>9257029</v>
      </c>
      <c r="M98" s="418">
        <v>471186.08193555265</v>
      </c>
      <c r="N98" s="418"/>
      <c r="O98" s="536">
        <v>9257029</v>
      </c>
      <c r="P98" s="418">
        <v>489019.81810442812</v>
      </c>
      <c r="Q98" s="418">
        <v>603422.73477109475</v>
      </c>
      <c r="R98" s="418">
        <v>581416.9152688859</v>
      </c>
      <c r="S98" s="19"/>
    </row>
    <row r="99" spans="12:19" x14ac:dyDescent="0.25">
      <c r="L99" s="536">
        <v>9257032</v>
      </c>
      <c r="M99" s="418">
        <v>688945.3867344535</v>
      </c>
      <c r="N99" s="418"/>
      <c r="O99" s="536">
        <v>9257032</v>
      </c>
      <c r="P99" s="418">
        <v>675804.73903107154</v>
      </c>
      <c r="Q99" s="418">
        <v>833904.73903107154</v>
      </c>
      <c r="R99" s="418">
        <v>850119.55340112012</v>
      </c>
      <c r="S99" s="19"/>
    </row>
    <row r="100" spans="12:19" x14ac:dyDescent="0.25">
      <c r="L100" s="536">
        <v>9257030</v>
      </c>
      <c r="M100" s="418">
        <v>788438.86220291676</v>
      </c>
      <c r="N100" s="418"/>
      <c r="O100" s="536">
        <v>9257030</v>
      </c>
      <c r="P100" s="418">
        <v>764973.41987544904</v>
      </c>
      <c r="Q100" s="418">
        <v>943933.83654211555</v>
      </c>
      <c r="R100" s="418">
        <v>972888.86220291676</v>
      </c>
      <c r="S100" s="19"/>
    </row>
    <row r="101" spans="12:19" x14ac:dyDescent="0.25">
      <c r="L101" s="536"/>
      <c r="M101" s="418"/>
      <c r="N101" s="418"/>
      <c r="O101" s="536"/>
      <c r="P101" s="418"/>
      <c r="Q101" s="418"/>
      <c r="R101" s="418"/>
      <c r="S101" s="19"/>
    </row>
    <row r="102" spans="12:19" x14ac:dyDescent="0.25">
      <c r="L102" s="536">
        <v>9257033</v>
      </c>
      <c r="M102" s="418">
        <v>834608.52674067696</v>
      </c>
      <c r="N102" s="418"/>
      <c r="O102" s="536">
        <v>9257033</v>
      </c>
      <c r="P102" s="418">
        <v>682579.46424888074</v>
      </c>
      <c r="Q102" s="418">
        <v>736956.2316865098</v>
      </c>
      <c r="R102" s="418">
        <v>901096.48328941432</v>
      </c>
      <c r="S102" s="19"/>
    </row>
    <row r="103" spans="12:19" x14ac:dyDescent="0.25">
      <c r="L103" s="536">
        <v>9257034</v>
      </c>
      <c r="M103" s="418">
        <v>999212.12772013131</v>
      </c>
      <c r="N103" s="418"/>
      <c r="O103" s="536">
        <v>9257034</v>
      </c>
      <c r="P103" s="418">
        <v>1048438.0193063436</v>
      </c>
      <c r="Q103" s="418">
        <v>1137250.7431979529</v>
      </c>
      <c r="R103" s="418">
        <v>1083854.947967215</v>
      </c>
      <c r="S103" s="19"/>
    </row>
    <row r="104" spans="12:19" x14ac:dyDescent="0.25">
      <c r="L104" s="19"/>
      <c r="M104" s="19"/>
      <c r="N104" s="19"/>
      <c r="O104" s="19"/>
      <c r="P104" s="19"/>
      <c r="Q104" s="19"/>
      <c r="R104" s="19"/>
      <c r="S104" s="19"/>
    </row>
  </sheetData>
  <sortState ref="A62:E79">
    <sortCondition ref="E62:E79"/>
  </sortState>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W33"/>
  <sheetViews>
    <sheetView workbookViewId="0">
      <selection activeCell="H27" sqref="H27"/>
    </sheetView>
  </sheetViews>
  <sheetFormatPr defaultRowHeight="12.5" x14ac:dyDescent="0.25"/>
  <cols>
    <col min="2" max="2" width="39.453125" bestFit="1" customWidth="1"/>
    <col min="3" max="3" width="23.1796875" bestFit="1" customWidth="1"/>
    <col min="4" max="4" width="14.7265625" customWidth="1"/>
  </cols>
  <sheetData>
    <row r="2" spans="1:23" ht="13" thickBot="1" x14ac:dyDescent="0.3"/>
    <row r="3" spans="1:23" ht="69" x14ac:dyDescent="0.25">
      <c r="A3" s="349" t="s">
        <v>405</v>
      </c>
      <c r="B3" s="350" t="s">
        <v>406</v>
      </c>
      <c r="C3" s="351" t="s">
        <v>1318</v>
      </c>
      <c r="D3" s="351" t="s">
        <v>408</v>
      </c>
      <c r="F3" s="1585"/>
      <c r="G3" s="2023" t="s">
        <v>440</v>
      </c>
      <c r="H3" s="2023"/>
      <c r="I3" s="2023"/>
      <c r="J3" s="2023"/>
      <c r="K3" s="2023"/>
      <c r="L3" s="2023"/>
      <c r="M3" s="2023"/>
      <c r="N3" s="2023" t="s">
        <v>1299</v>
      </c>
      <c r="O3" s="2023"/>
      <c r="P3" s="1585" t="s">
        <v>1300</v>
      </c>
      <c r="Q3" s="1585" t="s">
        <v>1301</v>
      </c>
      <c r="R3" s="1586" t="s">
        <v>1302</v>
      </c>
      <c r="S3" s="1585" t="s">
        <v>1303</v>
      </c>
      <c r="T3" s="1587"/>
      <c r="U3" s="1585" t="s">
        <v>1304</v>
      </c>
      <c r="V3" s="1585" t="s">
        <v>1305</v>
      </c>
      <c r="W3" s="1585" t="s">
        <v>1306</v>
      </c>
    </row>
    <row r="4" spans="1:23" x14ac:dyDescent="0.25">
      <c r="A4" s="364">
        <v>9257002</v>
      </c>
      <c r="B4" s="352" t="s">
        <v>409</v>
      </c>
      <c r="C4" s="957">
        <f>R4</f>
        <v>42</v>
      </c>
      <c r="D4" s="354">
        <f>($C$24*$C$25)*C4</f>
        <v>18851.7</v>
      </c>
      <c r="F4" s="1588">
        <v>9257002</v>
      </c>
      <c r="G4" s="2022" t="s">
        <v>1307</v>
      </c>
      <c r="H4" s="2022"/>
      <c r="I4" s="2022"/>
      <c r="J4" s="2022"/>
      <c r="K4" s="2022"/>
      <c r="L4" s="2022"/>
      <c r="M4" s="2022"/>
      <c r="N4" s="2022" t="s">
        <v>1308</v>
      </c>
      <c r="O4" s="2022"/>
      <c r="P4" s="1589">
        <v>151</v>
      </c>
      <c r="Q4" s="1589">
        <v>61</v>
      </c>
      <c r="R4" s="1590">
        <v>42</v>
      </c>
      <c r="S4" s="1591">
        <v>0.40397350993377501</v>
      </c>
      <c r="T4" s="1592"/>
      <c r="U4" s="1589">
        <v>151</v>
      </c>
      <c r="V4" s="1589">
        <v>61</v>
      </c>
      <c r="W4" s="1591">
        <v>0.40397350993377501</v>
      </c>
    </row>
    <row r="5" spans="1:23" x14ac:dyDescent="0.25">
      <c r="A5" s="364">
        <v>9257005</v>
      </c>
      <c r="B5" s="352" t="s">
        <v>410</v>
      </c>
      <c r="C5" s="957">
        <f t="shared" ref="C5:C21" si="0">R5</f>
        <v>23</v>
      </c>
      <c r="D5" s="354">
        <f t="shared" ref="D5:D21" si="1">($C$24*$C$25)*C5</f>
        <v>10323.550000000001</v>
      </c>
      <c r="F5" s="1588">
        <v>9257005</v>
      </c>
      <c r="G5" s="2022" t="s">
        <v>774</v>
      </c>
      <c r="H5" s="2022"/>
      <c r="I5" s="2022"/>
      <c r="J5" s="2022"/>
      <c r="K5" s="2022"/>
      <c r="L5" s="2022"/>
      <c r="M5" s="2022"/>
      <c r="N5" s="2022" t="s">
        <v>1308</v>
      </c>
      <c r="O5" s="2022"/>
      <c r="P5" s="1593">
        <v>86</v>
      </c>
      <c r="Q5" s="1593">
        <v>32</v>
      </c>
      <c r="R5" s="1590">
        <v>23</v>
      </c>
      <c r="S5" s="1591">
        <v>0.372093023255814</v>
      </c>
      <c r="T5" s="1592"/>
      <c r="U5" s="1593">
        <v>57</v>
      </c>
      <c r="V5" s="1593">
        <v>20</v>
      </c>
      <c r="W5" s="1591">
        <v>0.35087719298245601</v>
      </c>
    </row>
    <row r="6" spans="1:23" x14ac:dyDescent="0.25">
      <c r="A6" s="364">
        <v>9257008</v>
      </c>
      <c r="B6" s="352" t="s">
        <v>87</v>
      </c>
      <c r="C6" s="957">
        <f t="shared" si="0"/>
        <v>32</v>
      </c>
      <c r="D6" s="354">
        <f t="shared" si="1"/>
        <v>14363.2</v>
      </c>
      <c r="F6" s="1588">
        <v>9257008</v>
      </c>
      <c r="G6" s="2022" t="s">
        <v>1309</v>
      </c>
      <c r="H6" s="2022"/>
      <c r="I6" s="2022"/>
      <c r="J6" s="2022"/>
      <c r="K6" s="2022"/>
      <c r="L6" s="2022"/>
      <c r="M6" s="2022"/>
      <c r="N6" s="2022" t="s">
        <v>1308</v>
      </c>
      <c r="O6" s="2022"/>
      <c r="P6" s="1589">
        <v>99</v>
      </c>
      <c r="Q6" s="1589">
        <v>41</v>
      </c>
      <c r="R6" s="1590">
        <v>32</v>
      </c>
      <c r="S6" s="1591">
        <v>0.41414141414141398</v>
      </c>
      <c r="T6" s="1592"/>
      <c r="U6" s="1589">
        <v>99</v>
      </c>
      <c r="V6" s="1589">
        <v>41</v>
      </c>
      <c r="W6" s="1591">
        <v>0.41414141414141398</v>
      </c>
    </row>
    <row r="7" spans="1:23" x14ac:dyDescent="0.25">
      <c r="A7" s="364">
        <v>9257009</v>
      </c>
      <c r="B7" s="352" t="s">
        <v>411</v>
      </c>
      <c r="C7" s="957">
        <f t="shared" si="0"/>
        <v>50</v>
      </c>
      <c r="D7" s="354">
        <f t="shared" si="1"/>
        <v>22442.5</v>
      </c>
      <c r="F7" s="1588">
        <v>9257009</v>
      </c>
      <c r="G7" s="2022" t="s">
        <v>1310</v>
      </c>
      <c r="H7" s="2022"/>
      <c r="I7" s="2022"/>
      <c r="J7" s="2022"/>
      <c r="K7" s="2022"/>
      <c r="L7" s="2022"/>
      <c r="M7" s="2022"/>
      <c r="N7" s="2022" t="s">
        <v>1308</v>
      </c>
      <c r="O7" s="2022"/>
      <c r="P7" s="1593">
        <v>135</v>
      </c>
      <c r="Q7" s="1593">
        <v>52</v>
      </c>
      <c r="R7" s="1590">
        <v>50</v>
      </c>
      <c r="S7" s="1591">
        <v>0.38518518518518502</v>
      </c>
      <c r="T7" s="1592"/>
      <c r="U7" s="1593">
        <v>135</v>
      </c>
      <c r="V7" s="1593">
        <v>52</v>
      </c>
      <c r="W7" s="1591">
        <v>0.38518518518518502</v>
      </c>
    </row>
    <row r="8" spans="1:23" x14ac:dyDescent="0.25">
      <c r="A8" s="364">
        <v>9257010</v>
      </c>
      <c r="B8" s="352" t="s">
        <v>412</v>
      </c>
      <c r="C8" s="957">
        <f t="shared" si="0"/>
        <v>17</v>
      </c>
      <c r="D8" s="354">
        <f t="shared" si="1"/>
        <v>7630.4500000000007</v>
      </c>
      <c r="F8" s="1588">
        <v>9257010</v>
      </c>
      <c r="G8" s="2022" t="s">
        <v>1311</v>
      </c>
      <c r="H8" s="2022"/>
      <c r="I8" s="2022"/>
      <c r="J8" s="2022"/>
      <c r="K8" s="2022"/>
      <c r="L8" s="2022"/>
      <c r="M8" s="2022"/>
      <c r="N8" s="2022" t="s">
        <v>1308</v>
      </c>
      <c r="O8" s="2022"/>
      <c r="P8" s="1589">
        <v>65</v>
      </c>
      <c r="Q8" s="1589">
        <v>27</v>
      </c>
      <c r="R8" s="1590">
        <v>17</v>
      </c>
      <c r="S8" s="1591">
        <v>0.41538461538461502</v>
      </c>
      <c r="T8" s="1592"/>
      <c r="U8" s="1589">
        <v>55</v>
      </c>
      <c r="V8" s="1589">
        <v>20</v>
      </c>
      <c r="W8" s="1591">
        <v>0.36363636363636398</v>
      </c>
    </row>
    <row r="9" spans="1:23" x14ac:dyDescent="0.25">
      <c r="A9" s="364">
        <v>9257011</v>
      </c>
      <c r="B9" s="352" t="s">
        <v>413</v>
      </c>
      <c r="C9" s="957">
        <f t="shared" si="0"/>
        <v>24</v>
      </c>
      <c r="D9" s="354">
        <f t="shared" si="1"/>
        <v>10772.400000000001</v>
      </c>
      <c r="F9" s="1588">
        <v>9257011</v>
      </c>
      <c r="G9" s="2022" t="s">
        <v>1312</v>
      </c>
      <c r="H9" s="2022"/>
      <c r="I9" s="2022"/>
      <c r="J9" s="2022"/>
      <c r="K9" s="2022"/>
      <c r="L9" s="2022"/>
      <c r="M9" s="2022"/>
      <c r="N9" s="2022" t="s">
        <v>1308</v>
      </c>
      <c r="O9" s="2022"/>
      <c r="P9" s="1593">
        <v>58</v>
      </c>
      <c r="Q9" s="1593">
        <v>24</v>
      </c>
      <c r="R9" s="1594">
        <v>24</v>
      </c>
      <c r="S9" s="1591">
        <v>0.41379310344827602</v>
      </c>
      <c r="T9" s="1592"/>
      <c r="U9" s="1593">
        <v>48</v>
      </c>
      <c r="V9" s="1593">
        <v>21</v>
      </c>
      <c r="W9" s="1595">
        <v>0.4375</v>
      </c>
    </row>
    <row r="10" spans="1:23" x14ac:dyDescent="0.25">
      <c r="A10" s="364">
        <v>9257015</v>
      </c>
      <c r="B10" s="352" t="s">
        <v>414</v>
      </c>
      <c r="C10" s="957">
        <f t="shared" si="0"/>
        <v>48</v>
      </c>
      <c r="D10" s="354">
        <f t="shared" si="1"/>
        <v>21544.800000000003</v>
      </c>
      <c r="F10" s="1588">
        <v>9257015</v>
      </c>
      <c r="G10" s="2022" t="s">
        <v>55</v>
      </c>
      <c r="H10" s="2022"/>
      <c r="I10" s="2022"/>
      <c r="J10" s="2022"/>
      <c r="K10" s="2022"/>
      <c r="L10" s="2022"/>
      <c r="M10" s="2022"/>
      <c r="N10" s="2022" t="s">
        <v>1308</v>
      </c>
      <c r="O10" s="2022"/>
      <c r="P10" s="1593">
        <v>226</v>
      </c>
      <c r="Q10" s="1593">
        <v>94</v>
      </c>
      <c r="R10" s="1594">
        <v>48</v>
      </c>
      <c r="S10" s="1591">
        <v>0.41592920353982299</v>
      </c>
      <c r="T10" s="1592"/>
      <c r="U10" s="1593">
        <v>221</v>
      </c>
      <c r="V10" s="1593">
        <v>91</v>
      </c>
      <c r="W10" s="1591">
        <v>0.41176470588235298</v>
      </c>
    </row>
    <row r="11" spans="1:23" x14ac:dyDescent="0.25">
      <c r="A11" s="364">
        <v>9257016</v>
      </c>
      <c r="B11" s="352" t="s">
        <v>415</v>
      </c>
      <c r="C11" s="957">
        <f t="shared" si="0"/>
        <v>48</v>
      </c>
      <c r="D11" s="354">
        <f t="shared" si="1"/>
        <v>21544.800000000003</v>
      </c>
      <c r="F11" s="1588">
        <v>9257016</v>
      </c>
      <c r="G11" s="2022" t="s">
        <v>1313</v>
      </c>
      <c r="H11" s="2022"/>
      <c r="I11" s="2022"/>
      <c r="J11" s="2022"/>
      <c r="K11" s="2022"/>
      <c r="L11" s="2022"/>
      <c r="M11" s="2022"/>
      <c r="N11" s="2022" t="s">
        <v>1308</v>
      </c>
      <c r="O11" s="2022"/>
      <c r="P11" s="1589">
        <v>160</v>
      </c>
      <c r="Q11" s="1589">
        <v>67</v>
      </c>
      <c r="R11" s="1590">
        <v>48</v>
      </c>
      <c r="S11" s="1591">
        <v>0.41875000000000001</v>
      </c>
      <c r="T11" s="1592"/>
      <c r="U11" s="1589">
        <v>99</v>
      </c>
      <c r="V11" s="1589">
        <v>36</v>
      </c>
      <c r="W11" s="1591">
        <v>0.36363636363636398</v>
      </c>
    </row>
    <row r="12" spans="1:23" x14ac:dyDescent="0.25">
      <c r="A12" s="364">
        <v>9257021</v>
      </c>
      <c r="B12" s="352" t="s">
        <v>416</v>
      </c>
      <c r="C12" s="957">
        <f t="shared" si="0"/>
        <v>57</v>
      </c>
      <c r="D12" s="354">
        <f t="shared" si="1"/>
        <v>25584.45</v>
      </c>
      <c r="F12" s="1588">
        <v>9257021</v>
      </c>
      <c r="G12" s="2022" t="s">
        <v>778</v>
      </c>
      <c r="H12" s="2022"/>
      <c r="I12" s="2022"/>
      <c r="J12" s="2022"/>
      <c r="K12" s="2022"/>
      <c r="L12" s="2022"/>
      <c r="M12" s="2022"/>
      <c r="N12" s="2022" t="s">
        <v>1308</v>
      </c>
      <c r="O12" s="2022"/>
      <c r="P12" s="1593">
        <v>169</v>
      </c>
      <c r="Q12" s="1593">
        <v>83</v>
      </c>
      <c r="R12" s="1596">
        <v>57</v>
      </c>
      <c r="S12" s="1595">
        <v>0.49112426035502998</v>
      </c>
      <c r="T12" s="1592"/>
      <c r="U12" s="1593">
        <v>169</v>
      </c>
      <c r="V12" s="1593">
        <v>83</v>
      </c>
      <c r="W12" s="1595">
        <v>0.49112426035502998</v>
      </c>
    </row>
    <row r="13" spans="1:23" x14ac:dyDescent="0.25">
      <c r="A13" s="364">
        <v>9257024</v>
      </c>
      <c r="B13" s="352" t="s">
        <v>417</v>
      </c>
      <c r="C13" s="957">
        <f t="shared" si="0"/>
        <v>22</v>
      </c>
      <c r="D13" s="354">
        <f t="shared" si="1"/>
        <v>9874.7000000000007</v>
      </c>
      <c r="F13" s="1588">
        <v>9257024</v>
      </c>
      <c r="G13" s="2022" t="s">
        <v>417</v>
      </c>
      <c r="H13" s="2022"/>
      <c r="I13" s="2022"/>
      <c r="J13" s="2022"/>
      <c r="K13" s="2022"/>
      <c r="L13" s="2022"/>
      <c r="M13" s="2022"/>
      <c r="N13" s="2022" t="s">
        <v>1308</v>
      </c>
      <c r="O13" s="2022"/>
      <c r="P13" s="1589">
        <v>84</v>
      </c>
      <c r="Q13" s="1589">
        <v>31</v>
      </c>
      <c r="R13" s="1594">
        <v>22</v>
      </c>
      <c r="S13" s="1591">
        <v>0.36904761904761901</v>
      </c>
      <c r="T13" s="1592"/>
      <c r="U13" s="1589">
        <v>70</v>
      </c>
      <c r="V13" s="1589">
        <v>27</v>
      </c>
      <c r="W13" s="1591">
        <v>0.38571428571428601</v>
      </c>
    </row>
    <row r="14" spans="1:23" x14ac:dyDescent="0.25">
      <c r="A14" s="364">
        <v>9257025</v>
      </c>
      <c r="B14" s="352" t="s">
        <v>418</v>
      </c>
      <c r="C14" s="957">
        <f t="shared" si="0"/>
        <v>21</v>
      </c>
      <c r="D14" s="354">
        <f t="shared" si="1"/>
        <v>9425.85</v>
      </c>
      <c r="F14" s="1588">
        <v>9257025</v>
      </c>
      <c r="G14" s="2022" t="s">
        <v>1314</v>
      </c>
      <c r="H14" s="2022"/>
      <c r="I14" s="2022"/>
      <c r="J14" s="2022"/>
      <c r="K14" s="2022"/>
      <c r="L14" s="2022"/>
      <c r="M14" s="2022"/>
      <c r="N14" s="2022" t="s">
        <v>1308</v>
      </c>
      <c r="O14" s="2022"/>
      <c r="P14" s="1593">
        <v>78</v>
      </c>
      <c r="Q14" s="1593">
        <v>37</v>
      </c>
      <c r="R14" s="1596">
        <v>21</v>
      </c>
      <c r="S14" s="1595">
        <v>0.47435897435897401</v>
      </c>
      <c r="T14" s="1592"/>
      <c r="U14" s="1593">
        <v>54</v>
      </c>
      <c r="V14" s="1593">
        <v>27</v>
      </c>
      <c r="W14" s="1595">
        <v>0.5</v>
      </c>
    </row>
    <row r="15" spans="1:23" x14ac:dyDescent="0.25">
      <c r="A15" s="364">
        <v>9257028</v>
      </c>
      <c r="B15" s="352" t="s">
        <v>419</v>
      </c>
      <c r="C15" s="957">
        <f t="shared" si="0"/>
        <v>32</v>
      </c>
      <c r="D15" s="354">
        <f t="shared" si="1"/>
        <v>14363.2</v>
      </c>
      <c r="F15" s="1588">
        <v>9257028</v>
      </c>
      <c r="G15" s="2022" t="s">
        <v>1315</v>
      </c>
      <c r="H15" s="2022"/>
      <c r="I15" s="2022"/>
      <c r="J15" s="2022"/>
      <c r="K15" s="2022"/>
      <c r="L15" s="2022"/>
      <c r="M15" s="2022"/>
      <c r="N15" s="2022" t="s">
        <v>1308</v>
      </c>
      <c r="O15" s="2022"/>
      <c r="P15" s="1589">
        <v>111</v>
      </c>
      <c r="Q15" s="1589">
        <v>33</v>
      </c>
      <c r="R15" s="1590">
        <v>32</v>
      </c>
      <c r="S15" s="1597">
        <v>0.29729729729729698</v>
      </c>
      <c r="T15" s="1592"/>
      <c r="U15" s="1589">
        <v>104</v>
      </c>
      <c r="V15" s="1589">
        <v>31</v>
      </c>
      <c r="W15" s="1597">
        <v>0.29807692307692302</v>
      </c>
    </row>
    <row r="16" spans="1:23" x14ac:dyDescent="0.25">
      <c r="A16" s="364">
        <v>9257029</v>
      </c>
      <c r="B16" s="352" t="s">
        <v>848</v>
      </c>
      <c r="C16" s="957">
        <f t="shared" si="0"/>
        <v>23</v>
      </c>
      <c r="D16" s="354">
        <f t="shared" si="1"/>
        <v>10323.550000000001</v>
      </c>
      <c r="F16" s="1588">
        <v>9257029</v>
      </c>
      <c r="G16" s="2022" t="s">
        <v>848</v>
      </c>
      <c r="H16" s="2022"/>
      <c r="I16" s="2022"/>
      <c r="J16" s="2022"/>
      <c r="K16" s="2022"/>
      <c r="L16" s="2022"/>
      <c r="M16" s="2022"/>
      <c r="N16" s="2022" t="s">
        <v>1308</v>
      </c>
      <c r="O16" s="2022"/>
      <c r="P16" s="1593">
        <v>67</v>
      </c>
      <c r="Q16" s="1593">
        <v>18</v>
      </c>
      <c r="R16" s="1590">
        <v>23</v>
      </c>
      <c r="S16" s="1597">
        <v>0.26865671641791</v>
      </c>
      <c r="T16" s="1592"/>
      <c r="U16" s="1593">
        <v>67</v>
      </c>
      <c r="V16" s="1593">
        <v>18</v>
      </c>
      <c r="W16" s="1597">
        <v>0.26865671641791</v>
      </c>
    </row>
    <row r="17" spans="1:23" x14ac:dyDescent="0.25">
      <c r="A17" s="364">
        <v>9257030</v>
      </c>
      <c r="B17" s="352" t="s">
        <v>771</v>
      </c>
      <c r="C17" s="957">
        <f t="shared" si="0"/>
        <v>20</v>
      </c>
      <c r="D17" s="354">
        <f t="shared" si="1"/>
        <v>8977</v>
      </c>
      <c r="F17" s="1588">
        <v>9257030</v>
      </c>
      <c r="G17" s="2022" t="s">
        <v>771</v>
      </c>
      <c r="H17" s="2022"/>
      <c r="I17" s="2022"/>
      <c r="J17" s="2022"/>
      <c r="K17" s="2022"/>
      <c r="L17" s="2022"/>
      <c r="M17" s="2022"/>
      <c r="N17" s="2022" t="s">
        <v>1308</v>
      </c>
      <c r="O17" s="2022"/>
      <c r="P17" s="1589">
        <v>72</v>
      </c>
      <c r="Q17" s="1589">
        <v>20</v>
      </c>
      <c r="R17" s="1590">
        <v>20</v>
      </c>
      <c r="S17" s="1597">
        <v>0.27777777777777801</v>
      </c>
      <c r="T17" s="1592"/>
      <c r="U17" s="1589">
        <v>72</v>
      </c>
      <c r="V17" s="1589">
        <v>20</v>
      </c>
      <c r="W17" s="1597">
        <v>0.27777777777777801</v>
      </c>
    </row>
    <row r="18" spans="1:23" x14ac:dyDescent="0.25">
      <c r="A18" s="364">
        <v>9257031</v>
      </c>
      <c r="B18" s="352" t="s">
        <v>422</v>
      </c>
      <c r="C18" s="957">
        <f t="shared" si="0"/>
        <v>47</v>
      </c>
      <c r="D18" s="354">
        <f t="shared" si="1"/>
        <v>21095.95</v>
      </c>
      <c r="F18" s="1588">
        <v>9257031</v>
      </c>
      <c r="G18" s="2022" t="s">
        <v>422</v>
      </c>
      <c r="H18" s="2022"/>
      <c r="I18" s="2022"/>
      <c r="J18" s="2022"/>
      <c r="K18" s="2022"/>
      <c r="L18" s="2022"/>
      <c r="M18" s="2022"/>
      <c r="N18" s="2022" t="s">
        <v>1308</v>
      </c>
      <c r="O18" s="2022"/>
      <c r="P18" s="1593">
        <v>81</v>
      </c>
      <c r="Q18" s="1593">
        <v>48</v>
      </c>
      <c r="R18" s="1590">
        <v>47</v>
      </c>
      <c r="S18" s="1595">
        <v>0.592592592592593</v>
      </c>
      <c r="T18" s="1592"/>
      <c r="U18" s="1593">
        <v>81</v>
      </c>
      <c r="V18" s="1593">
        <v>48</v>
      </c>
      <c r="W18" s="1595">
        <v>0.592592592592593</v>
      </c>
    </row>
    <row r="19" spans="1:23" x14ac:dyDescent="0.25">
      <c r="A19" s="364">
        <v>9257032</v>
      </c>
      <c r="B19" s="352" t="s">
        <v>918</v>
      </c>
      <c r="C19" s="957">
        <f t="shared" si="0"/>
        <v>43</v>
      </c>
      <c r="D19" s="354">
        <f t="shared" si="1"/>
        <v>19300.55</v>
      </c>
      <c r="F19" s="1588">
        <v>9257032</v>
      </c>
      <c r="G19" s="2022" t="s">
        <v>770</v>
      </c>
      <c r="H19" s="2022"/>
      <c r="I19" s="2022"/>
      <c r="J19" s="2022"/>
      <c r="K19" s="2022"/>
      <c r="L19" s="2022"/>
      <c r="M19" s="2022"/>
      <c r="N19" s="2022" t="s">
        <v>1308</v>
      </c>
      <c r="O19" s="2022"/>
      <c r="P19" s="1589">
        <v>96</v>
      </c>
      <c r="Q19" s="1589">
        <v>43</v>
      </c>
      <c r="R19" s="1590">
        <v>43</v>
      </c>
      <c r="S19" s="1595">
        <v>0.44791666666666702</v>
      </c>
      <c r="T19" s="1592"/>
      <c r="U19" s="1589">
        <v>96</v>
      </c>
      <c r="V19" s="1589">
        <v>43</v>
      </c>
      <c r="W19" s="1595">
        <v>0.44791666666666702</v>
      </c>
    </row>
    <row r="20" spans="1:23" x14ac:dyDescent="0.25">
      <c r="A20" s="364">
        <v>9257033</v>
      </c>
      <c r="B20" s="352" t="s">
        <v>424</v>
      </c>
      <c r="C20" s="957">
        <f t="shared" si="0"/>
        <v>49</v>
      </c>
      <c r="D20" s="354">
        <f t="shared" si="1"/>
        <v>21993.65</v>
      </c>
      <c r="F20" s="1588">
        <v>9257033</v>
      </c>
      <c r="G20" s="2022" t="s">
        <v>1316</v>
      </c>
      <c r="H20" s="2022"/>
      <c r="I20" s="2022"/>
      <c r="J20" s="2022"/>
      <c r="K20" s="2022"/>
      <c r="L20" s="2022"/>
      <c r="M20" s="2022"/>
      <c r="N20" s="2022" t="s">
        <v>1308</v>
      </c>
      <c r="O20" s="2022"/>
      <c r="P20" s="1593">
        <v>95</v>
      </c>
      <c r="Q20" s="1593">
        <v>56</v>
      </c>
      <c r="R20" s="1590">
        <v>49</v>
      </c>
      <c r="S20" s="1595">
        <v>0.58947368421052604</v>
      </c>
      <c r="T20" s="1592"/>
      <c r="U20" s="1593">
        <v>95</v>
      </c>
      <c r="V20" s="1593">
        <v>56</v>
      </c>
      <c r="W20" s="1595">
        <v>0.58947368421052604</v>
      </c>
    </row>
    <row r="21" spans="1:23" ht="13" thickBot="1" x14ac:dyDescent="0.3">
      <c r="A21" s="365">
        <v>9257034</v>
      </c>
      <c r="B21" s="355" t="s">
        <v>425</v>
      </c>
      <c r="C21" s="957">
        <f t="shared" si="0"/>
        <v>27</v>
      </c>
      <c r="D21" s="357">
        <f t="shared" si="1"/>
        <v>12118.95</v>
      </c>
      <c r="F21" s="1588">
        <v>9257034</v>
      </c>
      <c r="G21" s="2022" t="s">
        <v>1317</v>
      </c>
      <c r="H21" s="2022"/>
      <c r="I21" s="2022"/>
      <c r="J21" s="2022"/>
      <c r="K21" s="2022"/>
      <c r="L21" s="2022"/>
      <c r="M21" s="2022"/>
      <c r="N21" s="2022" t="s">
        <v>1308</v>
      </c>
      <c r="O21" s="2022"/>
      <c r="P21" s="1589">
        <v>120</v>
      </c>
      <c r="Q21" s="1589">
        <v>55</v>
      </c>
      <c r="R21" s="1590">
        <v>27</v>
      </c>
      <c r="S21" s="1595">
        <v>0.45833333333333298</v>
      </c>
      <c r="T21" s="1598"/>
      <c r="U21" s="1589">
        <v>89</v>
      </c>
      <c r="V21" s="1589">
        <v>36</v>
      </c>
      <c r="W21" s="1591">
        <v>0.40449438202247201</v>
      </c>
    </row>
    <row r="22" spans="1:23" x14ac:dyDescent="0.25">
      <c r="A22" s="358"/>
      <c r="B22" s="359"/>
      <c r="C22" s="358"/>
      <c r="D22" s="360"/>
      <c r="F22" s="1588">
        <v>9257012</v>
      </c>
      <c r="G22" s="2022" t="s">
        <v>737</v>
      </c>
      <c r="H22" s="2022"/>
      <c r="I22" s="2022"/>
      <c r="J22" s="2022"/>
      <c r="K22" s="2022"/>
      <c r="L22" s="2022"/>
      <c r="M22" s="2022"/>
      <c r="N22" s="2022" t="s">
        <v>1308</v>
      </c>
      <c r="O22" s="2022"/>
      <c r="P22" s="1589">
        <v>25</v>
      </c>
      <c r="Q22" s="1589">
        <v>9</v>
      </c>
      <c r="R22" s="1594">
        <v>28</v>
      </c>
      <c r="S22" s="1591">
        <v>0.36</v>
      </c>
      <c r="T22" s="1592"/>
      <c r="U22" s="1589">
        <v>25</v>
      </c>
      <c r="V22" s="1589">
        <v>9</v>
      </c>
      <c r="W22" s="1591">
        <v>0.36</v>
      </c>
    </row>
    <row r="23" spans="1:23" ht="13" thickBot="1" x14ac:dyDescent="0.3">
      <c r="A23" s="358"/>
      <c r="B23" s="359"/>
      <c r="C23" s="358"/>
      <c r="D23" s="363">
        <f>SUM(D4:D21)</f>
        <v>280531.25000000006</v>
      </c>
    </row>
    <row r="24" spans="1:23" x14ac:dyDescent="0.25">
      <c r="A24" s="358"/>
      <c r="B24" s="361" t="s">
        <v>426</v>
      </c>
      <c r="C24" s="362">
        <v>2.35</v>
      </c>
      <c r="D24" s="359"/>
    </row>
    <row r="25" spans="1:23" x14ac:dyDescent="0.25">
      <c r="A25" s="358"/>
      <c r="B25" s="361" t="s">
        <v>427</v>
      </c>
      <c r="C25" s="1016">
        <v>191</v>
      </c>
      <c r="D25" s="359"/>
    </row>
    <row r="26" spans="1:23" x14ac:dyDescent="0.25">
      <c r="A26" s="358"/>
      <c r="B26" s="359"/>
      <c r="C26" s="358"/>
      <c r="D26" s="359"/>
    </row>
    <row r="28" spans="1:23" x14ac:dyDescent="0.25">
      <c r="C28" s="612" t="s">
        <v>917</v>
      </c>
      <c r="D28" s="16">
        <v>251805</v>
      </c>
    </row>
    <row r="29" spans="1:23" x14ac:dyDescent="0.25">
      <c r="D29" s="16"/>
    </row>
    <row r="30" spans="1:23" x14ac:dyDescent="0.25">
      <c r="C30" s="6" t="s">
        <v>429</v>
      </c>
      <c r="D30" s="16">
        <f>D23-D28</f>
        <v>28726.250000000058</v>
      </c>
    </row>
    <row r="33" spans="2:2" x14ac:dyDescent="0.25">
      <c r="B33" s="410" t="s">
        <v>1238</v>
      </c>
    </row>
  </sheetData>
  <mergeCells count="40">
    <mergeCell ref="G3:M3"/>
    <mergeCell ref="N3:O3"/>
    <mergeCell ref="G4:M4"/>
    <mergeCell ref="N4:O4"/>
    <mergeCell ref="G5:M5"/>
    <mergeCell ref="N5:O5"/>
    <mergeCell ref="G6:M6"/>
    <mergeCell ref="N6:O6"/>
    <mergeCell ref="G7:M7"/>
    <mergeCell ref="N7:O7"/>
    <mergeCell ref="G8:M8"/>
    <mergeCell ref="N8:O8"/>
    <mergeCell ref="G9:M9"/>
    <mergeCell ref="N9:O9"/>
    <mergeCell ref="G22:M22"/>
    <mergeCell ref="N22:O22"/>
    <mergeCell ref="G10:M10"/>
    <mergeCell ref="N10:O10"/>
    <mergeCell ref="G11:M11"/>
    <mergeCell ref="N11:O11"/>
    <mergeCell ref="G12:M12"/>
    <mergeCell ref="N12:O12"/>
    <mergeCell ref="G13:M13"/>
    <mergeCell ref="N13:O13"/>
    <mergeCell ref="G14:M14"/>
    <mergeCell ref="N14:O14"/>
    <mergeCell ref="G15:M15"/>
    <mergeCell ref="N15:O15"/>
    <mergeCell ref="G16:M16"/>
    <mergeCell ref="N16:O16"/>
    <mergeCell ref="G20:M20"/>
    <mergeCell ref="N20:O20"/>
    <mergeCell ref="G21:M21"/>
    <mergeCell ref="N21:O21"/>
    <mergeCell ref="G17:M17"/>
    <mergeCell ref="N17:O17"/>
    <mergeCell ref="G18:M18"/>
    <mergeCell ref="N18:O18"/>
    <mergeCell ref="G19:M19"/>
    <mergeCell ref="N19:O19"/>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2:BQ67"/>
  <sheetViews>
    <sheetView workbookViewId="0">
      <selection sqref="A1:BN1048576"/>
    </sheetView>
  </sheetViews>
  <sheetFormatPr defaultColWidth="9.1796875" defaultRowHeight="15.5" x14ac:dyDescent="0.35"/>
  <cols>
    <col min="1" max="1" width="10.54296875" style="188" bestFit="1" customWidth="1"/>
    <col min="2" max="5" width="9.1796875" style="187"/>
    <col min="6" max="6" width="10.26953125" style="187" hidden="1" customWidth="1"/>
    <col min="7" max="8" width="9.1796875" style="187" hidden="1" customWidth="1"/>
    <col min="9" max="9" width="10.7265625" style="187" hidden="1" customWidth="1"/>
    <col min="10" max="12" width="10.7265625" style="188" hidden="1" customWidth="1"/>
    <col min="13" max="14" width="10.7265625" style="189" hidden="1" customWidth="1"/>
    <col min="15" max="19" width="10.7265625" style="187" hidden="1" customWidth="1"/>
    <col min="20" max="20" width="3.26953125" style="187" hidden="1" customWidth="1"/>
    <col min="21" max="23" width="10.7265625" style="187" hidden="1" customWidth="1"/>
    <col min="24" max="24" width="9.1796875" style="187" hidden="1" customWidth="1"/>
    <col min="25" max="25" width="10.81640625" style="188" hidden="1" customWidth="1"/>
    <col min="26" max="28" width="9.1796875" style="187" hidden="1" customWidth="1"/>
    <col min="29" max="29" width="11.26953125" style="189" hidden="1" customWidth="1"/>
    <col min="30" max="30" width="11.1796875" style="189" hidden="1" customWidth="1"/>
    <col min="31" max="31" width="14.453125" style="189" hidden="1" customWidth="1"/>
    <col min="32" max="32" width="9.1796875" style="189" hidden="1" customWidth="1"/>
    <col min="33" max="33" width="8.81640625" style="189" hidden="1" customWidth="1"/>
    <col min="34" max="36" width="9.1796875" style="189" hidden="1" customWidth="1"/>
    <col min="37" max="37" width="10.453125" style="189" hidden="1" customWidth="1"/>
    <col min="38" max="38" width="13.453125" style="189" hidden="1" customWidth="1"/>
    <col min="39" max="43" width="9.1796875" style="189" hidden="1" customWidth="1"/>
    <col min="44" max="44" width="11.1796875" style="189" hidden="1" customWidth="1"/>
    <col min="45" max="45" width="14.26953125" style="189" hidden="1" customWidth="1"/>
    <col min="46" max="50" width="9.1796875" style="189" hidden="1" customWidth="1"/>
    <col min="51" max="51" width="10.1796875" style="189" hidden="1" customWidth="1"/>
    <col min="52" max="52" width="14.26953125" style="189" hidden="1" customWidth="1"/>
    <col min="53" max="55" width="9.1796875" style="189" customWidth="1"/>
    <col min="56" max="57" width="10.1796875" style="189" customWidth="1"/>
    <col min="58" max="59" width="9.1796875" style="189"/>
    <col min="60" max="60" width="11.7265625" style="189" bestFit="1" customWidth="1"/>
    <col min="61" max="61" width="9.81640625" style="189" bestFit="1" customWidth="1"/>
    <col min="62" max="62" width="12.26953125" style="189" customWidth="1"/>
    <col min="63" max="65" width="9.1796875" style="189"/>
    <col min="66" max="66" width="9.81640625" style="189" bestFit="1" customWidth="1"/>
    <col min="67" max="67" width="13" style="189" customWidth="1"/>
    <col min="68" max="68" width="9.81640625" style="189" customWidth="1"/>
    <col min="69" max="16384" width="9.1796875" style="189"/>
  </cols>
  <sheetData>
    <row r="2" spans="1:69" ht="12" customHeight="1" x14ac:dyDescent="0.35">
      <c r="B2" s="186" t="s">
        <v>219</v>
      </c>
      <c r="V2" s="1903" t="s">
        <v>280</v>
      </c>
    </row>
    <row r="3" spans="1:69" ht="12" customHeight="1" x14ac:dyDescent="0.35">
      <c r="V3" s="1904"/>
      <c r="X3" s="209" t="s">
        <v>250</v>
      </c>
    </row>
    <row r="4" spans="1:69" s="190" customFormat="1" ht="12" customHeight="1" x14ac:dyDescent="0.3">
      <c r="A4" s="188"/>
      <c r="B4" s="187"/>
      <c r="C4" s="187"/>
      <c r="D4" s="187"/>
      <c r="E4" s="187"/>
      <c r="F4" s="1905" t="s">
        <v>206</v>
      </c>
      <c r="G4" s="1905" t="s">
        <v>207</v>
      </c>
      <c r="H4" s="1905" t="s">
        <v>218</v>
      </c>
      <c r="I4" s="1906" t="s">
        <v>274</v>
      </c>
      <c r="J4" s="1907" t="s">
        <v>208</v>
      </c>
      <c r="K4" s="1907" t="s">
        <v>275</v>
      </c>
      <c r="L4" s="1907" t="s">
        <v>276</v>
      </c>
      <c r="M4" s="1907" t="s">
        <v>209</v>
      </c>
      <c r="N4" s="1907" t="s">
        <v>210</v>
      </c>
      <c r="O4" s="1907" t="s">
        <v>211</v>
      </c>
      <c r="P4" s="1907" t="s">
        <v>222</v>
      </c>
      <c r="Q4" s="1907" t="s">
        <v>277</v>
      </c>
      <c r="R4" s="1907" t="s">
        <v>228</v>
      </c>
      <c r="S4" s="1907" t="s">
        <v>229</v>
      </c>
      <c r="T4" s="209"/>
      <c r="U4" s="1907" t="s">
        <v>278</v>
      </c>
      <c r="V4" s="1910" t="s">
        <v>279</v>
      </c>
      <c r="W4" s="209"/>
      <c r="X4" s="1907" t="s">
        <v>249</v>
      </c>
      <c r="Y4" s="1907" t="s">
        <v>281</v>
      </c>
      <c r="Z4" s="1906" t="s">
        <v>430</v>
      </c>
      <c r="AA4" s="1907" t="s">
        <v>431</v>
      </c>
      <c r="AB4" s="1907" t="s">
        <v>432</v>
      </c>
      <c r="AC4" s="1910" t="s">
        <v>433</v>
      </c>
      <c r="AD4" s="1907" t="s">
        <v>434</v>
      </c>
      <c r="AE4" s="1907" t="s">
        <v>435</v>
      </c>
      <c r="AG4" s="1928" t="s">
        <v>541</v>
      </c>
      <c r="AH4" s="1926" t="s">
        <v>542</v>
      </c>
      <c r="AI4" s="1926" t="s">
        <v>543</v>
      </c>
      <c r="AJ4" s="1929" t="s">
        <v>544</v>
      </c>
      <c r="AK4" s="1926" t="s">
        <v>545</v>
      </c>
      <c r="AL4" s="1907" t="s">
        <v>435</v>
      </c>
      <c r="AN4" s="1928" t="s">
        <v>609</v>
      </c>
      <c r="AO4" s="1926" t="s">
        <v>610</v>
      </c>
      <c r="AP4" s="1926" t="s">
        <v>611</v>
      </c>
      <c r="AQ4" s="1929" t="s">
        <v>612</v>
      </c>
      <c r="AR4" s="1926" t="s">
        <v>613</v>
      </c>
      <c r="AS4" s="1907" t="s">
        <v>435</v>
      </c>
      <c r="AU4" s="1928" t="s">
        <v>807</v>
      </c>
      <c r="AV4" s="1926" t="s">
        <v>808</v>
      </c>
      <c r="AW4" s="1926" t="s">
        <v>809</v>
      </c>
      <c r="AX4" s="1929" t="s">
        <v>810</v>
      </c>
      <c r="AY4" s="1926" t="s">
        <v>811</v>
      </c>
      <c r="AZ4" s="1907" t="s">
        <v>435</v>
      </c>
      <c r="BB4" s="1928" t="s">
        <v>877</v>
      </c>
      <c r="BC4" s="1926" t="s">
        <v>878</v>
      </c>
      <c r="BD4" s="1926" t="s">
        <v>879</v>
      </c>
      <c r="BE4" s="1907" t="s">
        <v>435</v>
      </c>
      <c r="BG4" s="1928" t="s">
        <v>922</v>
      </c>
      <c r="BH4" s="1926" t="s">
        <v>923</v>
      </c>
      <c r="BI4" s="1926" t="s">
        <v>924</v>
      </c>
      <c r="BJ4" s="1907" t="s">
        <v>435</v>
      </c>
      <c r="BL4" s="1928" t="s">
        <v>991</v>
      </c>
      <c r="BM4" s="1926" t="s">
        <v>992</v>
      </c>
      <c r="BN4" s="1926" t="s">
        <v>993</v>
      </c>
      <c r="BO4" s="1907" t="s">
        <v>435</v>
      </c>
      <c r="BP4" s="1068"/>
    </row>
    <row r="5" spans="1:69" s="190" customFormat="1" ht="12" customHeight="1" x14ac:dyDescent="0.3">
      <c r="A5" s="188"/>
      <c r="B5" s="187"/>
      <c r="C5" s="187"/>
      <c r="D5" s="187"/>
      <c r="E5" s="187"/>
      <c r="F5" s="1905"/>
      <c r="G5" s="1905"/>
      <c r="H5" s="1905"/>
      <c r="I5" s="1906"/>
      <c r="J5" s="1907"/>
      <c r="K5" s="1907"/>
      <c r="L5" s="1907"/>
      <c r="M5" s="1907"/>
      <c r="N5" s="1907"/>
      <c r="O5" s="1907"/>
      <c r="P5" s="1907"/>
      <c r="Q5" s="1907"/>
      <c r="R5" s="1907"/>
      <c r="S5" s="1907"/>
      <c r="T5" s="209"/>
      <c r="U5" s="1907"/>
      <c r="V5" s="1911"/>
      <c r="W5" s="209"/>
      <c r="X5" s="1907"/>
      <c r="Y5" s="1907"/>
      <c r="Z5" s="1906"/>
      <c r="AA5" s="1907"/>
      <c r="AB5" s="1907"/>
      <c r="AC5" s="1911"/>
      <c r="AD5" s="1907"/>
      <c r="AE5" s="1907"/>
      <c r="AG5" s="1906"/>
      <c r="AH5" s="1907"/>
      <c r="AI5" s="1907"/>
      <c r="AJ5" s="1911"/>
      <c r="AK5" s="1907"/>
      <c r="AL5" s="1907"/>
      <c r="AN5" s="1906"/>
      <c r="AO5" s="1907"/>
      <c r="AP5" s="1907"/>
      <c r="AQ5" s="1911"/>
      <c r="AR5" s="1907"/>
      <c r="AS5" s="1907"/>
      <c r="AU5" s="1906"/>
      <c r="AV5" s="1907"/>
      <c r="AW5" s="1907"/>
      <c r="AX5" s="1911"/>
      <c r="AY5" s="1907"/>
      <c r="AZ5" s="1907"/>
      <c r="BB5" s="1906"/>
      <c r="BC5" s="1907"/>
      <c r="BD5" s="1907"/>
      <c r="BE5" s="1907"/>
      <c r="BG5" s="1906"/>
      <c r="BH5" s="1907"/>
      <c r="BI5" s="1907"/>
      <c r="BJ5" s="1907"/>
      <c r="BL5" s="1906"/>
      <c r="BM5" s="1907"/>
      <c r="BN5" s="1907"/>
      <c r="BO5" s="1907"/>
      <c r="BP5" s="1068"/>
    </row>
    <row r="6" spans="1:69" s="190" customFormat="1" ht="12" customHeight="1" x14ac:dyDescent="0.3">
      <c r="A6" s="188"/>
      <c r="B6" s="1913" t="s">
        <v>158</v>
      </c>
      <c r="C6" s="1914"/>
      <c r="D6" s="1914"/>
      <c r="E6" s="1915"/>
      <c r="F6" s="1905"/>
      <c r="G6" s="1905"/>
      <c r="H6" s="1905"/>
      <c r="I6" s="1906"/>
      <c r="J6" s="1907"/>
      <c r="K6" s="1907"/>
      <c r="L6" s="1907"/>
      <c r="M6" s="1907"/>
      <c r="N6" s="1907"/>
      <c r="O6" s="1907"/>
      <c r="P6" s="1907"/>
      <c r="Q6" s="1907"/>
      <c r="R6" s="1907"/>
      <c r="S6" s="1907"/>
      <c r="T6" s="209"/>
      <c r="U6" s="1907"/>
      <c r="V6" s="1912"/>
      <c r="W6" s="209"/>
      <c r="X6" s="1907"/>
      <c r="Y6" s="1907"/>
      <c r="Z6" s="1906"/>
      <c r="AA6" s="1907"/>
      <c r="AB6" s="1907"/>
      <c r="AC6" s="1912"/>
      <c r="AD6" s="1907"/>
      <c r="AE6" s="1907"/>
      <c r="AG6" s="1906"/>
      <c r="AH6" s="1907"/>
      <c r="AI6" s="1907"/>
      <c r="AJ6" s="1912"/>
      <c r="AK6" s="1907"/>
      <c r="AL6" s="1907"/>
      <c r="AN6" s="1906"/>
      <c r="AO6" s="1907"/>
      <c r="AP6" s="1907"/>
      <c r="AQ6" s="1912"/>
      <c r="AR6" s="1907"/>
      <c r="AS6" s="1907"/>
      <c r="AU6" s="1906"/>
      <c r="AV6" s="1907"/>
      <c r="AW6" s="1907"/>
      <c r="AX6" s="1912"/>
      <c r="AY6" s="1907"/>
      <c r="AZ6" s="1907"/>
      <c r="BB6" s="1906"/>
      <c r="BC6" s="1907"/>
      <c r="BD6" s="1907"/>
      <c r="BE6" s="1907"/>
      <c r="BG6" s="1906"/>
      <c r="BH6" s="1907"/>
      <c r="BI6" s="1907"/>
      <c r="BJ6" s="1907"/>
      <c r="BL6" s="1906"/>
      <c r="BM6" s="1907"/>
      <c r="BN6" s="1907"/>
      <c r="BO6" s="1907"/>
      <c r="BP6" s="1068"/>
    </row>
    <row r="7" spans="1:69" ht="12" customHeight="1" x14ac:dyDescent="0.35">
      <c r="A7" s="220">
        <v>9257010</v>
      </c>
      <c r="B7" s="1916" t="s">
        <v>86</v>
      </c>
      <c r="C7" s="1917"/>
      <c r="D7" s="1917"/>
      <c r="E7" s="1917"/>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c r="AN7" s="194">
        <v>26443.5</v>
      </c>
      <c r="AO7" s="194"/>
      <c r="AP7" s="194"/>
      <c r="AQ7" s="194">
        <v>0</v>
      </c>
      <c r="AR7" s="194"/>
      <c r="AS7" s="194">
        <f>SUM(AN7:AR7)</f>
        <v>26443.5</v>
      </c>
      <c r="AU7" s="194">
        <v>35258</v>
      </c>
      <c r="AV7" s="194"/>
      <c r="AW7" s="194"/>
      <c r="AX7" s="194">
        <v>0</v>
      </c>
      <c r="AY7" s="194"/>
      <c r="AZ7" s="194">
        <f>SUM(AU7:AY7)</f>
        <v>35258</v>
      </c>
      <c r="BB7" s="955">
        <v>35258</v>
      </c>
      <c r="BC7" s="194"/>
      <c r="BD7" s="194"/>
      <c r="BE7" s="194">
        <f t="shared" ref="BE7:BE26" si="0">SUM(BB7:BD7)</f>
        <v>35258</v>
      </c>
      <c r="BG7" s="292">
        <v>35258</v>
      </c>
      <c r="BH7" s="194"/>
      <c r="BI7" s="194"/>
      <c r="BJ7" s="194">
        <f t="shared" ref="BJ7:BJ26" si="1">SUM(BG7:BI7)</f>
        <v>35258</v>
      </c>
      <c r="BL7" s="292">
        <f>35258*5/12</f>
        <v>14690.833333333334</v>
      </c>
      <c r="BM7" s="194"/>
      <c r="BN7" s="194"/>
      <c r="BO7" s="194">
        <f t="shared" ref="BO7:BO26" si="2">SUM(BL7:BN7)</f>
        <v>14690.833333333334</v>
      </c>
      <c r="BP7" s="1069"/>
    </row>
    <row r="8" spans="1:69" ht="12" customHeight="1" x14ac:dyDescent="0.35">
      <c r="A8" s="220">
        <v>9257030</v>
      </c>
      <c r="B8" s="1908" t="s">
        <v>161</v>
      </c>
      <c r="C8" s="1909"/>
      <c r="D8" s="1909"/>
      <c r="E8" s="1909"/>
      <c r="F8" s="194"/>
      <c r="G8" s="194"/>
      <c r="H8" s="194"/>
      <c r="I8" s="194"/>
      <c r="J8" s="191"/>
      <c r="K8" s="191"/>
      <c r="L8" s="191"/>
      <c r="M8" s="193">
        <v>0</v>
      </c>
      <c r="N8" s="192"/>
      <c r="O8" s="191"/>
      <c r="P8" s="191"/>
      <c r="Q8" s="191"/>
      <c r="R8" s="209"/>
      <c r="S8" s="209"/>
      <c r="T8" s="209"/>
      <c r="U8" s="209"/>
      <c r="V8" s="194"/>
      <c r="W8" s="209"/>
      <c r="X8" s="194"/>
      <c r="Y8" s="212">
        <f t="shared" ref="Y8:Y25" si="3">I8+L8+Q8+U8+V8</f>
        <v>0</v>
      </c>
      <c r="Z8" s="194"/>
      <c r="AA8" s="194"/>
      <c r="AB8" s="194"/>
      <c r="AC8" s="367"/>
      <c r="AD8" s="194"/>
      <c r="AE8" s="194">
        <f t="shared" ref="AE8:AE26" si="4">SUM(Z8:AD8)</f>
        <v>0</v>
      </c>
      <c r="AG8" s="194"/>
      <c r="AH8" s="194"/>
      <c r="AI8" s="194"/>
      <c r="AJ8" s="367"/>
      <c r="AK8" s="194"/>
      <c r="AL8" s="194">
        <f t="shared" ref="AL8:AL26" si="5">SUM(AG8:AK8)</f>
        <v>0</v>
      </c>
      <c r="AN8" s="194"/>
      <c r="AO8" s="194"/>
      <c r="AP8" s="194"/>
      <c r="AQ8" s="367"/>
      <c r="AR8" s="194"/>
      <c r="AS8" s="194">
        <f t="shared" ref="AS8:AS26" si="6">SUM(AN8:AR8)</f>
        <v>0</v>
      </c>
      <c r="AU8" s="194"/>
      <c r="AV8" s="194"/>
      <c r="AW8" s="194"/>
      <c r="AX8" s="367"/>
      <c r="AY8" s="194"/>
      <c r="AZ8" s="194">
        <f t="shared" ref="AZ8:AZ26" si="7">SUM(AU8:AY8)</f>
        <v>0</v>
      </c>
      <c r="BB8" s="955"/>
      <c r="BC8" s="194"/>
      <c r="BD8" s="194"/>
      <c r="BE8" s="194">
        <f t="shared" si="0"/>
        <v>0</v>
      </c>
      <c r="BG8" s="292"/>
      <c r="BH8" s="194"/>
      <c r="BI8" s="194"/>
      <c r="BJ8" s="194">
        <f t="shared" si="1"/>
        <v>0</v>
      </c>
      <c r="BL8" s="292"/>
      <c r="BM8" s="194"/>
      <c r="BN8" s="194"/>
      <c r="BO8" s="194">
        <f t="shared" si="2"/>
        <v>0</v>
      </c>
      <c r="BP8" s="1069"/>
    </row>
    <row r="9" spans="1:69" ht="12" customHeight="1" x14ac:dyDescent="0.35">
      <c r="A9" s="220">
        <v>9257031</v>
      </c>
      <c r="B9" s="1908" t="s">
        <v>162</v>
      </c>
      <c r="C9" s="1909"/>
      <c r="D9" s="1909"/>
      <c r="E9" s="1909"/>
      <c r="F9" s="194"/>
      <c r="G9" s="194"/>
      <c r="H9" s="194"/>
      <c r="I9" s="194"/>
      <c r="J9" s="191"/>
      <c r="K9" s="191"/>
      <c r="L9" s="191"/>
      <c r="M9" s="193">
        <v>0</v>
      </c>
      <c r="N9" s="192"/>
      <c r="O9" s="191"/>
      <c r="P9" s="191"/>
      <c r="Q9" s="191"/>
      <c r="R9" s="209"/>
      <c r="S9" s="209"/>
      <c r="T9" s="209"/>
      <c r="U9" s="209"/>
      <c r="V9" s="194"/>
      <c r="W9" s="209"/>
      <c r="X9" s="194"/>
      <c r="Y9" s="212">
        <f t="shared" si="3"/>
        <v>0</v>
      </c>
      <c r="Z9" s="194"/>
      <c r="AA9" s="194"/>
      <c r="AB9" s="194"/>
      <c r="AC9" s="367"/>
      <c r="AD9" s="194"/>
      <c r="AE9" s="194">
        <f t="shared" si="4"/>
        <v>0</v>
      </c>
      <c r="AG9" s="194"/>
      <c r="AH9" s="194"/>
      <c r="AI9" s="194"/>
      <c r="AJ9" s="367"/>
      <c r="AK9" s="194"/>
      <c r="AL9" s="194">
        <f t="shared" si="5"/>
        <v>0</v>
      </c>
      <c r="AN9" s="194"/>
      <c r="AO9" s="194"/>
      <c r="AP9" s="194"/>
      <c r="AQ9" s="367"/>
      <c r="AR9" s="194"/>
      <c r="AS9" s="194">
        <f t="shared" si="6"/>
        <v>0</v>
      </c>
      <c r="AU9" s="194"/>
      <c r="AV9" s="194"/>
      <c r="AW9" s="194"/>
      <c r="AX9" s="367"/>
      <c r="AY9" s="194"/>
      <c r="AZ9" s="194">
        <f t="shared" si="7"/>
        <v>0</v>
      </c>
      <c r="BB9" s="955"/>
      <c r="BC9" s="194"/>
      <c r="BD9" s="194"/>
      <c r="BE9" s="194">
        <f t="shared" si="0"/>
        <v>0</v>
      </c>
      <c r="BG9" s="292"/>
      <c r="BH9" s="194"/>
      <c r="BI9" s="194"/>
      <c r="BJ9" s="194">
        <f t="shared" si="1"/>
        <v>0</v>
      </c>
      <c r="BL9" s="292"/>
      <c r="BM9" s="194"/>
      <c r="BN9" s="194"/>
      <c r="BO9" s="194">
        <f t="shared" si="2"/>
        <v>0</v>
      </c>
      <c r="BP9" s="1069"/>
    </row>
    <row r="10" spans="1:69" ht="12" customHeight="1" x14ac:dyDescent="0.35">
      <c r="A10" s="220">
        <v>9257008</v>
      </c>
      <c r="B10" s="1916" t="s">
        <v>87</v>
      </c>
      <c r="C10" s="1917"/>
      <c r="D10" s="1917"/>
      <c r="E10" s="1917"/>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3"/>
        <v>51500</v>
      </c>
      <c r="Z10" s="194"/>
      <c r="AA10" s="194"/>
      <c r="AB10" s="194">
        <f>Q10*(5/12)</f>
        <v>21458.333333333336</v>
      </c>
      <c r="AC10" s="194">
        <f>51500*(5/12)</f>
        <v>21458.333333333336</v>
      </c>
      <c r="AD10" s="194"/>
      <c r="AE10" s="194">
        <f t="shared" si="4"/>
        <v>42916.666666666672</v>
      </c>
      <c r="AG10" s="194"/>
      <c r="AH10" s="194"/>
      <c r="AI10" s="194">
        <v>617500</v>
      </c>
      <c r="AJ10" s="194">
        <v>0</v>
      </c>
      <c r="AK10" s="194"/>
      <c r="AL10" s="194">
        <f t="shared" si="5"/>
        <v>617500</v>
      </c>
      <c r="AN10" s="194"/>
      <c r="AO10" s="194"/>
      <c r="AP10" s="194">
        <v>617500</v>
      </c>
      <c r="AQ10" s="194">
        <v>0</v>
      </c>
      <c r="AR10" s="194"/>
      <c r="AS10" s="194">
        <f t="shared" si="6"/>
        <v>617500</v>
      </c>
      <c r="AU10" s="194"/>
      <c r="AV10" s="194"/>
      <c r="AW10" s="194">
        <v>617500</v>
      </c>
      <c r="AX10" s="194">
        <v>0</v>
      </c>
      <c r="AY10" s="194"/>
      <c r="AZ10" s="194">
        <f t="shared" si="7"/>
        <v>617500</v>
      </c>
      <c r="BB10" s="955"/>
      <c r="BC10" s="954">
        <v>617500</v>
      </c>
      <c r="BD10" s="194"/>
      <c r="BE10" s="194">
        <f t="shared" si="0"/>
        <v>617500</v>
      </c>
      <c r="BG10" s="292"/>
      <c r="BH10" s="292">
        <f>617500/12*5</f>
        <v>257291.66666666669</v>
      </c>
      <c r="BI10" s="292"/>
      <c r="BJ10" s="194">
        <f t="shared" si="1"/>
        <v>257291.66666666669</v>
      </c>
      <c r="BL10" s="292"/>
      <c r="BM10" s="292">
        <f>617500/12*5</f>
        <v>257291.66666666669</v>
      </c>
      <c r="BN10" s="292"/>
      <c r="BO10" s="194">
        <f t="shared" si="2"/>
        <v>257291.66666666669</v>
      </c>
      <c r="BP10" s="1069"/>
      <c r="BQ10" s="189" t="s">
        <v>926</v>
      </c>
    </row>
    <row r="11" spans="1:69" ht="12" customHeight="1" x14ac:dyDescent="0.35">
      <c r="A11" s="220">
        <v>9257002</v>
      </c>
      <c r="B11" s="1916" t="s">
        <v>53</v>
      </c>
      <c r="C11" s="1917"/>
      <c r="D11" s="1917"/>
      <c r="E11" s="1917"/>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3"/>
        <v>60000</v>
      </c>
      <c r="Z11" s="194"/>
      <c r="AA11" s="194"/>
      <c r="AB11" s="194"/>
      <c r="AC11" s="367"/>
      <c r="AD11" s="194"/>
      <c r="AE11" s="194">
        <f t="shared" si="4"/>
        <v>0</v>
      </c>
      <c r="AG11" s="194"/>
      <c r="AH11" s="194"/>
      <c r="AI11" s="194"/>
      <c r="AJ11" s="367"/>
      <c r="AK11" s="194"/>
      <c r="AL11" s="194">
        <f t="shared" si="5"/>
        <v>0</v>
      </c>
      <c r="AN11" s="194"/>
      <c r="AO11" s="194"/>
      <c r="AP11" s="194"/>
      <c r="AQ11" s="367"/>
      <c r="AR11" s="194"/>
      <c r="AS11" s="194">
        <f t="shared" si="6"/>
        <v>0</v>
      </c>
      <c r="AU11" s="194"/>
      <c r="AV11" s="194"/>
      <c r="AW11" s="194"/>
      <c r="AX11" s="367"/>
      <c r="AY11" s="194"/>
      <c r="AZ11" s="194">
        <f t="shared" si="7"/>
        <v>0</v>
      </c>
      <c r="BB11" s="955"/>
      <c r="BC11" s="194"/>
      <c r="BD11" s="194"/>
      <c r="BE11" s="194">
        <f t="shared" si="0"/>
        <v>0</v>
      </c>
      <c r="BG11" s="292"/>
      <c r="BH11" s="292"/>
      <c r="BI11" s="292"/>
      <c r="BJ11" s="194">
        <f t="shared" si="1"/>
        <v>0</v>
      </c>
      <c r="BL11" s="292"/>
      <c r="BM11" s="292"/>
      <c r="BN11" s="292"/>
      <c r="BO11" s="194">
        <f t="shared" si="2"/>
        <v>0</v>
      </c>
      <c r="BP11" s="1069"/>
    </row>
    <row r="12" spans="1:69" ht="12" customHeight="1" x14ac:dyDescent="0.35">
      <c r="A12" s="220">
        <v>9257005</v>
      </c>
      <c r="B12" s="1916" t="s">
        <v>88</v>
      </c>
      <c r="C12" s="1917"/>
      <c r="D12" s="1917"/>
      <c r="E12" s="1917"/>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3"/>
        <v>35258</v>
      </c>
      <c r="Z12" s="194">
        <f>I12</f>
        <v>35258</v>
      </c>
      <c r="AA12" s="194"/>
      <c r="AB12" s="194"/>
      <c r="AC12" s="367"/>
      <c r="AD12" s="194"/>
      <c r="AE12" s="194">
        <f t="shared" si="4"/>
        <v>35258</v>
      </c>
      <c r="AG12" s="194">
        <v>35258</v>
      </c>
      <c r="AH12" s="194"/>
      <c r="AI12" s="194"/>
      <c r="AJ12" s="367"/>
      <c r="AK12" s="194"/>
      <c r="AL12" s="194">
        <f t="shared" si="5"/>
        <v>35258</v>
      </c>
      <c r="AN12" s="194">
        <v>26443.5</v>
      </c>
      <c r="AO12" s="194"/>
      <c r="AP12" s="194"/>
      <c r="AQ12" s="367"/>
      <c r="AR12" s="194"/>
      <c r="AS12" s="194">
        <f t="shared" si="6"/>
        <v>26443.5</v>
      </c>
      <c r="AU12" s="194">
        <v>35258</v>
      </c>
      <c r="AV12" s="194"/>
      <c r="AW12" s="194"/>
      <c r="AX12" s="367"/>
      <c r="AY12" s="194"/>
      <c r="AZ12" s="194">
        <f t="shared" si="7"/>
        <v>35258</v>
      </c>
      <c r="BB12" s="955">
        <v>35258</v>
      </c>
      <c r="BC12" s="194"/>
      <c r="BD12" s="194"/>
      <c r="BE12" s="194">
        <f t="shared" si="0"/>
        <v>35258</v>
      </c>
      <c r="BG12" s="292">
        <v>35258</v>
      </c>
      <c r="BH12" s="292"/>
      <c r="BI12" s="292"/>
      <c r="BJ12" s="194">
        <f t="shared" si="1"/>
        <v>35258</v>
      </c>
      <c r="BL12" s="292">
        <f>35258*5/12</f>
        <v>14690.833333333334</v>
      </c>
      <c r="BM12" s="292"/>
      <c r="BN12" s="292"/>
      <c r="BO12" s="194">
        <f t="shared" si="2"/>
        <v>14690.833333333334</v>
      </c>
      <c r="BP12" s="1069"/>
    </row>
    <row r="13" spans="1:69" ht="12" customHeight="1" x14ac:dyDescent="0.35">
      <c r="A13" s="220">
        <v>9257034</v>
      </c>
      <c r="B13" s="1916" t="s">
        <v>163</v>
      </c>
      <c r="C13" s="1917"/>
      <c r="D13" s="1917"/>
      <c r="E13" s="1917"/>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3"/>
        <v>0</v>
      </c>
      <c r="Z13" s="194"/>
      <c r="AA13" s="194"/>
      <c r="AB13" s="194"/>
      <c r="AC13" s="367"/>
      <c r="AD13" s="194"/>
      <c r="AE13" s="194">
        <f t="shared" si="4"/>
        <v>0</v>
      </c>
      <c r="AG13" s="194"/>
      <c r="AH13" s="194"/>
      <c r="AI13" s="194"/>
      <c r="AJ13" s="367"/>
      <c r="AK13" s="194"/>
      <c r="AL13" s="194">
        <f t="shared" si="5"/>
        <v>0</v>
      </c>
      <c r="AN13" s="194"/>
      <c r="AO13" s="194"/>
      <c r="AP13" s="194"/>
      <c r="AQ13" s="367"/>
      <c r="AR13" s="194"/>
      <c r="AS13" s="194">
        <f t="shared" si="6"/>
        <v>0</v>
      </c>
      <c r="AU13" s="194"/>
      <c r="AV13" s="194"/>
      <c r="AW13" s="194"/>
      <c r="AX13" s="367"/>
      <c r="AY13" s="194"/>
      <c r="AZ13" s="194">
        <f t="shared" si="7"/>
        <v>0</v>
      </c>
      <c r="BB13" s="955"/>
      <c r="BC13" s="194"/>
      <c r="BD13" s="194"/>
      <c r="BE13" s="194">
        <f t="shared" si="0"/>
        <v>0</v>
      </c>
      <c r="BG13" s="292"/>
      <c r="BH13" s="292"/>
      <c r="BI13" s="292"/>
      <c r="BJ13" s="194">
        <f t="shared" si="1"/>
        <v>0</v>
      </c>
      <c r="BL13" s="292"/>
      <c r="BM13" s="292"/>
      <c r="BN13" s="292"/>
      <c r="BO13" s="194">
        <f t="shared" si="2"/>
        <v>0</v>
      </c>
      <c r="BP13" s="1069"/>
    </row>
    <row r="14" spans="1:69" ht="12" customHeight="1" x14ac:dyDescent="0.35">
      <c r="A14" s="220">
        <v>9257021</v>
      </c>
      <c r="B14" s="1916" t="s">
        <v>56</v>
      </c>
      <c r="C14" s="1917"/>
      <c r="D14" s="1917"/>
      <c r="E14" s="1917"/>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3"/>
        <v>35258</v>
      </c>
      <c r="Z14" s="194">
        <f>I14</f>
        <v>35258</v>
      </c>
      <c r="AA14" s="194"/>
      <c r="AB14" s="194"/>
      <c r="AC14" s="367"/>
      <c r="AD14" s="194"/>
      <c r="AE14" s="194">
        <f t="shared" si="4"/>
        <v>35258</v>
      </c>
      <c r="AG14" s="194">
        <v>35258</v>
      </c>
      <c r="AH14" s="194"/>
      <c r="AI14" s="194"/>
      <c r="AJ14" s="367"/>
      <c r="AK14" s="565"/>
      <c r="AL14" s="194">
        <f t="shared" si="5"/>
        <v>35258</v>
      </c>
      <c r="AN14" s="194">
        <v>26443.5</v>
      </c>
      <c r="AO14" s="194"/>
      <c r="AP14" s="194"/>
      <c r="AQ14" s="367"/>
      <c r="AR14" s="565"/>
      <c r="AS14" s="194">
        <f t="shared" si="6"/>
        <v>26443.5</v>
      </c>
      <c r="AU14" s="194">
        <v>35258</v>
      </c>
      <c r="AV14" s="194"/>
      <c r="AW14" s="194"/>
      <c r="AX14" s="367"/>
      <c r="AY14" s="565"/>
      <c r="AZ14" s="194">
        <f t="shared" si="7"/>
        <v>35258</v>
      </c>
      <c r="BB14" s="955">
        <v>35258</v>
      </c>
      <c r="BC14" s="194"/>
      <c r="BD14" s="565"/>
      <c r="BE14" s="194">
        <f t="shared" si="0"/>
        <v>35258</v>
      </c>
      <c r="BG14" s="292">
        <v>35258</v>
      </c>
      <c r="BH14" s="292"/>
      <c r="BI14" s="1015"/>
      <c r="BJ14" s="194">
        <f t="shared" si="1"/>
        <v>35258</v>
      </c>
      <c r="BL14" s="292">
        <f>35258*5/12</f>
        <v>14690.833333333334</v>
      </c>
      <c r="BM14" s="292"/>
      <c r="BN14" s="1015"/>
      <c r="BO14" s="194">
        <f t="shared" si="2"/>
        <v>14690.833333333334</v>
      </c>
      <c r="BP14" s="1069"/>
    </row>
    <row r="15" spans="1:69" s="187" customFormat="1" ht="12" customHeight="1" x14ac:dyDescent="0.3">
      <c r="A15" s="220">
        <v>9257033</v>
      </c>
      <c r="B15" s="1916" t="s">
        <v>164</v>
      </c>
      <c r="C15" s="1917"/>
      <c r="D15" s="1917"/>
      <c r="E15" s="1917"/>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3"/>
        <v>73883</v>
      </c>
      <c r="Z15" s="194">
        <f>I15</f>
        <v>35258</v>
      </c>
      <c r="AA15" s="194"/>
      <c r="AB15" s="194"/>
      <c r="AC15" s="194">
        <f>51500*(5/12)</f>
        <v>21458.333333333336</v>
      </c>
      <c r="AD15" s="194"/>
      <c r="AE15" s="194">
        <f t="shared" si="4"/>
        <v>56716.333333333336</v>
      </c>
      <c r="AG15" s="194">
        <v>35258</v>
      </c>
      <c r="AH15" s="194"/>
      <c r="AI15" s="194"/>
      <c r="AJ15" s="194">
        <v>0</v>
      </c>
      <c r="AK15" s="194"/>
      <c r="AL15" s="194">
        <f t="shared" si="5"/>
        <v>35258</v>
      </c>
      <c r="AN15" s="194">
        <v>26443.5</v>
      </c>
      <c r="AO15" s="194"/>
      <c r="AP15" s="194"/>
      <c r="AQ15" s="194">
        <v>0</v>
      </c>
      <c r="AR15" s="194"/>
      <c r="AS15" s="194">
        <f t="shared" si="6"/>
        <v>26443.5</v>
      </c>
      <c r="AU15" s="194">
        <v>35258</v>
      </c>
      <c r="AV15" s="194"/>
      <c r="AW15" s="194"/>
      <c r="AX15" s="194">
        <v>0</v>
      </c>
      <c r="AY15" s="194"/>
      <c r="AZ15" s="194">
        <f t="shared" si="7"/>
        <v>35258</v>
      </c>
      <c r="BB15" s="955">
        <v>35258</v>
      </c>
      <c r="BC15" s="194"/>
      <c r="BD15" s="194"/>
      <c r="BE15" s="194">
        <f t="shared" si="0"/>
        <v>35258</v>
      </c>
      <c r="BG15" s="292"/>
      <c r="BH15" s="292"/>
      <c r="BI15" s="292"/>
      <c r="BJ15" s="194">
        <f t="shared" si="1"/>
        <v>0</v>
      </c>
      <c r="BL15" s="292"/>
      <c r="BM15" s="292"/>
      <c r="BN15" s="292"/>
      <c r="BO15" s="194">
        <f t="shared" si="2"/>
        <v>0</v>
      </c>
      <c r="BP15" s="1069"/>
    </row>
    <row r="16" spans="1:69" s="187" customFormat="1" ht="12" customHeight="1" x14ac:dyDescent="0.3">
      <c r="A16" s="220">
        <v>9257017</v>
      </c>
      <c r="B16" s="1916" t="s">
        <v>54</v>
      </c>
      <c r="C16" s="1917"/>
      <c r="D16" s="1917"/>
      <c r="E16" s="1917"/>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3"/>
        <v>0</v>
      </c>
      <c r="Z16" s="194"/>
      <c r="AA16" s="194"/>
      <c r="AB16" s="194"/>
      <c r="AC16" s="194"/>
      <c r="AD16" s="194"/>
      <c r="AE16" s="194">
        <f t="shared" si="4"/>
        <v>0</v>
      </c>
      <c r="AG16" s="194"/>
      <c r="AH16" s="194"/>
      <c r="AI16" s="194"/>
      <c r="AJ16" s="194"/>
      <c r="AK16" s="194"/>
      <c r="AL16" s="194">
        <f t="shared" si="5"/>
        <v>0</v>
      </c>
      <c r="AN16" s="194"/>
      <c r="AO16" s="194"/>
      <c r="AP16" s="194"/>
      <c r="AQ16" s="194"/>
      <c r="AR16" s="194"/>
      <c r="AS16" s="194">
        <f t="shared" si="6"/>
        <v>0</v>
      </c>
      <c r="AU16" s="194"/>
      <c r="AV16" s="194"/>
      <c r="AW16" s="194"/>
      <c r="AX16" s="194"/>
      <c r="AY16" s="194"/>
      <c r="AZ16" s="194">
        <f t="shared" si="7"/>
        <v>0</v>
      </c>
      <c r="BB16" s="955"/>
      <c r="BC16" s="194"/>
      <c r="BD16" s="194"/>
      <c r="BE16" s="194">
        <f t="shared" si="0"/>
        <v>0</v>
      </c>
      <c r="BG16" s="292"/>
      <c r="BH16" s="292"/>
      <c r="BI16" s="292"/>
      <c r="BJ16" s="194">
        <f t="shared" si="1"/>
        <v>0</v>
      </c>
      <c r="BL16" s="292"/>
      <c r="BM16" s="292"/>
      <c r="BN16" s="292"/>
      <c r="BO16" s="194">
        <f t="shared" si="2"/>
        <v>0</v>
      </c>
      <c r="BP16" s="1069"/>
    </row>
    <row r="17" spans="1:69" ht="12" customHeight="1" x14ac:dyDescent="0.35">
      <c r="A17" s="220">
        <v>9257015</v>
      </c>
      <c r="B17" s="1916" t="s">
        <v>94</v>
      </c>
      <c r="C17" s="1917"/>
      <c r="D17" s="1917"/>
      <c r="E17" s="1917"/>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3"/>
        <v>86758</v>
      </c>
      <c r="Z17" s="194">
        <f>I17</f>
        <v>35258</v>
      </c>
      <c r="AA17" s="194"/>
      <c r="AB17" s="194">
        <f>Q17*(5/12)</f>
        <v>21458.333333333336</v>
      </c>
      <c r="AC17" s="367"/>
      <c r="AD17" s="194"/>
      <c r="AE17" s="194">
        <f t="shared" si="4"/>
        <v>56716.333333333336</v>
      </c>
      <c r="AG17" s="194">
        <v>35258</v>
      </c>
      <c r="AH17" s="194"/>
      <c r="AI17" s="194">
        <v>0</v>
      </c>
      <c r="AJ17" s="367"/>
      <c r="AK17" s="194"/>
      <c r="AL17" s="194">
        <f t="shared" si="5"/>
        <v>35258</v>
      </c>
      <c r="AN17" s="194">
        <v>26443.5</v>
      </c>
      <c r="AO17" s="194"/>
      <c r="AP17" s="194">
        <v>0</v>
      </c>
      <c r="AQ17" s="367"/>
      <c r="AR17" s="194"/>
      <c r="AS17" s="194">
        <f t="shared" si="6"/>
        <v>26443.5</v>
      </c>
      <c r="AU17" s="194">
        <v>35258</v>
      </c>
      <c r="AV17" s="194"/>
      <c r="AW17" s="194">
        <v>0</v>
      </c>
      <c r="AX17" s="367"/>
      <c r="AY17" s="194"/>
      <c r="AZ17" s="194">
        <f t="shared" si="7"/>
        <v>35258</v>
      </c>
      <c r="BB17" s="955">
        <v>35258</v>
      </c>
      <c r="BC17" s="194"/>
      <c r="BD17" s="194"/>
      <c r="BE17" s="194">
        <f t="shared" si="0"/>
        <v>35258</v>
      </c>
      <c r="BG17" s="292">
        <f>35258+12500</f>
        <v>47758</v>
      </c>
      <c r="BH17" s="292"/>
      <c r="BI17" s="292"/>
      <c r="BJ17" s="194">
        <f t="shared" si="1"/>
        <v>47758</v>
      </c>
      <c r="BL17" s="292">
        <f>35258*5/12</f>
        <v>14690.833333333334</v>
      </c>
      <c r="BM17" s="292"/>
      <c r="BN17" s="292"/>
      <c r="BO17" s="194">
        <f t="shared" si="2"/>
        <v>14690.833333333334</v>
      </c>
      <c r="BP17" s="1069"/>
      <c r="BQ17" s="189" t="s">
        <v>925</v>
      </c>
    </row>
    <row r="18" spans="1:69" ht="51" x14ac:dyDescent="0.35">
      <c r="A18" s="220">
        <v>9257016</v>
      </c>
      <c r="B18" s="1916" t="s">
        <v>95</v>
      </c>
      <c r="C18" s="1917"/>
      <c r="D18" s="1917"/>
      <c r="E18" s="1917"/>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3"/>
        <v>731504</v>
      </c>
      <c r="Z18" s="194"/>
      <c r="AA18" s="194">
        <f>L18*(5/12)</f>
        <v>25000</v>
      </c>
      <c r="AB18" s="194">
        <f>Q18*(5/12)</f>
        <v>37056.666666666672</v>
      </c>
      <c r="AC18" s="367"/>
      <c r="AD18" s="194">
        <f>U18</f>
        <v>582568</v>
      </c>
      <c r="AE18" s="194">
        <f t="shared" si="4"/>
        <v>644624.66666666663</v>
      </c>
      <c r="AG18" s="194"/>
      <c r="AH18" s="194">
        <v>0</v>
      </c>
      <c r="AI18" s="194">
        <v>140436</v>
      </c>
      <c r="AJ18" s="367"/>
      <c r="AK18" s="194">
        <v>582568</v>
      </c>
      <c r="AL18" s="194">
        <f t="shared" si="5"/>
        <v>723004</v>
      </c>
      <c r="AN18" s="194"/>
      <c r="AO18" s="194">
        <v>0</v>
      </c>
      <c r="AP18" s="194">
        <v>140436</v>
      </c>
      <c r="AQ18" s="367"/>
      <c r="AR18" s="194">
        <v>582568</v>
      </c>
      <c r="AS18" s="194">
        <f t="shared" si="6"/>
        <v>723004</v>
      </c>
      <c r="AU18" s="194"/>
      <c r="AV18" s="194">
        <v>0</v>
      </c>
      <c r="AW18" s="194">
        <v>140436</v>
      </c>
      <c r="AX18" s="367"/>
      <c r="AY18" s="194">
        <v>582568</v>
      </c>
      <c r="AZ18" s="194">
        <f t="shared" si="7"/>
        <v>723004</v>
      </c>
      <c r="BB18" s="955"/>
      <c r="BC18" s="954">
        <v>140436</v>
      </c>
      <c r="BD18" s="194">
        <v>582568</v>
      </c>
      <c r="BE18" s="194">
        <f t="shared" si="0"/>
        <v>723004</v>
      </c>
      <c r="BG18" s="292"/>
      <c r="BH18" s="292">
        <f>140436/12*5</f>
        <v>58515</v>
      </c>
      <c r="BI18" s="292">
        <v>582568</v>
      </c>
      <c r="BJ18" s="194">
        <f t="shared" si="1"/>
        <v>641083</v>
      </c>
      <c r="BL18" s="292"/>
      <c r="BM18" s="292">
        <f>140436/12*5</f>
        <v>58515</v>
      </c>
      <c r="BN18" s="1528" t="s">
        <v>1224</v>
      </c>
      <c r="BO18" s="194">
        <f t="shared" si="2"/>
        <v>58515</v>
      </c>
      <c r="BP18" s="292">
        <f>582568</f>
        <v>582568</v>
      </c>
      <c r="BQ18" s="189" t="s">
        <v>927</v>
      </c>
    </row>
    <row r="19" spans="1:69" ht="12" customHeight="1" x14ac:dyDescent="0.35">
      <c r="A19" s="220">
        <v>9257032</v>
      </c>
      <c r="B19" s="1918" t="s">
        <v>165</v>
      </c>
      <c r="C19" s="1919"/>
      <c r="D19" s="1919"/>
      <c r="E19" s="1920"/>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3"/>
        <v>60000</v>
      </c>
      <c r="Z19" s="194"/>
      <c r="AA19" s="194">
        <f>L19*(5/12)</f>
        <v>25000</v>
      </c>
      <c r="AB19" s="194"/>
      <c r="AC19" s="367"/>
      <c r="AD19" s="194"/>
      <c r="AE19" s="194">
        <f t="shared" si="4"/>
        <v>25000</v>
      </c>
      <c r="AG19" s="194"/>
      <c r="AH19" s="194">
        <v>0</v>
      </c>
      <c r="AI19" s="194"/>
      <c r="AJ19" s="367"/>
      <c r="AK19" s="194"/>
      <c r="AL19" s="194">
        <f t="shared" si="5"/>
        <v>0</v>
      </c>
      <c r="AN19" s="194"/>
      <c r="AO19" s="194">
        <v>0</v>
      </c>
      <c r="AP19" s="194"/>
      <c r="AQ19" s="367"/>
      <c r="AR19" s="194"/>
      <c r="AS19" s="194">
        <f t="shared" si="6"/>
        <v>0</v>
      </c>
      <c r="AU19" s="194"/>
      <c r="AV19" s="194">
        <v>0</v>
      </c>
      <c r="AW19" s="194"/>
      <c r="AX19" s="367"/>
      <c r="AY19" s="194"/>
      <c r="AZ19" s="194">
        <f t="shared" si="7"/>
        <v>0</v>
      </c>
      <c r="BB19" s="955"/>
      <c r="BC19" s="194"/>
      <c r="BD19" s="194"/>
      <c r="BE19" s="194">
        <f t="shared" si="0"/>
        <v>0</v>
      </c>
      <c r="BG19" s="292"/>
      <c r="BH19" s="292"/>
      <c r="BI19" s="292"/>
      <c r="BJ19" s="194">
        <f t="shared" si="1"/>
        <v>0</v>
      </c>
      <c r="BL19" s="292"/>
      <c r="BM19" s="292"/>
      <c r="BN19" s="292"/>
      <c r="BO19" s="194">
        <f t="shared" si="2"/>
        <v>0</v>
      </c>
      <c r="BP19" s="1069"/>
    </row>
    <row r="20" spans="1:69" ht="12" customHeight="1" x14ac:dyDescent="0.35">
      <c r="A20" s="220">
        <v>9257025</v>
      </c>
      <c r="B20" s="1916" t="s">
        <v>52</v>
      </c>
      <c r="C20" s="1917"/>
      <c r="D20" s="1917"/>
      <c r="E20" s="1917"/>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3"/>
        <v>401527</v>
      </c>
      <c r="Z20" s="194">
        <f>I20</f>
        <v>35258</v>
      </c>
      <c r="AA20" s="194"/>
      <c r="AB20" s="194"/>
      <c r="AC20" s="194">
        <f>51500*(5/12)</f>
        <v>21458.333333333336</v>
      </c>
      <c r="AD20" s="194">
        <f>U20</f>
        <v>327644</v>
      </c>
      <c r="AE20" s="194">
        <f t="shared" si="4"/>
        <v>384360.33333333331</v>
      </c>
      <c r="AG20" s="194">
        <v>35258</v>
      </c>
      <c r="AH20" s="194"/>
      <c r="AI20" s="194"/>
      <c r="AJ20" s="194">
        <v>0</v>
      </c>
      <c r="AK20" s="194">
        <f>327644+209307</f>
        <v>536951</v>
      </c>
      <c r="AL20" s="194">
        <f t="shared" si="5"/>
        <v>572209</v>
      </c>
      <c r="AN20" s="194">
        <v>26443.5</v>
      </c>
      <c r="AO20" s="194"/>
      <c r="AP20" s="194"/>
      <c r="AQ20" s="194">
        <v>0</v>
      </c>
      <c r="AR20" s="194">
        <f>327644+209307</f>
        <v>536951</v>
      </c>
      <c r="AS20" s="194">
        <f t="shared" si="6"/>
        <v>563394.5</v>
      </c>
      <c r="AU20" s="194">
        <v>35258</v>
      </c>
      <c r="AV20" s="194"/>
      <c r="AW20" s="194"/>
      <c r="AX20" s="194">
        <v>0</v>
      </c>
      <c r="AY20" s="194">
        <f>327644+209307</f>
        <v>536951</v>
      </c>
      <c r="AZ20" s="194">
        <f t="shared" si="7"/>
        <v>572209</v>
      </c>
      <c r="BB20" s="955">
        <v>35258</v>
      </c>
      <c r="BC20" s="194"/>
      <c r="BD20" s="194">
        <f>327644+209307</f>
        <v>536951</v>
      </c>
      <c r="BE20" s="194">
        <f t="shared" si="0"/>
        <v>572209</v>
      </c>
      <c r="BG20" s="292">
        <f>35258*2</f>
        <v>70516</v>
      </c>
      <c r="BH20" s="292"/>
      <c r="BI20" s="292">
        <f>327644+209307</f>
        <v>536951</v>
      </c>
      <c r="BJ20" s="194">
        <f t="shared" si="1"/>
        <v>607467</v>
      </c>
      <c r="BL20" s="292">
        <f>(35258*2)*5/12</f>
        <v>29381.666666666668</v>
      </c>
      <c r="BM20" s="292"/>
      <c r="BN20" s="292">
        <f>327644+209307</f>
        <v>536951</v>
      </c>
      <c r="BO20" s="194">
        <f t="shared" si="2"/>
        <v>566332.66666666663</v>
      </c>
      <c r="BP20" s="1069"/>
      <c r="BQ20" s="189" t="s">
        <v>928</v>
      </c>
    </row>
    <row r="21" spans="1:69" ht="12" customHeight="1" x14ac:dyDescent="0.35">
      <c r="A21" s="220">
        <v>9257011</v>
      </c>
      <c r="B21" s="1916" t="s">
        <v>89</v>
      </c>
      <c r="C21" s="1917"/>
      <c r="D21" s="1917"/>
      <c r="E21" s="1917"/>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3"/>
        <v>54570.5</v>
      </c>
      <c r="Z21" s="194">
        <f>I21</f>
        <v>35258</v>
      </c>
      <c r="AA21" s="194"/>
      <c r="AB21" s="194"/>
      <c r="AC21" s="194">
        <f>(51500)*(5/12)</f>
        <v>21458.333333333336</v>
      </c>
      <c r="AD21" s="194"/>
      <c r="AE21" s="194">
        <f t="shared" si="4"/>
        <v>56716.333333333336</v>
      </c>
      <c r="AG21" s="194">
        <v>35258</v>
      </c>
      <c r="AH21" s="194"/>
      <c r="AI21" s="194"/>
      <c r="AJ21" s="194">
        <v>0</v>
      </c>
      <c r="AK21" s="194"/>
      <c r="AL21" s="194">
        <f t="shared" si="5"/>
        <v>35258</v>
      </c>
      <c r="AN21" s="194">
        <v>26443.5</v>
      </c>
      <c r="AO21" s="194"/>
      <c r="AP21" s="194"/>
      <c r="AQ21" s="194">
        <v>0</v>
      </c>
      <c r="AR21" s="194"/>
      <c r="AS21" s="194">
        <f t="shared" si="6"/>
        <v>26443.5</v>
      </c>
      <c r="AU21" s="194">
        <v>35258</v>
      </c>
      <c r="AV21" s="194"/>
      <c r="AW21" s="194"/>
      <c r="AX21" s="194">
        <v>0</v>
      </c>
      <c r="AY21" s="194"/>
      <c r="AZ21" s="194">
        <f t="shared" si="7"/>
        <v>35258</v>
      </c>
      <c r="BB21" s="955">
        <v>35258</v>
      </c>
      <c r="BC21" s="194"/>
      <c r="BD21" s="194"/>
      <c r="BE21" s="194">
        <f t="shared" si="0"/>
        <v>35258</v>
      </c>
      <c r="BG21" s="292">
        <v>35258</v>
      </c>
      <c r="BH21" s="194"/>
      <c r="BI21" s="194"/>
      <c r="BJ21" s="194">
        <f t="shared" si="1"/>
        <v>35258</v>
      </c>
      <c r="BL21" s="292">
        <f>35258*5/12</f>
        <v>14690.833333333334</v>
      </c>
      <c r="BM21" s="194"/>
      <c r="BN21" s="194"/>
      <c r="BO21" s="194">
        <f t="shared" si="2"/>
        <v>14690.833333333334</v>
      </c>
      <c r="BP21" s="1069"/>
    </row>
    <row r="22" spans="1:69" ht="12" customHeight="1" x14ac:dyDescent="0.35">
      <c r="A22" s="220">
        <v>9257009</v>
      </c>
      <c r="B22" s="1916" t="s">
        <v>93</v>
      </c>
      <c r="C22" s="1917"/>
      <c r="D22" s="1917"/>
      <c r="E22" s="1917"/>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3"/>
        <v>19312.5</v>
      </c>
      <c r="Z22" s="194"/>
      <c r="AA22" s="194"/>
      <c r="AB22" s="194"/>
      <c r="AC22" s="194">
        <f>(51500)*(5/12)</f>
        <v>21458.333333333336</v>
      </c>
      <c r="AD22" s="194"/>
      <c r="AE22" s="194">
        <f t="shared" si="4"/>
        <v>21458.333333333336</v>
      </c>
      <c r="AG22" s="194"/>
      <c r="AH22" s="194"/>
      <c r="AI22" s="194"/>
      <c r="AJ22" s="194">
        <v>0</v>
      </c>
      <c r="AK22" s="194"/>
      <c r="AL22" s="194">
        <f t="shared" si="5"/>
        <v>0</v>
      </c>
      <c r="AN22" s="194"/>
      <c r="AO22" s="194"/>
      <c r="AP22" s="194"/>
      <c r="AQ22" s="194">
        <v>0</v>
      </c>
      <c r="AR22" s="194"/>
      <c r="AS22" s="194">
        <f t="shared" si="6"/>
        <v>0</v>
      </c>
      <c r="AU22" s="194"/>
      <c r="AV22" s="194"/>
      <c r="AW22" s="194"/>
      <c r="AX22" s="194">
        <v>0</v>
      </c>
      <c r="AY22" s="194"/>
      <c r="AZ22" s="194">
        <f t="shared" si="7"/>
        <v>0</v>
      </c>
      <c r="BB22" s="955"/>
      <c r="BC22" s="194"/>
      <c r="BD22" s="194"/>
      <c r="BE22" s="194">
        <f t="shared" si="0"/>
        <v>0</v>
      </c>
      <c r="BG22" s="292"/>
      <c r="BH22" s="194"/>
      <c r="BI22" s="194"/>
      <c r="BJ22" s="194">
        <f t="shared" si="1"/>
        <v>0</v>
      </c>
      <c r="BL22" s="292"/>
      <c r="BM22" s="194"/>
      <c r="BN22" s="194"/>
      <c r="BO22" s="194">
        <f t="shared" si="2"/>
        <v>0</v>
      </c>
      <c r="BP22" s="1069"/>
    </row>
    <row r="23" spans="1:69" ht="12" customHeight="1" x14ac:dyDescent="0.35">
      <c r="A23" s="220">
        <v>9257024</v>
      </c>
      <c r="B23" s="1916" t="s">
        <v>90</v>
      </c>
      <c r="C23" s="1917"/>
      <c r="D23" s="1917"/>
      <c r="E23" s="1917"/>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3"/>
        <v>95258</v>
      </c>
      <c r="Z23" s="194">
        <f>I23</f>
        <v>35258</v>
      </c>
      <c r="AA23" s="194">
        <f>L23*(5/12)</f>
        <v>25000</v>
      </c>
      <c r="AB23" s="194"/>
      <c r="AC23" s="367"/>
      <c r="AD23" s="194"/>
      <c r="AE23" s="194">
        <f t="shared" si="4"/>
        <v>60258</v>
      </c>
      <c r="AG23" s="194">
        <v>35258</v>
      </c>
      <c r="AH23" s="194">
        <v>0</v>
      </c>
      <c r="AI23" s="194"/>
      <c r="AJ23" s="367"/>
      <c r="AK23" s="194"/>
      <c r="AL23" s="194">
        <f t="shared" si="5"/>
        <v>35258</v>
      </c>
      <c r="AN23" s="194">
        <v>26443.5</v>
      </c>
      <c r="AO23" s="194">
        <v>0</v>
      </c>
      <c r="AP23" s="194"/>
      <c r="AQ23" s="367"/>
      <c r="AR23" s="194"/>
      <c r="AS23" s="194">
        <f t="shared" si="6"/>
        <v>26443.5</v>
      </c>
      <c r="AU23" s="194">
        <v>35258</v>
      </c>
      <c r="AV23" s="194">
        <v>0</v>
      </c>
      <c r="AW23" s="194"/>
      <c r="AX23" s="367"/>
      <c r="AY23" s="194"/>
      <c r="AZ23" s="194">
        <f t="shared" si="7"/>
        <v>35258</v>
      </c>
      <c r="BB23" s="955">
        <v>35258</v>
      </c>
      <c r="BC23" s="194"/>
      <c r="BD23" s="194"/>
      <c r="BE23" s="194">
        <f t="shared" si="0"/>
        <v>35258</v>
      </c>
      <c r="BG23" s="292">
        <v>35258</v>
      </c>
      <c r="BH23" s="194"/>
      <c r="BI23" s="194"/>
      <c r="BJ23" s="194">
        <f t="shared" si="1"/>
        <v>35258</v>
      </c>
      <c r="BL23" s="292">
        <f>35258*5/12</f>
        <v>14690.833333333334</v>
      </c>
      <c r="BM23" s="194"/>
      <c r="BN23" s="194"/>
      <c r="BO23" s="194">
        <f t="shared" si="2"/>
        <v>14690.833333333334</v>
      </c>
      <c r="BP23" s="1069"/>
    </row>
    <row r="24" spans="1:69" ht="12" customHeight="1" x14ac:dyDescent="0.35">
      <c r="A24" s="220">
        <v>9257028</v>
      </c>
      <c r="B24" s="1916" t="s">
        <v>135</v>
      </c>
      <c r="C24" s="1917"/>
      <c r="D24" s="1917"/>
      <c r="E24" s="1917"/>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3"/>
        <v>95258</v>
      </c>
      <c r="Z24" s="194">
        <f>I24</f>
        <v>35258</v>
      </c>
      <c r="AA24" s="194"/>
      <c r="AB24" s="194"/>
      <c r="AC24" s="367"/>
      <c r="AD24" s="194"/>
      <c r="AE24" s="194">
        <f t="shared" si="4"/>
        <v>35258</v>
      </c>
      <c r="AG24" s="194">
        <v>35258</v>
      </c>
      <c r="AH24" s="194"/>
      <c r="AI24" s="194"/>
      <c r="AJ24" s="367"/>
      <c r="AK24" s="194"/>
      <c r="AL24" s="194">
        <f t="shared" si="5"/>
        <v>35258</v>
      </c>
      <c r="AN24" s="194">
        <v>26443.5</v>
      </c>
      <c r="AO24" s="194"/>
      <c r="AP24" s="194"/>
      <c r="AQ24" s="367"/>
      <c r="AR24" s="194"/>
      <c r="AS24" s="194">
        <f t="shared" si="6"/>
        <v>26443.5</v>
      </c>
      <c r="AU24" s="194">
        <v>35258</v>
      </c>
      <c r="AV24" s="194"/>
      <c r="AW24" s="194"/>
      <c r="AX24" s="367"/>
      <c r="AY24" s="194"/>
      <c r="AZ24" s="194">
        <f t="shared" si="7"/>
        <v>35258</v>
      </c>
      <c r="BB24" s="955">
        <v>35258</v>
      </c>
      <c r="BC24" s="194"/>
      <c r="BD24" s="194"/>
      <c r="BE24" s="194">
        <f t="shared" si="0"/>
        <v>35258</v>
      </c>
      <c r="BG24" s="292">
        <v>35258</v>
      </c>
      <c r="BH24" s="194"/>
      <c r="BI24" s="194"/>
      <c r="BJ24" s="194">
        <f t="shared" si="1"/>
        <v>35258</v>
      </c>
      <c r="BL24" s="292">
        <f>35258*5/12</f>
        <v>14690.833333333334</v>
      </c>
      <c r="BM24" s="194"/>
      <c r="BN24" s="194"/>
      <c r="BO24" s="194">
        <f t="shared" si="2"/>
        <v>14690.833333333334</v>
      </c>
      <c r="BP24" s="1069"/>
    </row>
    <row r="25" spans="1:69" ht="12" customHeight="1" x14ac:dyDescent="0.35">
      <c r="A25" s="220">
        <v>9257029</v>
      </c>
      <c r="B25" s="2013" t="s">
        <v>849</v>
      </c>
      <c r="C25" s="1922"/>
      <c r="D25" s="1922"/>
      <c r="E25" s="1923"/>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3"/>
        <v>60000</v>
      </c>
      <c r="Z25" s="194"/>
      <c r="AA25" s="194">
        <f>L25*(5/12)</f>
        <v>25000</v>
      </c>
      <c r="AB25" s="194"/>
      <c r="AC25" s="367"/>
      <c r="AD25" s="194"/>
      <c r="AE25" s="194">
        <f t="shared" si="4"/>
        <v>25000</v>
      </c>
      <c r="AG25" s="194"/>
      <c r="AH25" s="194">
        <v>0</v>
      </c>
      <c r="AI25" s="194"/>
      <c r="AJ25" s="367"/>
      <c r="AK25" s="194"/>
      <c r="AL25" s="194">
        <f t="shared" si="5"/>
        <v>0</v>
      </c>
      <c r="AN25" s="194"/>
      <c r="AO25" s="194">
        <v>0</v>
      </c>
      <c r="AP25" s="194"/>
      <c r="AQ25" s="367"/>
      <c r="AR25" s="194"/>
      <c r="AS25" s="194">
        <f t="shared" si="6"/>
        <v>0</v>
      </c>
      <c r="AU25" s="194"/>
      <c r="AV25" s="194">
        <v>0</v>
      </c>
      <c r="AW25" s="194"/>
      <c r="AX25" s="367"/>
      <c r="AY25" s="194"/>
      <c r="AZ25" s="194">
        <f t="shared" si="7"/>
        <v>0</v>
      </c>
      <c r="BB25" s="194"/>
      <c r="BC25" s="194"/>
      <c r="BD25" s="194"/>
      <c r="BE25" s="194">
        <f t="shared" si="0"/>
        <v>0</v>
      </c>
      <c r="BG25" s="194"/>
      <c r="BH25" s="194"/>
      <c r="BI25" s="194"/>
      <c r="BJ25" s="194">
        <f t="shared" si="1"/>
        <v>0</v>
      </c>
      <c r="BL25" s="194"/>
      <c r="BM25" s="194"/>
      <c r="BN25" s="194"/>
      <c r="BO25" s="194">
        <f t="shared" si="2"/>
        <v>0</v>
      </c>
      <c r="BP25" s="1069"/>
    </row>
    <row r="26" spans="1:69" ht="12" customHeight="1" x14ac:dyDescent="0.35">
      <c r="B26" s="1924" t="s">
        <v>62</v>
      </c>
      <c r="C26" s="1924"/>
      <c r="D26" s="1924"/>
      <c r="E26" s="1924"/>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4"/>
        <v>1536257.3333333335</v>
      </c>
      <c r="AG26" s="194">
        <f>SUM(AG7:AG25)</f>
        <v>317322</v>
      </c>
      <c r="AH26" s="194">
        <f>SUM(AH7:AH25)</f>
        <v>0</v>
      </c>
      <c r="AI26" s="194">
        <f>SUM(AI7:AI25)</f>
        <v>757936</v>
      </c>
      <c r="AJ26" s="194">
        <f>SUM(AJ7:AJ25)</f>
        <v>0</v>
      </c>
      <c r="AK26" s="194">
        <f>SUM(AK7:AK25)</f>
        <v>1119519</v>
      </c>
      <c r="AL26" s="194">
        <f t="shared" si="5"/>
        <v>2194777</v>
      </c>
      <c r="AN26" s="194">
        <f>SUM(AN7:AN25)</f>
        <v>237991.5</v>
      </c>
      <c r="AO26" s="194">
        <f>SUM(AO7:AO25)</f>
        <v>0</v>
      </c>
      <c r="AP26" s="194">
        <f>SUM(AP7:AP25)</f>
        <v>757936</v>
      </c>
      <c r="AQ26" s="194">
        <f>SUM(AQ7:AQ25)</f>
        <v>0</v>
      </c>
      <c r="AR26" s="194">
        <f>SUM(AR7:AR25)</f>
        <v>1119519</v>
      </c>
      <c r="AS26" s="194">
        <f t="shared" si="6"/>
        <v>2115446.5</v>
      </c>
      <c r="AU26" s="194">
        <f>SUM(AU7:AU25)</f>
        <v>317322</v>
      </c>
      <c r="AV26" s="194">
        <f>SUM(AV7:AV25)</f>
        <v>0</v>
      </c>
      <c r="AW26" s="194">
        <f>SUM(AW7:AW25)</f>
        <v>757936</v>
      </c>
      <c r="AX26" s="194">
        <f>SUM(AX7:AX25)</f>
        <v>0</v>
      </c>
      <c r="AY26" s="194">
        <f>SUM(AY7:AY25)</f>
        <v>1119519</v>
      </c>
      <c r="AZ26" s="194">
        <f t="shared" si="7"/>
        <v>2194777</v>
      </c>
      <c r="BB26" s="194">
        <f>SUM(BB7:BB25)</f>
        <v>317322</v>
      </c>
      <c r="BC26" s="194">
        <f>SUM(BC7:BC25)</f>
        <v>757936</v>
      </c>
      <c r="BD26" s="194">
        <f>SUM(BD7:BD25)</f>
        <v>1119519</v>
      </c>
      <c r="BE26" s="194">
        <f t="shared" si="0"/>
        <v>2194777</v>
      </c>
      <c r="BG26" s="194">
        <f>SUM(BG7:BG25)</f>
        <v>329822</v>
      </c>
      <c r="BH26" s="194">
        <f>SUM(BH7:BH25)</f>
        <v>315806.66666666669</v>
      </c>
      <c r="BI26" s="194">
        <f>SUM(BI7:BI25)</f>
        <v>1119519</v>
      </c>
      <c r="BJ26" s="194">
        <f t="shared" si="1"/>
        <v>1765147.6666666667</v>
      </c>
      <c r="BL26" s="194">
        <f>SUM(BL7:BL25)</f>
        <v>132217.5</v>
      </c>
      <c r="BM26" s="194">
        <f>SUM(BM7:BM25)</f>
        <v>315806.66666666669</v>
      </c>
      <c r="BN26" s="194">
        <f>SUM(BN7:BN25)</f>
        <v>536951</v>
      </c>
      <c r="BO26" s="194">
        <f t="shared" si="2"/>
        <v>984975.16666666674</v>
      </c>
      <c r="BP26" s="1069"/>
      <c r="BQ26" s="189">
        <f>BP18/12*5</f>
        <v>242736.66666666669</v>
      </c>
    </row>
    <row r="27" spans="1:69" ht="15" customHeight="1" x14ac:dyDescent="0.35"/>
    <row r="28" spans="1:69" ht="15" hidden="1" customHeight="1" x14ac:dyDescent="0.35">
      <c r="B28" s="199" t="s">
        <v>115</v>
      </c>
    </row>
    <row r="29" spans="1:69" ht="15" hidden="1" customHeight="1" x14ac:dyDescent="0.35">
      <c r="B29" s="200" t="s">
        <v>213</v>
      </c>
    </row>
    <row r="30" spans="1:69" ht="15" hidden="1" customHeight="1" x14ac:dyDescent="0.35">
      <c r="B30" s="1930" t="s">
        <v>223</v>
      </c>
      <c r="C30" s="1930"/>
      <c r="D30" s="1930"/>
      <c r="E30" s="1930"/>
      <c r="F30" s="1930"/>
      <c r="G30" s="1930"/>
      <c r="H30" s="1930"/>
      <c r="I30" s="1930"/>
      <c r="J30" s="1930"/>
      <c r="K30" s="1930"/>
      <c r="L30" s="1930"/>
      <c r="M30" s="1930"/>
      <c r="N30" s="1930"/>
      <c r="O30" s="1930"/>
      <c r="P30" s="1930"/>
      <c r="Q30" s="1930"/>
      <c r="R30" s="1930"/>
      <c r="S30" s="1930"/>
      <c r="T30" s="1930"/>
      <c r="U30" s="1930"/>
      <c r="V30" s="1930"/>
    </row>
    <row r="31" spans="1:69" ht="15" hidden="1" customHeight="1" x14ac:dyDescent="0.35">
      <c r="B31" s="1930"/>
      <c r="C31" s="1930"/>
      <c r="D31" s="1930"/>
      <c r="E31" s="1930"/>
      <c r="F31" s="1930"/>
      <c r="G31" s="1930"/>
      <c r="H31" s="1930"/>
      <c r="I31" s="1930"/>
      <c r="J31" s="1930"/>
      <c r="K31" s="1930"/>
      <c r="L31" s="1930"/>
      <c r="M31" s="1930"/>
      <c r="N31" s="1930"/>
      <c r="O31" s="1930"/>
      <c r="P31" s="1930"/>
      <c r="Q31" s="1930"/>
      <c r="R31" s="1930"/>
      <c r="S31" s="1930"/>
      <c r="T31" s="1930"/>
      <c r="U31" s="1930"/>
      <c r="V31" s="1930"/>
    </row>
    <row r="32" spans="1:69" ht="15" hidden="1" customHeight="1" x14ac:dyDescent="0.35">
      <c r="B32" s="1930"/>
      <c r="C32" s="1930"/>
      <c r="D32" s="1930"/>
      <c r="E32" s="1930"/>
      <c r="F32" s="1930"/>
      <c r="G32" s="1930"/>
      <c r="H32" s="1930"/>
      <c r="I32" s="1930"/>
      <c r="J32" s="1930"/>
      <c r="K32" s="1930"/>
      <c r="L32" s="1930"/>
      <c r="M32" s="1930"/>
      <c r="N32" s="1930"/>
      <c r="O32" s="1930"/>
      <c r="P32" s="1930"/>
      <c r="Q32" s="1930"/>
      <c r="R32" s="1930"/>
      <c r="S32" s="1930"/>
      <c r="T32" s="1930"/>
      <c r="U32" s="1930"/>
      <c r="V32" s="1930"/>
    </row>
    <row r="33" spans="1:68" ht="18.75" hidden="1" customHeight="1" x14ac:dyDescent="0.35">
      <c r="B33" s="1930"/>
      <c r="C33" s="1930"/>
      <c r="D33" s="1930"/>
      <c r="E33" s="1930"/>
      <c r="F33" s="1930"/>
      <c r="G33" s="1930"/>
      <c r="H33" s="1930"/>
      <c r="I33" s="1930"/>
      <c r="J33" s="1930"/>
      <c r="K33" s="1930"/>
      <c r="L33" s="1930"/>
      <c r="M33" s="1930"/>
      <c r="N33" s="1930"/>
      <c r="O33" s="1930"/>
      <c r="P33" s="1930"/>
      <c r="Q33" s="1930"/>
      <c r="R33" s="1930"/>
      <c r="S33" s="1930"/>
      <c r="T33" s="1930"/>
      <c r="U33" s="1930"/>
      <c r="V33" s="1930"/>
    </row>
    <row r="34" spans="1:68" ht="15" hidden="1" customHeight="1" x14ac:dyDescent="0.35">
      <c r="B34" s="201"/>
      <c r="C34" s="201"/>
      <c r="D34" s="201"/>
      <c r="E34" s="201"/>
      <c r="F34" s="201"/>
      <c r="G34" s="201"/>
      <c r="H34" s="201"/>
      <c r="I34" s="201"/>
      <c r="J34" s="1055"/>
      <c r="K34" s="1055"/>
      <c r="L34" s="1055"/>
      <c r="M34" s="201"/>
      <c r="N34" s="201"/>
    </row>
    <row r="35" spans="1:68" ht="15" hidden="1" customHeight="1" x14ac:dyDescent="0.35">
      <c r="B35" s="200" t="s">
        <v>139</v>
      </c>
    </row>
    <row r="36" spans="1:68" ht="15" hidden="1" customHeight="1" x14ac:dyDescent="0.35">
      <c r="B36" s="1930" t="s">
        <v>214</v>
      </c>
      <c r="C36" s="1930"/>
      <c r="D36" s="1930"/>
      <c r="E36" s="1930"/>
      <c r="F36" s="1930"/>
      <c r="G36" s="1930"/>
      <c r="H36" s="1930"/>
      <c r="I36" s="1930"/>
      <c r="J36" s="1930"/>
      <c r="K36" s="1930"/>
      <c r="L36" s="1930"/>
      <c r="M36" s="1930"/>
      <c r="N36" s="1930"/>
      <c r="O36" s="1930"/>
      <c r="P36" s="1930"/>
      <c r="Q36" s="1930"/>
      <c r="R36" s="1930"/>
      <c r="S36" s="1930"/>
      <c r="T36" s="1930"/>
      <c r="U36" s="1930"/>
      <c r="V36" s="1930"/>
    </row>
    <row r="37" spans="1:68" ht="15" hidden="1" customHeight="1" x14ac:dyDescent="0.35">
      <c r="B37" s="1930"/>
      <c r="C37" s="1930"/>
      <c r="D37" s="1930"/>
      <c r="E37" s="1930"/>
      <c r="F37" s="1930"/>
      <c r="G37" s="1930"/>
      <c r="H37" s="1930"/>
      <c r="I37" s="1930"/>
      <c r="J37" s="1930"/>
      <c r="K37" s="1930"/>
      <c r="L37" s="1930"/>
      <c r="M37" s="1930"/>
      <c r="N37" s="1930"/>
      <c r="O37" s="1930"/>
      <c r="P37" s="1930"/>
      <c r="Q37" s="1930"/>
      <c r="R37" s="1930"/>
      <c r="S37" s="1930"/>
      <c r="T37" s="1930"/>
      <c r="U37" s="1930"/>
      <c r="V37" s="1930"/>
    </row>
    <row r="38" spans="1:68" ht="23.25" hidden="1" customHeight="1" x14ac:dyDescent="0.35">
      <c r="B38" s="1930"/>
      <c r="C38" s="1930"/>
      <c r="D38" s="1930"/>
      <c r="E38" s="1930"/>
      <c r="F38" s="1930"/>
      <c r="G38" s="1930"/>
      <c r="H38" s="1930"/>
      <c r="I38" s="1930"/>
      <c r="J38" s="1930"/>
      <c r="K38" s="1930"/>
      <c r="L38" s="1930"/>
      <c r="M38" s="1930"/>
      <c r="N38" s="1930"/>
      <c r="O38" s="1930"/>
      <c r="P38" s="1930"/>
      <c r="Q38" s="1930"/>
      <c r="R38" s="1930"/>
      <c r="S38" s="1930"/>
      <c r="T38" s="1930"/>
      <c r="U38" s="1930"/>
      <c r="V38" s="1930"/>
    </row>
    <row r="39" spans="1:68" s="205" customFormat="1" hidden="1" x14ac:dyDescent="0.3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c r="BL39" s="189"/>
      <c r="BM39" s="189"/>
      <c r="BN39" s="189"/>
      <c r="BO39" s="189"/>
      <c r="BP39" s="189"/>
    </row>
    <row r="40" spans="1:68" s="205" customFormat="1" hidden="1" x14ac:dyDescent="0.3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c r="BL40" s="189"/>
      <c r="BM40" s="189"/>
      <c r="BN40" s="189"/>
      <c r="BO40" s="189"/>
      <c r="BP40" s="189"/>
    </row>
    <row r="41" spans="1:68" s="205" customFormat="1" ht="15.75" hidden="1" customHeight="1" x14ac:dyDescent="0.35">
      <c r="A41" s="188"/>
      <c r="B41" s="1931" t="s">
        <v>216</v>
      </c>
      <c r="C41" s="1931"/>
      <c r="D41" s="1931"/>
      <c r="E41" s="1931"/>
      <c r="F41" s="1931"/>
      <c r="G41" s="1931"/>
      <c r="H41" s="1931"/>
      <c r="I41" s="1931"/>
      <c r="J41" s="1931"/>
      <c r="K41" s="1931"/>
      <c r="L41" s="1931"/>
      <c r="M41" s="1931"/>
      <c r="N41" s="1931"/>
      <c r="O41" s="1931"/>
      <c r="P41" s="1931"/>
      <c r="Q41" s="1931"/>
      <c r="R41" s="1931"/>
      <c r="S41" s="1931"/>
      <c r="T41" s="1931"/>
      <c r="U41" s="1931"/>
      <c r="V41" s="1931"/>
      <c r="W41" s="204"/>
      <c r="X41" s="204"/>
      <c r="Y41" s="188"/>
      <c r="Z41" s="204"/>
      <c r="AA41" s="204"/>
      <c r="AB41" s="204"/>
      <c r="BL41" s="189"/>
      <c r="BM41" s="189"/>
      <c r="BN41" s="189"/>
      <c r="BO41" s="189"/>
      <c r="BP41" s="189"/>
    </row>
    <row r="42" spans="1:68" s="205" customFormat="1" hidden="1" x14ac:dyDescent="0.35">
      <c r="A42" s="188"/>
      <c r="B42" s="1931"/>
      <c r="C42" s="1931"/>
      <c r="D42" s="1931"/>
      <c r="E42" s="1931"/>
      <c r="F42" s="1931"/>
      <c r="G42" s="1931"/>
      <c r="H42" s="1931"/>
      <c r="I42" s="1931"/>
      <c r="J42" s="1931"/>
      <c r="K42" s="1931"/>
      <c r="L42" s="1931"/>
      <c r="M42" s="1931"/>
      <c r="N42" s="1931"/>
      <c r="O42" s="1931"/>
      <c r="P42" s="1931"/>
      <c r="Q42" s="1931"/>
      <c r="R42" s="1931"/>
      <c r="S42" s="1931"/>
      <c r="T42" s="1931"/>
      <c r="U42" s="1931"/>
      <c r="V42" s="1931"/>
      <c r="W42" s="204"/>
      <c r="X42" s="204"/>
      <c r="Y42" s="188"/>
      <c r="Z42" s="204"/>
      <c r="AA42" s="204"/>
      <c r="AB42" s="204"/>
    </row>
    <row r="43" spans="1:68" s="205" customFormat="1" hidden="1" x14ac:dyDescent="0.35">
      <c r="A43" s="188"/>
      <c r="B43" s="1931"/>
      <c r="C43" s="1931"/>
      <c r="D43" s="1931"/>
      <c r="E43" s="1931"/>
      <c r="F43" s="1931"/>
      <c r="G43" s="1931"/>
      <c r="H43" s="1931"/>
      <c r="I43" s="1931"/>
      <c r="J43" s="1931"/>
      <c r="K43" s="1931"/>
      <c r="L43" s="1931"/>
      <c r="M43" s="1931"/>
      <c r="N43" s="1931"/>
      <c r="O43" s="1931"/>
      <c r="P43" s="1931"/>
      <c r="Q43" s="1931"/>
      <c r="R43" s="1931"/>
      <c r="S43" s="1931"/>
      <c r="T43" s="1931"/>
      <c r="U43" s="1931"/>
      <c r="V43" s="1931"/>
      <c r="W43" s="204"/>
      <c r="X43" s="204"/>
      <c r="Y43" s="188"/>
      <c r="Z43" s="204"/>
      <c r="AA43" s="204"/>
      <c r="AB43" s="204"/>
    </row>
    <row r="44" spans="1:68" s="205" customFormat="1" hidden="1" x14ac:dyDescent="0.35">
      <c r="A44" s="188"/>
      <c r="B44" s="1931"/>
      <c r="C44" s="1931"/>
      <c r="D44" s="1931"/>
      <c r="E44" s="1931"/>
      <c r="F44" s="1931"/>
      <c r="G44" s="1931"/>
      <c r="H44" s="1931"/>
      <c r="I44" s="1931"/>
      <c r="J44" s="1931"/>
      <c r="K44" s="1931"/>
      <c r="L44" s="1931"/>
      <c r="M44" s="1931"/>
      <c r="N44" s="1931"/>
      <c r="O44" s="1931"/>
      <c r="P44" s="1931"/>
      <c r="Q44" s="1931"/>
      <c r="R44" s="1931"/>
      <c r="S44" s="1931"/>
      <c r="T44" s="1931"/>
      <c r="U44" s="1931"/>
      <c r="V44" s="1931"/>
      <c r="W44" s="204"/>
      <c r="X44" s="204"/>
      <c r="Y44" s="188"/>
      <c r="Z44" s="204"/>
      <c r="AA44" s="204"/>
      <c r="AB44" s="204"/>
    </row>
    <row r="45" spans="1:68" s="205" customFormat="1" ht="15" hidden="1" customHeight="1" x14ac:dyDescent="0.3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68" ht="15" hidden="1" customHeight="1" x14ac:dyDescent="0.35">
      <c r="B46" s="1930" t="s">
        <v>217</v>
      </c>
      <c r="C46" s="1930"/>
      <c r="D46" s="1930"/>
      <c r="E46" s="1930"/>
      <c r="F46" s="1930"/>
      <c r="G46" s="1930"/>
      <c r="H46" s="1930"/>
      <c r="I46" s="1930"/>
      <c r="J46" s="1930"/>
      <c r="K46" s="1930"/>
      <c r="L46" s="1930"/>
      <c r="M46" s="1930"/>
      <c r="N46" s="1930"/>
      <c r="O46" s="1930"/>
      <c r="P46" s="1930"/>
      <c r="Q46" s="1930"/>
      <c r="R46" s="1930"/>
      <c r="S46" s="1930"/>
      <c r="T46" s="1930"/>
      <c r="U46" s="1930"/>
      <c r="V46" s="1930"/>
      <c r="BL46" s="205"/>
      <c r="BM46" s="205"/>
      <c r="BN46" s="205"/>
      <c r="BO46" s="205"/>
      <c r="BP46" s="205"/>
    </row>
    <row r="47" spans="1:68" hidden="1" x14ac:dyDescent="0.35">
      <c r="B47" s="1930"/>
      <c r="C47" s="1930"/>
      <c r="D47" s="1930"/>
      <c r="E47" s="1930"/>
      <c r="F47" s="1930"/>
      <c r="G47" s="1930"/>
      <c r="H47" s="1930"/>
      <c r="I47" s="1930"/>
      <c r="J47" s="1930"/>
      <c r="K47" s="1930"/>
      <c r="L47" s="1930"/>
      <c r="M47" s="1930"/>
      <c r="N47" s="1930"/>
      <c r="O47" s="1930"/>
      <c r="P47" s="1930"/>
      <c r="Q47" s="1930"/>
      <c r="R47" s="1930"/>
      <c r="S47" s="1930"/>
      <c r="T47" s="1930"/>
      <c r="U47" s="1930"/>
      <c r="V47" s="1930"/>
      <c r="BL47" s="205"/>
      <c r="BM47" s="205"/>
      <c r="BN47" s="205"/>
      <c r="BO47" s="205"/>
      <c r="BP47" s="205"/>
    </row>
    <row r="48" spans="1:68" ht="15" hidden="1" customHeight="1" x14ac:dyDescent="0.35">
      <c r="B48" s="1930" t="s">
        <v>221</v>
      </c>
      <c r="C48" s="1930"/>
      <c r="D48" s="1930"/>
      <c r="E48" s="1930"/>
      <c r="F48" s="1930"/>
      <c r="G48" s="1930"/>
      <c r="H48" s="1930"/>
      <c r="I48" s="1930"/>
      <c r="J48" s="1930"/>
      <c r="K48" s="1930"/>
      <c r="L48" s="1930"/>
      <c r="M48" s="1930"/>
      <c r="N48" s="1930"/>
      <c r="O48" s="1930"/>
      <c r="P48" s="1930"/>
      <c r="Q48" s="1930"/>
      <c r="R48" s="1930"/>
      <c r="S48" s="1930"/>
      <c r="T48" s="1930"/>
      <c r="U48" s="1930"/>
      <c r="V48" s="1930"/>
      <c r="BL48" s="205"/>
      <c r="BM48" s="205"/>
      <c r="BN48" s="205"/>
      <c r="BO48" s="205"/>
      <c r="BP48" s="205"/>
    </row>
    <row r="49" spans="1:64" ht="37.5" hidden="1" customHeight="1" x14ac:dyDescent="0.35">
      <c r="B49" s="1930"/>
      <c r="C49" s="1930"/>
      <c r="D49" s="1930"/>
      <c r="E49" s="1930"/>
      <c r="F49" s="1930"/>
      <c r="G49" s="1930"/>
      <c r="H49" s="1930"/>
      <c r="I49" s="1930"/>
      <c r="J49" s="1930"/>
      <c r="K49" s="1930"/>
      <c r="L49" s="1930"/>
      <c r="M49" s="1930"/>
      <c r="N49" s="1930"/>
      <c r="O49" s="1930"/>
      <c r="P49" s="1930"/>
      <c r="Q49" s="1930"/>
      <c r="R49" s="1930"/>
      <c r="S49" s="1930"/>
      <c r="T49" s="1930"/>
      <c r="U49" s="1930"/>
      <c r="V49" s="1930"/>
    </row>
    <row r="50" spans="1:64" ht="15" hidden="1" customHeight="1" x14ac:dyDescent="0.35"/>
    <row r="51" spans="1:64" ht="15" hidden="1" customHeight="1" x14ac:dyDescent="0.35">
      <c r="B51" s="200" t="s">
        <v>184</v>
      </c>
      <c r="F51" s="211" t="s">
        <v>142</v>
      </c>
      <c r="G51" s="211" t="s">
        <v>225</v>
      </c>
    </row>
    <row r="52" spans="1:64" ht="15" hidden="1" customHeight="1" x14ac:dyDescent="0.35">
      <c r="A52" s="188">
        <v>9257021</v>
      </c>
      <c r="B52" s="1908" t="s">
        <v>56</v>
      </c>
      <c r="C52" s="1909"/>
      <c r="D52" s="1909"/>
      <c r="E52" s="1932"/>
      <c r="F52" s="194">
        <v>274420</v>
      </c>
      <c r="G52" s="194">
        <f>F52*(3/12)</f>
        <v>68605</v>
      </c>
      <c r="J52" s="188" t="s">
        <v>226</v>
      </c>
    </row>
    <row r="53" spans="1:64" ht="15" hidden="1" customHeight="1" x14ac:dyDescent="0.35">
      <c r="A53" s="188">
        <v>9257016</v>
      </c>
      <c r="B53" s="1916" t="s">
        <v>95</v>
      </c>
      <c r="C53" s="1917"/>
      <c r="D53" s="1917"/>
      <c r="E53" s="1927"/>
      <c r="F53" s="194">
        <v>582568</v>
      </c>
      <c r="G53" s="194">
        <f>F53</f>
        <v>582568</v>
      </c>
    </row>
    <row r="54" spans="1:64" ht="15" hidden="1" customHeight="1" x14ac:dyDescent="0.35">
      <c r="A54" s="188">
        <v>9257025</v>
      </c>
      <c r="B54" s="1916" t="s">
        <v>52</v>
      </c>
      <c r="C54" s="1917"/>
      <c r="D54" s="1917"/>
      <c r="E54" s="1927"/>
      <c r="F54" s="194">
        <v>327644</v>
      </c>
      <c r="G54" s="194">
        <f>F54</f>
        <v>327644</v>
      </c>
    </row>
    <row r="55" spans="1:64" ht="15" hidden="1" customHeight="1" x14ac:dyDescent="0.35">
      <c r="F55" s="210">
        <f>SUM(F52:F54)</f>
        <v>1184632</v>
      </c>
      <c r="G55" s="212">
        <f>SUM(G52:G54)</f>
        <v>978817</v>
      </c>
      <c r="H55" s="187" t="s">
        <v>227</v>
      </c>
    </row>
    <row r="56" spans="1:64" ht="15" hidden="1" customHeight="1" x14ac:dyDescent="0.35">
      <c r="F56" s="208"/>
      <c r="G56" s="208"/>
    </row>
    <row r="57" spans="1:64" ht="15" hidden="1" customHeight="1" x14ac:dyDescent="0.35">
      <c r="B57" s="187" t="s">
        <v>224</v>
      </c>
    </row>
    <row r="58" spans="1:64" ht="15" hidden="1" customHeight="1" x14ac:dyDescent="0.35"/>
    <row r="59" spans="1:64" ht="15" customHeight="1" x14ac:dyDescent="0.3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64" ht="15" customHeight="1" x14ac:dyDescent="0.35">
      <c r="AC60" s="366"/>
      <c r="AD60" s="208"/>
      <c r="AE60" s="208"/>
      <c r="AG60" s="621"/>
      <c r="AH60" s="621"/>
      <c r="AI60" s="621"/>
      <c r="AJ60" s="621"/>
      <c r="AK60" s="621"/>
      <c r="AL60" s="621"/>
      <c r="AM60" s="621"/>
      <c r="BH60" s="1626"/>
    </row>
    <row r="61" spans="1:64" ht="15" customHeight="1" x14ac:dyDescent="0.35">
      <c r="AA61" s="188" t="s">
        <v>402</v>
      </c>
      <c r="AB61" s="188" t="s">
        <v>402</v>
      </c>
      <c r="AC61" s="188" t="s">
        <v>402</v>
      </c>
      <c r="AD61" s="208"/>
      <c r="AE61" s="208"/>
      <c r="AG61" s="621"/>
      <c r="AH61" s="620" t="s">
        <v>562</v>
      </c>
      <c r="AI61" s="622">
        <f>SUM(AA64:AC64)</f>
        <v>757936</v>
      </c>
      <c r="AJ61" s="620"/>
      <c r="AK61" s="620" t="s">
        <v>524</v>
      </c>
      <c r="AL61" s="622">
        <f>AL26-AE64</f>
        <v>209307</v>
      </c>
      <c r="AM61" s="621"/>
      <c r="BL61" s="368" t="s">
        <v>1239</v>
      </c>
    </row>
    <row r="62" spans="1:64" ht="15" customHeight="1" x14ac:dyDescent="0.35">
      <c r="AA62" s="208">
        <f>((L18+L19+L23+L24+L25)*(7/12))+L11</f>
        <v>235000</v>
      </c>
      <c r="AB62" s="366">
        <f>Q26*(7/12)</f>
        <v>111962.66666666667</v>
      </c>
      <c r="AC62" s="366">
        <f>(7/12)*206000</f>
        <v>120166.66666666667</v>
      </c>
      <c r="AD62" s="208"/>
      <c r="AE62" s="208"/>
      <c r="AG62" s="621"/>
      <c r="AH62" s="620"/>
      <c r="AI62" s="620" t="s">
        <v>402</v>
      </c>
      <c r="AJ62" s="620"/>
      <c r="AK62" s="1925" t="s">
        <v>563</v>
      </c>
      <c r="AL62" s="1925"/>
      <c r="AM62" s="621"/>
    </row>
    <row r="63" spans="1:64" ht="15" customHeight="1" x14ac:dyDescent="0.35">
      <c r="AC63" s="208"/>
      <c r="AD63" s="208"/>
      <c r="AE63" s="208"/>
      <c r="AG63" s="621"/>
      <c r="AH63" s="620"/>
      <c r="AI63" s="620"/>
      <c r="AJ63" s="620"/>
      <c r="AK63" s="1925"/>
      <c r="AL63" s="1925"/>
      <c r="AM63" s="621"/>
    </row>
    <row r="64" spans="1:64" ht="12" customHeight="1" x14ac:dyDescent="0.35">
      <c r="Z64" s="208">
        <f>I26</f>
        <v>317322</v>
      </c>
      <c r="AA64" s="208">
        <f>L26</f>
        <v>360000</v>
      </c>
      <c r="AB64" s="208">
        <f>Q26</f>
        <v>191936</v>
      </c>
      <c r="AC64" s="366">
        <f>206000</f>
        <v>206000</v>
      </c>
      <c r="AD64" s="366">
        <f>U26</f>
        <v>910212</v>
      </c>
      <c r="AE64" s="366">
        <f>SUM(Z64:AD64)</f>
        <v>1985470</v>
      </c>
      <c r="AG64" s="621"/>
      <c r="AH64" s="620"/>
      <c r="AI64" s="620"/>
      <c r="AJ64" s="620"/>
      <c r="AK64" s="1925"/>
      <c r="AL64" s="1925"/>
      <c r="AM64" s="621"/>
    </row>
    <row r="65" spans="2:38" s="189" customFormat="1" ht="12" customHeight="1" x14ac:dyDescent="0.3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3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3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85">
    <mergeCell ref="BL4:BL6"/>
    <mergeCell ref="BM4:BM6"/>
    <mergeCell ref="BN4:BN6"/>
    <mergeCell ref="BO4:BO6"/>
    <mergeCell ref="U4:U6"/>
    <mergeCell ref="AI4:AI6"/>
    <mergeCell ref="X4:X6"/>
    <mergeCell ref="Y4:Y6"/>
    <mergeCell ref="Z4:Z6"/>
    <mergeCell ref="AA4:AA6"/>
    <mergeCell ref="AB4:AB6"/>
    <mergeCell ref="BC4:BC6"/>
    <mergeCell ref="BD4:BD6"/>
    <mergeCell ref="AQ4:AQ6"/>
    <mergeCell ref="AR4:AR6"/>
    <mergeCell ref="AS4:AS6"/>
    <mergeCell ref="V2:V3"/>
    <mergeCell ref="F4:F6"/>
    <mergeCell ref="G4:G6"/>
    <mergeCell ref="H4:H6"/>
    <mergeCell ref="I4:I6"/>
    <mergeCell ref="J4:J6"/>
    <mergeCell ref="K4:K6"/>
    <mergeCell ref="L4:L6"/>
    <mergeCell ref="M4:M6"/>
    <mergeCell ref="N4:N6"/>
    <mergeCell ref="O4:O6"/>
    <mergeCell ref="P4:P6"/>
    <mergeCell ref="Q4:Q6"/>
    <mergeCell ref="R4:R6"/>
    <mergeCell ref="S4:S6"/>
    <mergeCell ref="V4:V6"/>
    <mergeCell ref="B6:E6"/>
    <mergeCell ref="AX4:AX6"/>
    <mergeCell ref="AC4:AC6"/>
    <mergeCell ref="AD4:AD6"/>
    <mergeCell ref="AE4:AE6"/>
    <mergeCell ref="AG4:AG6"/>
    <mergeCell ref="AH4:AH6"/>
    <mergeCell ref="AY4:AY6"/>
    <mergeCell ref="AZ4:AZ6"/>
    <mergeCell ref="BB4:BB6"/>
    <mergeCell ref="AJ4:AJ6"/>
    <mergeCell ref="AK4:AK6"/>
    <mergeCell ref="AL4:AL6"/>
    <mergeCell ref="AN4:AN6"/>
    <mergeCell ref="AO4:AO6"/>
    <mergeCell ref="AP4:AP6"/>
    <mergeCell ref="AU4:AU6"/>
    <mergeCell ref="AV4:AV6"/>
    <mergeCell ref="AW4:AW6"/>
    <mergeCell ref="BE4:BE6"/>
    <mergeCell ref="BG4:BG6"/>
    <mergeCell ref="BH4:BH6"/>
    <mergeCell ref="BI4:BI6"/>
    <mergeCell ref="BJ4:BJ6"/>
    <mergeCell ref="B18:E18"/>
    <mergeCell ref="B7:E7"/>
    <mergeCell ref="B8:E8"/>
    <mergeCell ref="B9:E9"/>
    <mergeCell ref="B10:E10"/>
    <mergeCell ref="B11:E11"/>
    <mergeCell ref="B12:E12"/>
    <mergeCell ref="B13:E13"/>
    <mergeCell ref="B14:E14"/>
    <mergeCell ref="B15:E15"/>
    <mergeCell ref="B16:E16"/>
    <mergeCell ref="B17:E17"/>
    <mergeCell ref="B46:V47"/>
    <mergeCell ref="B19:E19"/>
    <mergeCell ref="B20:E20"/>
    <mergeCell ref="B21:E21"/>
    <mergeCell ref="B22:E22"/>
    <mergeCell ref="B23:E23"/>
    <mergeCell ref="B24:E24"/>
    <mergeCell ref="B25:E25"/>
    <mergeCell ref="B26:E26"/>
    <mergeCell ref="B30:V33"/>
    <mergeCell ref="B36:V38"/>
    <mergeCell ref="B41:V44"/>
    <mergeCell ref="B48:V49"/>
    <mergeCell ref="B52:E52"/>
    <mergeCell ref="B53:E53"/>
    <mergeCell ref="B54:E54"/>
    <mergeCell ref="AK62:AL64"/>
  </mergeCells>
  <pageMargins left="0.7" right="0.7" top="0.75" bottom="0.75" header="0.3" footer="0.3"/>
  <legacy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BG42"/>
  <sheetViews>
    <sheetView topLeftCell="AH1" workbookViewId="0">
      <selection activeCell="BE6" sqref="BE6"/>
    </sheetView>
  </sheetViews>
  <sheetFormatPr defaultColWidth="9.1796875" defaultRowHeight="12.5" x14ac:dyDescent="0.25"/>
  <cols>
    <col min="1" max="1" width="11.26953125" style="359" customWidth="1"/>
    <col min="2" max="2" width="20.7265625" style="358" customWidth="1"/>
    <col min="3" max="6" width="15.7265625" style="358" customWidth="1"/>
    <col min="7" max="7" width="61.7265625" style="359" customWidth="1"/>
    <col min="8" max="8" width="9.1796875" style="359"/>
    <col min="9" max="11" width="15.7265625" style="358" customWidth="1"/>
    <col min="12" max="12" width="11.54296875" style="358" customWidth="1"/>
    <col min="13" max="15" width="9.1796875" style="359"/>
    <col min="16" max="16" width="9.1796875" style="358"/>
    <col min="17" max="17" width="10.1796875" style="359" bestFit="1" customWidth="1"/>
    <col min="18" max="31" width="9.1796875" style="359"/>
    <col min="32" max="32" width="10.453125" style="359" customWidth="1"/>
    <col min="33" max="16384" width="9.1796875" style="359"/>
  </cols>
  <sheetData>
    <row r="1" spans="1:57" x14ac:dyDescent="0.25">
      <c r="E1" s="1504" t="s">
        <v>1244</v>
      </c>
      <c r="N1" s="2024" t="s">
        <v>1185</v>
      </c>
      <c r="P1" s="1491" t="s">
        <v>1202</v>
      </c>
      <c r="Q1" s="1492">
        <v>484.95</v>
      </c>
    </row>
    <row r="2" spans="1:57" x14ac:dyDescent="0.25">
      <c r="A2" s="1" t="s">
        <v>0</v>
      </c>
      <c r="D2" s="1504" t="s">
        <v>1217</v>
      </c>
      <c r="K2" s="359"/>
      <c r="L2" s="359"/>
      <c r="N2" s="2024"/>
      <c r="P2" s="1491" t="s">
        <v>1203</v>
      </c>
      <c r="Q2" s="1492">
        <v>72.91</v>
      </c>
      <c r="V2" s="358" t="s">
        <v>1196</v>
      </c>
    </row>
    <row r="3" spans="1:57" ht="39" x14ac:dyDescent="0.3">
      <c r="B3" s="948" t="s">
        <v>1</v>
      </c>
      <c r="C3" s="949" t="s">
        <v>866</v>
      </c>
      <c r="D3" s="949" t="s">
        <v>867</v>
      </c>
      <c r="E3" s="949" t="s">
        <v>868</v>
      </c>
      <c r="F3" s="948" t="s">
        <v>57</v>
      </c>
      <c r="G3" s="948" t="s">
        <v>869</v>
      </c>
      <c r="I3" s="1404" t="s">
        <v>866</v>
      </c>
      <c r="J3" s="1404" t="s">
        <v>867</v>
      </c>
      <c r="K3" s="1404" t="s">
        <v>868</v>
      </c>
      <c r="L3" s="1405" t="s">
        <v>1139</v>
      </c>
      <c r="N3" s="2024"/>
      <c r="P3" s="1454" t="s">
        <v>1200</v>
      </c>
      <c r="Q3" s="948" t="s">
        <v>1201</v>
      </c>
      <c r="R3" s="358" t="s">
        <v>524</v>
      </c>
      <c r="U3" s="358" t="s">
        <v>1192</v>
      </c>
      <c r="V3" s="358" t="s">
        <v>1193</v>
      </c>
      <c r="W3" s="358" t="s">
        <v>1195</v>
      </c>
      <c r="X3" s="358" t="s">
        <v>62</v>
      </c>
      <c r="Y3" s="1475" t="s">
        <v>1194</v>
      </c>
      <c r="AA3" s="358" t="s">
        <v>1197</v>
      </c>
      <c r="AB3" s="358" t="s">
        <v>1198</v>
      </c>
      <c r="AC3" s="358" t="s">
        <v>1195</v>
      </c>
      <c r="AD3" s="358" t="s">
        <v>62</v>
      </c>
      <c r="AE3" s="1475" t="s">
        <v>1194</v>
      </c>
      <c r="AF3" s="358"/>
      <c r="AG3" s="1507" t="s">
        <v>1219</v>
      </c>
      <c r="AH3" s="1507" t="s">
        <v>1218</v>
      </c>
      <c r="AI3" s="1506" t="s">
        <v>1195</v>
      </c>
      <c r="AJ3" s="1506" t="s">
        <v>62</v>
      </c>
      <c r="AK3" s="1507" t="s">
        <v>1194</v>
      </c>
      <c r="AL3" s="1510" t="s">
        <v>1220</v>
      </c>
      <c r="AN3" s="1543" t="s">
        <v>1249</v>
      </c>
      <c r="AO3" s="1539" t="s">
        <v>1268</v>
      </c>
      <c r="AP3" s="952" t="s">
        <v>1195</v>
      </c>
      <c r="AQ3" s="952" t="s">
        <v>62</v>
      </c>
      <c r="AR3" s="1543" t="s">
        <v>1194</v>
      </c>
      <c r="AS3" s="1543" t="s">
        <v>1253</v>
      </c>
      <c r="AT3" s="1516" t="s">
        <v>1254</v>
      </c>
      <c r="AX3" s="1539" t="s">
        <v>1321</v>
      </c>
      <c r="AY3" s="1543" t="s">
        <v>1323</v>
      </c>
      <c r="AZ3" s="1541" t="s">
        <v>1195</v>
      </c>
      <c r="BA3" s="952" t="s">
        <v>62</v>
      </c>
      <c r="BB3" s="1543" t="s">
        <v>1194</v>
      </c>
      <c r="BE3" s="1607" t="s">
        <v>1333</v>
      </c>
    </row>
    <row r="4" spans="1:57" x14ac:dyDescent="0.25">
      <c r="Y4" s="358"/>
      <c r="AE4" s="358"/>
      <c r="AG4" s="1508"/>
      <c r="AH4" s="1508"/>
      <c r="AI4" s="1508"/>
      <c r="AJ4" s="1508"/>
      <c r="AK4" s="1506"/>
      <c r="AL4" s="1508"/>
      <c r="AN4" s="950"/>
      <c r="AO4" s="1540"/>
      <c r="AP4" s="950"/>
      <c r="AQ4" s="950"/>
      <c r="AR4" s="950"/>
      <c r="AX4" s="1540"/>
      <c r="AY4" s="950"/>
      <c r="AZ4" s="1540"/>
      <c r="BA4" s="950"/>
      <c r="BB4" s="950"/>
      <c r="BE4" s="358"/>
    </row>
    <row r="5" spans="1:57" x14ac:dyDescent="0.25">
      <c r="A5" s="359" t="s">
        <v>842</v>
      </c>
      <c r="B5" s="358" t="s">
        <v>702</v>
      </c>
      <c r="C5" s="950">
        <f>('2122 Teachers Pay Scales'!K20+1100)/8</f>
        <v>6235.9162500000002</v>
      </c>
      <c r="D5" s="950">
        <f>(('2122 TA Pay Scales'!L24+490)/8)*3</f>
        <v>8769.6246042576422</v>
      </c>
      <c r="E5" s="950">
        <f>'2122 GLEA Pay Scales'!$K$19/10/37*6.25*195/224</f>
        <v>353.33239604699571</v>
      </c>
      <c r="F5" s="951">
        <f>SUM(C5:E5)</f>
        <v>15358.873250304638</v>
      </c>
      <c r="G5" s="359" t="s">
        <v>703</v>
      </c>
      <c r="I5" s="950">
        <v>5389.75</v>
      </c>
      <c r="J5" s="950">
        <v>8314.3681768558963</v>
      </c>
      <c r="K5" s="950">
        <v>300.11777569980694</v>
      </c>
      <c r="L5" s="951">
        <v>14004.235952555704</v>
      </c>
      <c r="N5" s="892">
        <f>D5+E5-J5-K5</f>
        <v>508.47104774893415</v>
      </c>
      <c r="P5" s="950">
        <f>C5-I5</f>
        <v>846.16625000000022</v>
      </c>
      <c r="Q5" s="892">
        <f>$Q$1+$Q$2</f>
        <v>557.86</v>
      </c>
      <c r="R5" s="892">
        <f>P5-Q5</f>
        <v>288.3062500000002</v>
      </c>
      <c r="T5" s="360"/>
      <c r="U5" s="950">
        <f>('2122 Teachers Pay Scales'!K19+1100)/8</f>
        <v>5836.8826874999995</v>
      </c>
      <c r="V5" s="950">
        <f>(('2122 TA Pay Scales'!L24+490)/8)*3</f>
        <v>8769.6246042576422</v>
      </c>
      <c r="W5" s="950">
        <f>'2122 GLEA Pay Scales'!$K$19/10/37*6.25*195/224</f>
        <v>353.33239604699571</v>
      </c>
      <c r="X5" s="951">
        <f>SUM(U5:W5)</f>
        <v>14959.839687804637</v>
      </c>
      <c r="Y5" s="892">
        <f>X5-L5</f>
        <v>955.60373524893294</v>
      </c>
      <c r="AA5" s="950">
        <f>('2122 Teachers Pay Scales'!K20+1100)/8</f>
        <v>6235.9162500000002</v>
      </c>
      <c r="AB5" s="950">
        <f>(('2122 TA Pay Scales'!L23+490)/8)*3</f>
        <v>8291.6148471615725</v>
      </c>
      <c r="AC5" s="950">
        <f>'2122 GLEA Pay Scales'!$K$19/10/37*6.25*195/224</f>
        <v>353.33239604699571</v>
      </c>
      <c r="AD5" s="951">
        <f>SUM(AA5:AC5)</f>
        <v>14880.863493208568</v>
      </c>
      <c r="AE5" s="892">
        <f>AD5-L5</f>
        <v>876.6275406528639</v>
      </c>
      <c r="AG5" s="1509">
        <f>('2122 Teachers Pay Scales'!K69+1100)/8</f>
        <v>6156.1095375000004</v>
      </c>
      <c r="AH5" s="1509">
        <v>8674.097652838429</v>
      </c>
      <c r="AI5" s="1509">
        <f>'2122 GLEA Pay Scales'!$K$19/10/37*6.25*195/224</f>
        <v>353.33239604699571</v>
      </c>
      <c r="AJ5" s="1509">
        <f>SUM(AG5:AI5)</f>
        <v>15183.539586385425</v>
      </c>
      <c r="AK5" s="1509">
        <f>AJ5-L5</f>
        <v>1179.3036338297206</v>
      </c>
      <c r="AL5" s="1509">
        <f>AJ5-F5</f>
        <v>-175.333663919213</v>
      </c>
      <c r="AM5" s="360">
        <f>AN5-I5</f>
        <v>686.55282499999976</v>
      </c>
      <c r="AN5" s="950">
        <f>('2122 Teachers Pay Scales'!K98+1100)/8</f>
        <v>6076.3028249999998</v>
      </c>
      <c r="AO5" s="1540">
        <f>(('2122 TA Pay Scales'!L40+490)/8)*3</f>
        <v>8578.5707014192139</v>
      </c>
      <c r="AP5" s="950">
        <f>K5</f>
        <v>300.11777569980694</v>
      </c>
      <c r="AQ5" s="950">
        <f>SUM(AN5:AP5)</f>
        <v>14954.991302119022</v>
      </c>
      <c r="AR5" s="950">
        <f>AQ5-L5</f>
        <v>950.7553495633183</v>
      </c>
      <c r="AS5" s="1542">
        <f>AR5/L5</f>
        <v>6.7890554885274568E-2</v>
      </c>
      <c r="AT5" s="1542">
        <f>(AO5-J5)/L5</f>
        <v>1.8865900678794404E-2</v>
      </c>
      <c r="AU5" s="892">
        <f>AO5-J5</f>
        <v>264.20252456331764</v>
      </c>
      <c r="AV5" s="360">
        <f>AO5-J5</f>
        <v>264.20252456331764</v>
      </c>
      <c r="AX5" s="1540">
        <f>('2122 Teachers Pay Scales'!K126+1100)/8</f>
        <v>6120.2340168749997</v>
      </c>
      <c r="AY5" s="950">
        <f>(('2122 TA Pay Scales'!L41+490)/8)*3</f>
        <v>8626.1466771288215</v>
      </c>
      <c r="AZ5" s="1540">
        <f>K5</f>
        <v>300.11777569980694</v>
      </c>
      <c r="BA5" s="950">
        <f>SUM(AX5:AZ5)</f>
        <v>15046.498469703629</v>
      </c>
      <c r="BB5" s="950">
        <f>BA5-V5</f>
        <v>6276.8738654459867</v>
      </c>
      <c r="BE5" s="892">
        <f>AX5+AO5+AZ5</f>
        <v>14998.922493994021</v>
      </c>
    </row>
    <row r="6" spans="1:57" x14ac:dyDescent="0.25">
      <c r="C6" s="950"/>
      <c r="D6" s="952"/>
      <c r="E6" s="952"/>
      <c r="F6" s="892"/>
      <c r="I6" s="950"/>
      <c r="J6" s="952"/>
      <c r="K6" s="952"/>
      <c r="L6" s="892"/>
      <c r="N6" s="892"/>
      <c r="P6" s="950"/>
      <c r="Q6" s="892"/>
      <c r="R6" s="892"/>
      <c r="T6" s="360"/>
      <c r="U6" s="950"/>
      <c r="V6" s="952"/>
      <c r="W6" s="952"/>
      <c r="X6" s="892"/>
      <c r="Y6" s="892"/>
      <c r="AA6" s="950"/>
      <c r="AB6" s="952"/>
      <c r="AC6" s="952"/>
      <c r="AD6" s="892"/>
      <c r="AE6" s="892"/>
      <c r="AG6" s="1509"/>
      <c r="AH6" s="1506"/>
      <c r="AI6" s="1506"/>
      <c r="AJ6" s="1509"/>
      <c r="AK6" s="1509"/>
      <c r="AL6" s="1509"/>
      <c r="AM6" s="360">
        <f t="shared" ref="AM6:AM17" si="0">AN6-I6</f>
        <v>0</v>
      </c>
      <c r="AN6" s="950"/>
      <c r="AO6" s="1541"/>
      <c r="AP6" s="950"/>
      <c r="AQ6" s="950"/>
      <c r="AR6" s="950"/>
      <c r="AS6" s="1542"/>
      <c r="AT6" s="1542"/>
      <c r="AU6" s="892"/>
      <c r="AV6" s="360">
        <f t="shared" ref="AV6:AV24" si="1">AO6-J6</f>
        <v>0</v>
      </c>
      <c r="AX6" s="1540"/>
      <c r="AY6" s="952"/>
      <c r="AZ6" s="1540"/>
      <c r="BA6" s="950"/>
      <c r="BB6" s="950"/>
      <c r="BE6" s="892"/>
    </row>
    <row r="7" spans="1:57" x14ac:dyDescent="0.25">
      <c r="C7" s="950"/>
      <c r="D7" s="950"/>
      <c r="E7" s="950"/>
      <c r="F7" s="892"/>
      <c r="I7" s="950"/>
      <c r="J7" s="950"/>
      <c r="K7" s="950"/>
      <c r="L7" s="892"/>
      <c r="N7" s="892"/>
      <c r="P7" s="950"/>
      <c r="Q7" s="892"/>
      <c r="R7" s="892"/>
      <c r="T7" s="360"/>
      <c r="U7" s="950"/>
      <c r="V7" s="950"/>
      <c r="W7" s="950"/>
      <c r="X7" s="892"/>
      <c r="Y7" s="892"/>
      <c r="AA7" s="950"/>
      <c r="AB7" s="950"/>
      <c r="AC7" s="950"/>
      <c r="AD7" s="892"/>
      <c r="AE7" s="892"/>
      <c r="AG7" s="1509"/>
      <c r="AH7" s="1509"/>
      <c r="AI7" s="1509"/>
      <c r="AJ7" s="1509"/>
      <c r="AK7" s="1509"/>
      <c r="AL7" s="1509"/>
      <c r="AM7" s="360">
        <f t="shared" si="0"/>
        <v>0</v>
      </c>
      <c r="AN7" s="950"/>
      <c r="AO7" s="1540"/>
      <c r="AP7" s="950"/>
      <c r="AQ7" s="950"/>
      <c r="AR7" s="950"/>
      <c r="AS7" s="1542"/>
      <c r="AT7" s="1542"/>
      <c r="AU7" s="892"/>
      <c r="AV7" s="360">
        <f t="shared" si="1"/>
        <v>0</v>
      </c>
      <c r="AX7" s="1540"/>
      <c r="AY7" s="950"/>
      <c r="AZ7" s="1540"/>
      <c r="BA7" s="950"/>
      <c r="BB7" s="950"/>
      <c r="BE7" s="892"/>
    </row>
    <row r="8" spans="1:57" x14ac:dyDescent="0.25">
      <c r="A8" s="359" t="s">
        <v>840</v>
      </c>
      <c r="B8" s="358" t="s">
        <v>4</v>
      </c>
      <c r="C8" s="950">
        <f>('2122 Teachers Pay Scales'!K20+1100)/10</f>
        <v>4988.7330000000002</v>
      </c>
      <c r="D8" s="950">
        <f>('2122 TA Pay Scales'!L24+490)/10</f>
        <v>2338.5665611353716</v>
      </c>
      <c r="E8" s="950">
        <f>'2122 GLEA Pay Scales'!$K$19/10/37*6.25*195/224</f>
        <v>353.33239604699571</v>
      </c>
      <c r="F8" s="951">
        <f>SUM(C8:E8)</f>
        <v>7680.6319571823678</v>
      </c>
      <c r="G8" s="359" t="s">
        <v>1211</v>
      </c>
      <c r="I8" s="950">
        <v>4311.8</v>
      </c>
      <c r="J8" s="950">
        <v>2217.1648471615722</v>
      </c>
      <c r="K8" s="950">
        <v>300.11777569980694</v>
      </c>
      <c r="L8" s="951">
        <v>6829.0826228613796</v>
      </c>
      <c r="N8" s="892">
        <f>D8+E8-J8-K8</f>
        <v>174.61633432098807</v>
      </c>
      <c r="P8" s="950">
        <f>C8-I8</f>
        <v>676.93299999999999</v>
      </c>
      <c r="Q8" s="892">
        <f>$Q$1+$Q$2</f>
        <v>557.86</v>
      </c>
      <c r="R8" s="892">
        <f>P8-Q8</f>
        <v>119.07299999999998</v>
      </c>
      <c r="T8" s="360"/>
      <c r="U8" s="950">
        <f>('2122 Teachers Pay Scales'!K19+1100)/10</f>
        <v>4669.5061499999993</v>
      </c>
      <c r="V8" s="950">
        <f>('2122 TA Pay Scales'!L24+490)/10</f>
        <v>2338.5665611353716</v>
      </c>
      <c r="W8" s="950">
        <f>'2122 GLEA Pay Scales'!$K$19/10/37*6.25*195/224</f>
        <v>353.33239604699571</v>
      </c>
      <c r="X8" s="951">
        <f>SUM(U8:W8)</f>
        <v>7361.4051071823669</v>
      </c>
      <c r="Y8" s="892">
        <f>X8-L8</f>
        <v>532.32248432098731</v>
      </c>
      <c r="AA8" s="950">
        <f>('2122 Teachers Pay Scales'!K20+1100)/10</f>
        <v>4988.7330000000002</v>
      </c>
      <c r="AB8" s="950">
        <f>('2122 TA Pay Scales'!L23+490)/10</f>
        <v>2211.097292576419</v>
      </c>
      <c r="AC8" s="950">
        <f>'2122 GLEA Pay Scales'!$K$19/10/37*6.25*195/224</f>
        <v>353.33239604699571</v>
      </c>
      <c r="AD8" s="951">
        <f>SUM(AA8:AC8)</f>
        <v>7553.1626886234153</v>
      </c>
      <c r="AE8" s="892">
        <f>AD8-L8</f>
        <v>724.0800657620357</v>
      </c>
      <c r="AG8" s="1509">
        <f>('2122 Teachers Pay Scales'!K69+1100)/10</f>
        <v>4924.8876300000002</v>
      </c>
      <c r="AH8" s="1509">
        <v>2313.092707423581</v>
      </c>
      <c r="AI8" s="1509">
        <f>'2122 GLEA Pay Scales'!$K$19/10/37*6.25*195/224</f>
        <v>353.33239604699571</v>
      </c>
      <c r="AJ8" s="1509">
        <f>SUM(AG8:AI8)</f>
        <v>7591.3127334705778</v>
      </c>
      <c r="AK8" s="1509">
        <f t="shared" ref="AK8:AK17" si="2">AJ8-L8</f>
        <v>762.23011060919816</v>
      </c>
      <c r="AL8" s="1509">
        <f t="shared" ref="AL8:AL17" si="3">AJ8-F8</f>
        <v>-89.319223711790073</v>
      </c>
      <c r="AM8" s="360">
        <f t="shared" si="0"/>
        <v>549.24225999999999</v>
      </c>
      <c r="AN8" s="950">
        <f>('2122 Teachers Pay Scales'!K98+1100)/10</f>
        <v>4861.0422600000002</v>
      </c>
      <c r="AO8" s="1540">
        <f>('2122 TA Pay Scales'!L40+490)/10</f>
        <v>2287.6188537117905</v>
      </c>
      <c r="AP8" s="950">
        <f t="shared" ref="AP8:AP22" si="4">K8</f>
        <v>300.11777569980694</v>
      </c>
      <c r="AQ8" s="950">
        <f t="shared" ref="AQ8:AQ24" si="5">SUM(AN8:AP8)</f>
        <v>7448.7788894115974</v>
      </c>
      <c r="AR8" s="950">
        <f t="shared" ref="AR8:AR17" si="6">AQ8-L8</f>
        <v>619.69626655021784</v>
      </c>
      <c r="AS8" s="1542">
        <f t="shared" ref="AS8:AS17" si="7">AR8/L8</f>
        <v>9.0743706112983838E-2</v>
      </c>
      <c r="AT8" s="1542">
        <f t="shared" ref="AT8:AT17" si="8">(AO8-J8)/L8</f>
        <v>1.0316760016105668E-2</v>
      </c>
      <c r="AU8" s="892">
        <f t="shared" ref="AU8:AU24" si="9">AO8-J8</f>
        <v>70.45400655021831</v>
      </c>
      <c r="AV8" s="360">
        <f t="shared" si="1"/>
        <v>70.45400655021831</v>
      </c>
      <c r="AX8" s="1540">
        <f>('2122 Teachers Pay Scales'!K126+1100)/10</f>
        <v>4896.1872134999994</v>
      </c>
      <c r="AY8" s="950">
        <f>('2122 TA Pay Scales'!L41+490)/10</f>
        <v>2300.3057805676858</v>
      </c>
      <c r="AZ8" s="1540">
        <f t="shared" ref="AZ8:AZ26" si="10">K8</f>
        <v>300.11777569980694</v>
      </c>
      <c r="BA8" s="950">
        <f t="shared" ref="BA8" si="11">SUM(AX8:AZ8)</f>
        <v>7496.6107697674915</v>
      </c>
      <c r="BB8" s="950">
        <f t="shared" ref="BB8" si="12">BA8-V8</f>
        <v>5158.04420863212</v>
      </c>
      <c r="BE8" s="892">
        <f t="shared" ref="BE8:BE24" si="13">AX8+AO8+AZ8</f>
        <v>7483.9238429115967</v>
      </c>
    </row>
    <row r="9" spans="1:57" x14ac:dyDescent="0.25">
      <c r="C9" s="950"/>
      <c r="D9" s="950"/>
      <c r="E9" s="950"/>
      <c r="F9" s="892"/>
      <c r="I9" s="950"/>
      <c r="J9" s="950"/>
      <c r="K9" s="950"/>
      <c r="L9" s="892"/>
      <c r="N9" s="892"/>
      <c r="P9" s="950"/>
      <c r="Q9" s="892"/>
      <c r="R9" s="892"/>
      <c r="T9" s="360"/>
      <c r="U9" s="950"/>
      <c r="V9" s="950"/>
      <c r="W9" s="950"/>
      <c r="X9" s="892"/>
      <c r="Y9" s="892"/>
      <c r="AA9" s="950"/>
      <c r="AB9" s="950"/>
      <c r="AC9" s="950"/>
      <c r="AD9" s="892"/>
      <c r="AE9" s="892"/>
      <c r="AG9" s="1509"/>
      <c r="AH9" s="1509"/>
      <c r="AI9" s="1509"/>
      <c r="AJ9" s="1509"/>
      <c r="AK9" s="1509"/>
      <c r="AL9" s="1509"/>
      <c r="AM9" s="360">
        <f t="shared" si="0"/>
        <v>0</v>
      </c>
      <c r="AN9" s="950"/>
      <c r="AO9" s="1540"/>
      <c r="AP9" s="950"/>
      <c r="AQ9" s="950"/>
      <c r="AR9" s="950"/>
      <c r="AS9" s="1542"/>
      <c r="AT9" s="1542"/>
      <c r="AU9" s="892"/>
      <c r="AV9" s="360">
        <f t="shared" si="1"/>
        <v>0</v>
      </c>
      <c r="AX9" s="1540"/>
      <c r="AY9" s="950"/>
      <c r="AZ9" s="1540"/>
      <c r="BA9" s="950"/>
      <c r="BB9" s="950"/>
      <c r="BE9" s="892"/>
    </row>
    <row r="10" spans="1:57" x14ac:dyDescent="0.25">
      <c r="C10" s="950"/>
      <c r="D10" s="950"/>
      <c r="E10" s="950"/>
      <c r="F10" s="892"/>
      <c r="I10" s="950"/>
      <c r="J10" s="950"/>
      <c r="K10" s="950"/>
      <c r="L10" s="892"/>
      <c r="N10" s="892"/>
      <c r="P10" s="950"/>
      <c r="Q10" s="892"/>
      <c r="R10" s="892"/>
      <c r="T10" s="360"/>
      <c r="U10" s="950"/>
      <c r="V10" s="950"/>
      <c r="W10" s="950"/>
      <c r="X10" s="892"/>
      <c r="Y10" s="892"/>
      <c r="AA10" s="950"/>
      <c r="AB10" s="950"/>
      <c r="AC10" s="950"/>
      <c r="AD10" s="892"/>
      <c r="AE10" s="892"/>
      <c r="AG10" s="1509"/>
      <c r="AH10" s="1509"/>
      <c r="AI10" s="1509"/>
      <c r="AJ10" s="1509"/>
      <c r="AK10" s="1509"/>
      <c r="AL10" s="1509"/>
      <c r="AM10" s="360">
        <f t="shared" si="0"/>
        <v>0</v>
      </c>
      <c r="AN10" s="950"/>
      <c r="AO10" s="1540"/>
      <c r="AP10" s="950"/>
      <c r="AQ10" s="950"/>
      <c r="AR10" s="950"/>
      <c r="AS10" s="1542"/>
      <c r="AT10" s="1542"/>
      <c r="AU10" s="892"/>
      <c r="AV10" s="360">
        <f t="shared" si="1"/>
        <v>0</v>
      </c>
      <c r="AX10" s="1540"/>
      <c r="AY10" s="950"/>
      <c r="AZ10" s="1540"/>
      <c r="BA10" s="950"/>
      <c r="BB10" s="950"/>
      <c r="BE10" s="892"/>
    </row>
    <row r="11" spans="1:57" x14ac:dyDescent="0.25">
      <c r="A11" s="359" t="s">
        <v>839</v>
      </c>
      <c r="B11" s="358" t="s">
        <v>6</v>
      </c>
      <c r="C11" s="950">
        <f>('2122 Teachers Pay Scales'!K20+1100)/12</f>
        <v>4157.2775000000001</v>
      </c>
      <c r="D11" s="950">
        <f>('2122 TA Pay Scales'!L24+490)/12</f>
        <v>1948.8054676128095</v>
      </c>
      <c r="E11" s="950">
        <f>'2122 GLEA Pay Scales'!$K$19/10/37*6.25*195/224</f>
        <v>353.33239604699571</v>
      </c>
      <c r="F11" s="951">
        <f>SUM(C11:E11)</f>
        <v>6459.4153636598057</v>
      </c>
      <c r="G11" s="359" t="s">
        <v>482</v>
      </c>
      <c r="H11" s="360"/>
      <c r="I11" s="950">
        <v>3593.1666666666665</v>
      </c>
      <c r="J11" s="950">
        <v>1847.6373726346435</v>
      </c>
      <c r="K11" s="950">
        <v>300.11777569980694</v>
      </c>
      <c r="L11" s="951">
        <v>5740.9218150011166</v>
      </c>
      <c r="N11" s="892">
        <f>D11+E11-J11-K11</f>
        <v>154.3827153253547</v>
      </c>
      <c r="P11" s="950">
        <f>C11-I11</f>
        <v>564.11083333333363</v>
      </c>
      <c r="Q11" s="892">
        <f>$Q$1+$Q$2</f>
        <v>557.86</v>
      </c>
      <c r="R11" s="892">
        <f>P11-Q11</f>
        <v>6.2508333333336168</v>
      </c>
      <c r="T11" s="360"/>
      <c r="U11" s="950">
        <f>('2122 Teachers Pay Scales'!K19+1100)/12</f>
        <v>3891.2551249999997</v>
      </c>
      <c r="V11" s="950">
        <f>('2122 TA Pay Scales'!L24+490)/12</f>
        <v>1948.8054676128095</v>
      </c>
      <c r="W11" s="950">
        <f>'2122 GLEA Pay Scales'!$K$19/10/37*6.25*195/224</f>
        <v>353.33239604699571</v>
      </c>
      <c r="X11" s="951">
        <f>SUM(U11:W11)</f>
        <v>6193.3929886598053</v>
      </c>
      <c r="Y11" s="892">
        <f>X11-L11</f>
        <v>452.47117365868871</v>
      </c>
      <c r="AA11" s="950">
        <f>('2122 Teachers Pay Scales'!K20+1100)/12</f>
        <v>4157.2775000000001</v>
      </c>
      <c r="AB11" s="950">
        <f>('2122 TA Pay Scales'!L23+490)/12</f>
        <v>1842.581077147016</v>
      </c>
      <c r="AC11" s="950">
        <f>'2122 GLEA Pay Scales'!$K$19/10/37*6.25*195/224</f>
        <v>353.33239604699571</v>
      </c>
      <c r="AD11" s="951">
        <f>SUM(AA11:AC11)</f>
        <v>6353.1909731940123</v>
      </c>
      <c r="AE11" s="892">
        <f>AD11-L11</f>
        <v>612.2691581928957</v>
      </c>
      <c r="AG11" s="1509">
        <f>('2122 Teachers Pay Scales'!K69+1100)/12</f>
        <v>4104.0730250000006</v>
      </c>
      <c r="AH11" s="1509">
        <v>1927.5772561863175</v>
      </c>
      <c r="AI11" s="1509">
        <f>'2122 GLEA Pay Scales'!$K$19/10/37*6.25*195/224</f>
        <v>353.33239604699571</v>
      </c>
      <c r="AJ11" s="1509">
        <f>SUM(AG11:AI11)</f>
        <v>6384.9826772333145</v>
      </c>
      <c r="AK11" s="1509">
        <f t="shared" si="2"/>
        <v>644.06086223219791</v>
      </c>
      <c r="AL11" s="1509">
        <f t="shared" si="3"/>
        <v>-74.432686426491273</v>
      </c>
      <c r="AM11" s="360">
        <f t="shared" si="0"/>
        <v>457.70188333333317</v>
      </c>
      <c r="AN11" s="950">
        <f>('2122 Teachers Pay Scales'!K98+1100)/12</f>
        <v>4050.8685499999997</v>
      </c>
      <c r="AO11" s="1540">
        <f>('2122 TA Pay Scales'!L40+490)/12</f>
        <v>1906.3490447598253</v>
      </c>
      <c r="AP11" s="950">
        <f t="shared" si="4"/>
        <v>300.11777569980694</v>
      </c>
      <c r="AQ11" s="950">
        <f t="shared" si="5"/>
        <v>6257.335370459632</v>
      </c>
      <c r="AR11" s="950">
        <f t="shared" si="6"/>
        <v>516.41355545851548</v>
      </c>
      <c r="AS11" s="1542">
        <f t="shared" si="7"/>
        <v>8.9953072363591319E-2</v>
      </c>
      <c r="AT11" s="1542">
        <f t="shared" si="8"/>
        <v>1.0226871923558922E-2</v>
      </c>
      <c r="AU11" s="892">
        <f t="shared" si="9"/>
        <v>58.711672125181849</v>
      </c>
      <c r="AV11" s="360">
        <f t="shared" si="1"/>
        <v>58.711672125181849</v>
      </c>
      <c r="AX11" s="1540">
        <f>('2122 Teachers Pay Scales'!K126+1100)/12</f>
        <v>4080.1560112499997</v>
      </c>
      <c r="AY11" s="950">
        <f>('2122 TA Pay Scales'!L41+490)/12</f>
        <v>1916.9214838064047</v>
      </c>
      <c r="AZ11" s="1540">
        <f t="shared" si="10"/>
        <v>300.11777569980694</v>
      </c>
      <c r="BA11" s="950">
        <f t="shared" ref="BA11" si="14">SUM(AX11:AZ11)</f>
        <v>6297.1952707562114</v>
      </c>
      <c r="BB11" s="950">
        <f t="shared" ref="BB11" si="15">BA11-V11</f>
        <v>4348.3898031434019</v>
      </c>
      <c r="BE11" s="892">
        <f t="shared" si="13"/>
        <v>6286.622831709632</v>
      </c>
    </row>
    <row r="12" spans="1:57" x14ac:dyDescent="0.25">
      <c r="C12" s="950"/>
      <c r="D12" s="950"/>
      <c r="E12" s="950"/>
      <c r="F12" s="892"/>
      <c r="I12" s="950"/>
      <c r="J12" s="950"/>
      <c r="K12" s="950"/>
      <c r="L12" s="892"/>
      <c r="N12" s="892"/>
      <c r="P12" s="950"/>
      <c r="Q12" s="892"/>
      <c r="R12" s="892"/>
      <c r="T12" s="360"/>
      <c r="U12" s="950"/>
      <c r="V12" s="950"/>
      <c r="W12" s="950"/>
      <c r="X12" s="892"/>
      <c r="Y12" s="892"/>
      <c r="AA12" s="950"/>
      <c r="AB12" s="950"/>
      <c r="AC12" s="950"/>
      <c r="AD12" s="892"/>
      <c r="AE12" s="892"/>
      <c r="AG12" s="1509"/>
      <c r="AH12" s="1509"/>
      <c r="AI12" s="1509"/>
      <c r="AJ12" s="1509"/>
      <c r="AK12" s="1509"/>
      <c r="AL12" s="1509"/>
      <c r="AM12" s="360">
        <f t="shared" si="0"/>
        <v>0</v>
      </c>
      <c r="AN12" s="950"/>
      <c r="AO12" s="1540"/>
      <c r="AP12" s="950"/>
      <c r="AQ12" s="950"/>
      <c r="AR12" s="950"/>
      <c r="AS12" s="1542"/>
      <c r="AT12" s="1542"/>
      <c r="AU12" s="892"/>
      <c r="AV12" s="360">
        <f t="shared" si="1"/>
        <v>0</v>
      </c>
      <c r="AX12" s="1540"/>
      <c r="AY12" s="950"/>
      <c r="AZ12" s="1540"/>
      <c r="BA12" s="950"/>
      <c r="BB12" s="950"/>
      <c r="BE12" s="892"/>
    </row>
    <row r="13" spans="1:57" x14ac:dyDescent="0.25">
      <c r="C13" s="950"/>
      <c r="D13" s="950"/>
      <c r="E13" s="950"/>
      <c r="F13" s="892"/>
      <c r="I13" s="950"/>
      <c r="J13" s="950"/>
      <c r="K13" s="950"/>
      <c r="L13" s="892"/>
      <c r="N13" s="892"/>
      <c r="P13" s="950"/>
      <c r="Q13" s="892"/>
      <c r="R13" s="892"/>
      <c r="T13" s="360"/>
      <c r="U13" s="950"/>
      <c r="V13" s="950"/>
      <c r="W13" s="950"/>
      <c r="X13" s="892"/>
      <c r="Y13" s="892"/>
      <c r="AA13" s="950"/>
      <c r="AB13" s="950"/>
      <c r="AC13" s="950"/>
      <c r="AD13" s="892"/>
      <c r="AE13" s="892"/>
      <c r="AG13" s="1509"/>
      <c r="AH13" s="1509"/>
      <c r="AI13" s="1509"/>
      <c r="AJ13" s="1509"/>
      <c r="AK13" s="1509"/>
      <c r="AL13" s="1509"/>
      <c r="AM13" s="360">
        <f t="shared" si="0"/>
        <v>0</v>
      </c>
      <c r="AN13" s="950"/>
      <c r="AO13" s="1540"/>
      <c r="AP13" s="950"/>
      <c r="AQ13" s="950"/>
      <c r="AR13" s="950"/>
      <c r="AS13" s="1542"/>
      <c r="AT13" s="1542"/>
      <c r="AU13" s="892"/>
      <c r="AV13" s="360">
        <f t="shared" si="1"/>
        <v>0</v>
      </c>
      <c r="AX13" s="1540"/>
      <c r="AY13" s="950"/>
      <c r="AZ13" s="1540"/>
      <c r="BA13" s="950"/>
      <c r="BB13" s="950"/>
      <c r="BE13" s="892"/>
    </row>
    <row r="14" spans="1:57" x14ac:dyDescent="0.25">
      <c r="A14" s="359" t="s">
        <v>843</v>
      </c>
      <c r="B14" s="358" t="s">
        <v>702</v>
      </c>
      <c r="C14" s="950">
        <f>('2122 Teachers Pay Scales'!K20+1100)/8</f>
        <v>6235.9162500000002</v>
      </c>
      <c r="D14" s="950">
        <f>(('2122 TA Pay Scales'!L24+490)/8)*3</f>
        <v>8769.6246042576422</v>
      </c>
      <c r="E14" s="950">
        <f>'2122 GLEA Pay Scales'!$K$19/10/37*6.25*195/224</f>
        <v>353.33239604699571</v>
      </c>
      <c r="F14" s="951">
        <f>SUM(C14:E14)</f>
        <v>15358.873250304638</v>
      </c>
      <c r="G14" s="359" t="s">
        <v>703</v>
      </c>
      <c r="I14" s="950">
        <v>5389.75</v>
      </c>
      <c r="J14" s="950">
        <v>8314.3681768558963</v>
      </c>
      <c r="K14" s="950">
        <v>300.11777569980694</v>
      </c>
      <c r="L14" s="951">
        <v>14004.235952555704</v>
      </c>
      <c r="N14" s="892">
        <f>D14+E14-J14-K14</f>
        <v>508.47104774893415</v>
      </c>
      <c r="P14" s="950">
        <f>C14-I14</f>
        <v>846.16625000000022</v>
      </c>
      <c r="Q14" s="892">
        <f>$Q$1+$Q$2</f>
        <v>557.86</v>
      </c>
      <c r="R14" s="892">
        <f>P14-Q14</f>
        <v>288.3062500000002</v>
      </c>
      <c r="T14" s="360"/>
      <c r="U14" s="950">
        <f>('2122 Teachers Pay Scales'!K19+1100)/8</f>
        <v>5836.8826874999995</v>
      </c>
      <c r="V14" s="950">
        <f>('2122 TA Pay Scales'!L24+490)/8*3</f>
        <v>8769.6246042576422</v>
      </c>
      <c r="W14" s="950">
        <f>'2122 GLEA Pay Scales'!$K$19/10/37*6.25*195/224</f>
        <v>353.33239604699571</v>
      </c>
      <c r="X14" s="951">
        <f>SUM(U14:W14)</f>
        <v>14959.839687804637</v>
      </c>
      <c r="Y14" s="892">
        <f>X14-L14</f>
        <v>955.60373524893294</v>
      </c>
      <c r="AA14" s="950">
        <f>('2122 Teachers Pay Scales'!K20+1100)/8</f>
        <v>6235.9162500000002</v>
      </c>
      <c r="AB14" s="950">
        <f>(('2122 TA Pay Scales'!L23+490)/8)*3</f>
        <v>8291.6148471615725</v>
      </c>
      <c r="AC14" s="950">
        <f>'2122 GLEA Pay Scales'!$K$19/10/37*6.25*195/224</f>
        <v>353.33239604699571</v>
      </c>
      <c r="AD14" s="951">
        <f>SUM(AA14:AC14)</f>
        <v>14880.863493208568</v>
      </c>
      <c r="AE14" s="892">
        <f>AD14-L14</f>
        <v>876.6275406528639</v>
      </c>
      <c r="AG14" s="1509">
        <f>('2122 Teachers Pay Scales'!K69+1100)/8</f>
        <v>6156.1095375000004</v>
      </c>
      <c r="AH14" s="1509">
        <v>8674.097652838429</v>
      </c>
      <c r="AI14" s="1509">
        <f>'2122 GLEA Pay Scales'!$K$19/10/37*6.25*195/224</f>
        <v>353.33239604699571</v>
      </c>
      <c r="AJ14" s="1509">
        <f>SUM(AG14:AI14)</f>
        <v>15183.539586385425</v>
      </c>
      <c r="AK14" s="1509">
        <f t="shared" si="2"/>
        <v>1179.3036338297206</v>
      </c>
      <c r="AL14" s="1509">
        <f t="shared" si="3"/>
        <v>-175.333663919213</v>
      </c>
      <c r="AM14" s="360">
        <f t="shared" si="0"/>
        <v>686.55282499999976</v>
      </c>
      <c r="AN14" s="950">
        <f>('2122 Teachers Pay Scales'!K98+1100)/8</f>
        <v>6076.3028249999998</v>
      </c>
      <c r="AO14" s="1540">
        <f>('2122 TA Pay Scales'!L40+490)/8*3</f>
        <v>8578.5707014192139</v>
      </c>
      <c r="AP14" s="950">
        <f t="shared" si="4"/>
        <v>300.11777569980694</v>
      </c>
      <c r="AQ14" s="950">
        <f t="shared" si="5"/>
        <v>14954.991302119022</v>
      </c>
      <c r="AR14" s="950">
        <f t="shared" si="6"/>
        <v>950.7553495633183</v>
      </c>
      <c r="AS14" s="1542">
        <f t="shared" si="7"/>
        <v>6.7890554885274568E-2</v>
      </c>
      <c r="AT14" s="1542">
        <f t="shared" si="8"/>
        <v>1.8865900678794404E-2</v>
      </c>
      <c r="AU14" s="892">
        <f t="shared" si="9"/>
        <v>264.20252456331764</v>
      </c>
      <c r="AV14" s="360">
        <f t="shared" si="1"/>
        <v>264.20252456331764</v>
      </c>
      <c r="AX14" s="1540">
        <f>('2122 Teachers Pay Scales'!K126+1100)/8</f>
        <v>6120.2340168749997</v>
      </c>
      <c r="AY14" s="950">
        <f>('2122 TA Pay Scales'!L41+490)/8*3</f>
        <v>8626.1466771288215</v>
      </c>
      <c r="AZ14" s="1540">
        <f t="shared" si="10"/>
        <v>300.11777569980694</v>
      </c>
      <c r="BA14" s="950">
        <f t="shared" ref="BA14" si="16">SUM(AX14:AZ14)</f>
        <v>15046.498469703629</v>
      </c>
      <c r="BB14" s="950">
        <f t="shared" ref="BB14" si="17">BA14-V14</f>
        <v>6276.8738654459867</v>
      </c>
      <c r="BE14" s="892">
        <f t="shared" si="13"/>
        <v>14998.922493994021</v>
      </c>
    </row>
    <row r="15" spans="1:57" x14ac:dyDescent="0.25">
      <c r="C15" s="950"/>
      <c r="D15" s="950"/>
      <c r="E15" s="950"/>
      <c r="F15" s="892"/>
      <c r="I15" s="950"/>
      <c r="J15" s="950"/>
      <c r="K15" s="950"/>
      <c r="L15" s="892"/>
      <c r="N15" s="892"/>
      <c r="P15" s="950"/>
      <c r="Q15" s="892"/>
      <c r="R15" s="892"/>
      <c r="T15" s="360"/>
      <c r="U15" s="950"/>
      <c r="V15" s="950"/>
      <c r="W15" s="950"/>
      <c r="X15" s="892"/>
      <c r="Y15" s="892"/>
      <c r="AA15" s="950"/>
      <c r="AB15" s="950"/>
      <c r="AC15" s="950"/>
      <c r="AD15" s="892"/>
      <c r="AE15" s="892"/>
      <c r="AG15" s="1509"/>
      <c r="AH15" s="1509"/>
      <c r="AI15" s="1509"/>
      <c r="AJ15" s="1509"/>
      <c r="AK15" s="1509"/>
      <c r="AL15" s="1509"/>
      <c r="AM15" s="360">
        <f t="shared" si="0"/>
        <v>0</v>
      </c>
      <c r="AN15" s="950"/>
      <c r="AO15" s="1540"/>
      <c r="AP15" s="950"/>
      <c r="AQ15" s="950"/>
      <c r="AR15" s="950"/>
      <c r="AS15" s="1542"/>
      <c r="AT15" s="1542"/>
      <c r="AU15" s="892"/>
      <c r="AV15" s="360">
        <f t="shared" si="1"/>
        <v>0</v>
      </c>
      <c r="AX15" s="1540"/>
      <c r="AY15" s="950"/>
      <c r="AZ15" s="1540"/>
      <c r="BA15" s="950"/>
      <c r="BB15" s="950"/>
      <c r="BE15" s="892"/>
    </row>
    <row r="16" spans="1:57" x14ac:dyDescent="0.25">
      <c r="C16" s="950"/>
      <c r="D16" s="950"/>
      <c r="E16" s="950"/>
      <c r="F16" s="892"/>
      <c r="I16" s="950"/>
      <c r="J16" s="950"/>
      <c r="K16" s="950"/>
      <c r="L16" s="892"/>
      <c r="N16" s="892"/>
      <c r="P16" s="950"/>
      <c r="Q16" s="892"/>
      <c r="R16" s="892"/>
      <c r="T16" s="360"/>
      <c r="U16" s="950"/>
      <c r="V16" s="950"/>
      <c r="W16" s="950"/>
      <c r="X16" s="892"/>
      <c r="Y16" s="892"/>
      <c r="AA16" s="950"/>
      <c r="AB16" s="950"/>
      <c r="AC16" s="950"/>
      <c r="AD16" s="892"/>
      <c r="AE16" s="892"/>
      <c r="AG16" s="1509"/>
      <c r="AH16" s="1509"/>
      <c r="AI16" s="1509"/>
      <c r="AJ16" s="1509"/>
      <c r="AK16" s="1509"/>
      <c r="AL16" s="1509"/>
      <c r="AM16" s="360">
        <f t="shared" si="0"/>
        <v>0</v>
      </c>
      <c r="AN16" s="950"/>
      <c r="AO16" s="1540"/>
      <c r="AP16" s="950"/>
      <c r="AQ16" s="950"/>
      <c r="AR16" s="950"/>
      <c r="AS16" s="1542"/>
      <c r="AT16" s="1542"/>
      <c r="AU16" s="892"/>
      <c r="AV16" s="360">
        <f t="shared" si="1"/>
        <v>0</v>
      </c>
      <c r="AX16" s="1540"/>
      <c r="AY16" s="950"/>
      <c r="AZ16" s="1540"/>
      <c r="BA16" s="950"/>
      <c r="BB16" s="950"/>
      <c r="BE16" s="892"/>
    </row>
    <row r="17" spans="1:59" x14ac:dyDescent="0.25">
      <c r="A17" s="359" t="s">
        <v>841</v>
      </c>
      <c r="B17" s="358" t="s">
        <v>50</v>
      </c>
      <c r="C17" s="950">
        <f>('2122 Teachers Pay Scales'!K20+1100)/10</f>
        <v>4988.7330000000002</v>
      </c>
      <c r="D17" s="950">
        <f>(('2122 TA Pay Scales'!L24+490)/10)*3</f>
        <v>7015.6996834061147</v>
      </c>
      <c r="E17" s="950">
        <f>'2122 GLEA Pay Scales'!$K$19/10/37*6.25*195/224</f>
        <v>353.33239604699571</v>
      </c>
      <c r="F17" s="951">
        <f>SUM(C17:E17)</f>
        <v>12357.765079453109</v>
      </c>
      <c r="G17" s="359" t="s">
        <v>480</v>
      </c>
      <c r="I17" s="950">
        <v>4311.8</v>
      </c>
      <c r="J17" s="950">
        <v>6651.494541484717</v>
      </c>
      <c r="K17" s="950">
        <v>300.11777569980694</v>
      </c>
      <c r="L17" s="951">
        <v>11263.412317184524</v>
      </c>
      <c r="N17" s="892">
        <f>D17+E17-J17-K17</f>
        <v>417.41976226858679</v>
      </c>
      <c r="P17" s="950">
        <f>C17-I17</f>
        <v>676.93299999999999</v>
      </c>
      <c r="Q17" s="892">
        <f>$Q$1+$Q$2</f>
        <v>557.86</v>
      </c>
      <c r="R17" s="892">
        <f>P17-Q17</f>
        <v>119.07299999999998</v>
      </c>
      <c r="T17" s="360"/>
      <c r="U17" s="950">
        <f>('2122 Teachers Pay Scales'!K19+1100)/10</f>
        <v>4669.5061499999993</v>
      </c>
      <c r="V17" s="950">
        <f>('2122 TA Pay Scales'!L24+490)/10*3</f>
        <v>7015.6996834061147</v>
      </c>
      <c r="W17" s="950">
        <f>'2122 GLEA Pay Scales'!$K$19/10/37*6.25*195/224</f>
        <v>353.33239604699571</v>
      </c>
      <c r="X17" s="951">
        <f>SUM(U17:W17)</f>
        <v>12038.53822945311</v>
      </c>
      <c r="Y17" s="892">
        <f>X17-L17</f>
        <v>775.12591226858603</v>
      </c>
      <c r="AA17" s="950">
        <f>('2122 Teachers Pay Scales'!K20+1100)/10</f>
        <v>4988.7330000000002</v>
      </c>
      <c r="AB17" s="950">
        <f>(('2122 TA Pay Scales'!L23+490)/10)*3</f>
        <v>6633.2918777292571</v>
      </c>
      <c r="AC17" s="950">
        <f>'2122 GLEA Pay Scales'!$K$19/10/37*6.25*195/224</f>
        <v>353.33239604699571</v>
      </c>
      <c r="AD17" s="951">
        <f>SUM(AA17:AC17)</f>
        <v>11975.357273776253</v>
      </c>
      <c r="AE17" s="892">
        <f>AD17-L17</f>
        <v>711.94495659172935</v>
      </c>
      <c r="AG17" s="1509">
        <f>('2122 Teachers Pay Scales'!K69+1100)/10</f>
        <v>4924.8876300000002</v>
      </c>
      <c r="AH17" s="1509">
        <v>6939.2781222707436</v>
      </c>
      <c r="AI17" s="1509">
        <f>'2122 GLEA Pay Scales'!$K$19/10/37*6.25*195/224</f>
        <v>353.33239604699571</v>
      </c>
      <c r="AJ17" s="1509">
        <f>SUM(AG17:AI17)</f>
        <v>12217.498148317738</v>
      </c>
      <c r="AK17" s="1509">
        <f t="shared" si="2"/>
        <v>954.08583113321401</v>
      </c>
      <c r="AL17" s="1509">
        <f t="shared" si="3"/>
        <v>-140.26693113537112</v>
      </c>
      <c r="AM17" s="360">
        <f t="shared" si="0"/>
        <v>549.24225999999999</v>
      </c>
      <c r="AN17" s="950">
        <f>('2122 Teachers Pay Scales'!K98+1100)/10</f>
        <v>4861.0422600000002</v>
      </c>
      <c r="AO17" s="1540">
        <f>('2122 TA Pay Scales'!L40+490)/10*3</f>
        <v>6862.8565611353715</v>
      </c>
      <c r="AP17" s="950">
        <f t="shared" si="4"/>
        <v>300.11777569980694</v>
      </c>
      <c r="AQ17" s="950">
        <f t="shared" si="5"/>
        <v>12024.016596835179</v>
      </c>
      <c r="AR17" s="950">
        <f t="shared" si="6"/>
        <v>760.60427965065537</v>
      </c>
      <c r="AS17" s="1542">
        <f t="shared" si="7"/>
        <v>6.7528761110006219E-2</v>
      </c>
      <c r="AT17" s="1542">
        <f t="shared" si="8"/>
        <v>1.8765362902340054E-2</v>
      </c>
      <c r="AU17" s="892">
        <f t="shared" si="9"/>
        <v>211.36201965065447</v>
      </c>
      <c r="AV17" s="360">
        <f t="shared" si="1"/>
        <v>211.36201965065447</v>
      </c>
      <c r="AX17" s="1540">
        <f>('2122 Teachers Pay Scales'!K126+1100)/10</f>
        <v>4896.1872134999994</v>
      </c>
      <c r="AY17" s="950">
        <f>('2122 TA Pay Scales'!L41+490)/10*3</f>
        <v>6900.9173417030579</v>
      </c>
      <c r="AZ17" s="1540">
        <f t="shared" si="10"/>
        <v>300.11777569980694</v>
      </c>
      <c r="BA17" s="950">
        <f t="shared" ref="BA17" si="18">SUM(AX17:AZ17)</f>
        <v>12097.222330902865</v>
      </c>
      <c r="BB17" s="950">
        <f t="shared" ref="BB17" si="19">BA17-V17</f>
        <v>5081.5226474967503</v>
      </c>
      <c r="BE17" s="892">
        <f t="shared" si="13"/>
        <v>12059.161550335179</v>
      </c>
    </row>
    <row r="18" spans="1:59" x14ac:dyDescent="0.25">
      <c r="C18" s="950"/>
      <c r="D18" s="950"/>
      <c r="E18" s="950"/>
      <c r="F18" s="892"/>
      <c r="N18" s="892"/>
      <c r="P18" s="950"/>
      <c r="Q18" s="892"/>
      <c r="R18" s="892"/>
      <c r="AN18" s="952"/>
      <c r="AO18" s="1541"/>
      <c r="AP18" s="950"/>
      <c r="AQ18" s="950"/>
      <c r="AR18" s="952"/>
      <c r="AU18" s="892"/>
      <c r="AV18" s="360">
        <f t="shared" si="1"/>
        <v>0</v>
      </c>
      <c r="AX18" s="1541"/>
      <c r="AY18" s="952"/>
      <c r="AZ18" s="1540"/>
      <c r="BA18" s="950"/>
      <c r="BB18" s="952"/>
      <c r="BE18" s="892"/>
    </row>
    <row r="19" spans="1:59" x14ac:dyDescent="0.25">
      <c r="C19" s="950"/>
      <c r="D19" s="950"/>
      <c r="E19" s="950"/>
      <c r="F19" s="892"/>
      <c r="N19" s="892"/>
      <c r="P19" s="950"/>
      <c r="Q19" s="892"/>
      <c r="R19" s="892"/>
      <c r="AN19" s="952"/>
      <c r="AO19" s="1541"/>
      <c r="AP19" s="950"/>
      <c r="AQ19" s="950"/>
      <c r="AR19" s="952"/>
      <c r="AU19" s="892"/>
      <c r="AV19" s="360">
        <f t="shared" si="1"/>
        <v>0</v>
      </c>
      <c r="AX19" s="1541"/>
      <c r="AY19" s="952"/>
      <c r="AZ19" s="1540"/>
      <c r="BA19" s="950"/>
      <c r="BB19" s="952"/>
      <c r="BE19" s="892"/>
    </row>
    <row r="20" spans="1:59" ht="25" x14ac:dyDescent="0.25">
      <c r="A20" s="359" t="s">
        <v>1226</v>
      </c>
      <c r="C20" s="950">
        <v>0</v>
      </c>
      <c r="D20" s="950">
        <v>0</v>
      </c>
      <c r="E20" s="950">
        <v>0</v>
      </c>
      <c r="F20" s="951">
        <v>2635</v>
      </c>
      <c r="G20" s="953" t="s">
        <v>873</v>
      </c>
      <c r="I20" s="950">
        <v>0</v>
      </c>
      <c r="J20" s="950">
        <v>0</v>
      </c>
      <c r="K20" s="950">
        <v>0</v>
      </c>
      <c r="L20" s="951">
        <v>2635</v>
      </c>
      <c r="N20" s="892">
        <f>D20+E20-J20-K20</f>
        <v>0</v>
      </c>
      <c r="P20" s="950">
        <f>C20-I20</f>
        <v>0</v>
      </c>
      <c r="Q20" s="892"/>
      <c r="R20" s="892"/>
      <c r="AN20" s="952"/>
      <c r="AO20" s="1541"/>
      <c r="AP20" s="950"/>
      <c r="AQ20" s="950">
        <f>F20</f>
        <v>2635</v>
      </c>
      <c r="AR20" s="952"/>
      <c r="AU20" s="892"/>
      <c r="AV20" s="360">
        <f t="shared" si="1"/>
        <v>0</v>
      </c>
      <c r="AX20" s="1541"/>
      <c r="AY20" s="952"/>
      <c r="AZ20" s="1540">
        <v>2635</v>
      </c>
      <c r="BA20" s="950"/>
      <c r="BB20" s="952"/>
      <c r="BE20" s="892">
        <f>AX20+AO20+AZ20</f>
        <v>2635</v>
      </c>
      <c r="BG20" s="360">
        <f>BE17+BE20</f>
        <v>14694.161550335179</v>
      </c>
    </row>
    <row r="21" spans="1:59" x14ac:dyDescent="0.25">
      <c r="C21" s="950"/>
      <c r="D21" s="950"/>
      <c r="E21" s="950"/>
      <c r="F21" s="892"/>
      <c r="G21" s="1"/>
      <c r="I21" s="950"/>
      <c r="J21" s="950"/>
      <c r="K21" s="950"/>
      <c r="L21" s="892"/>
      <c r="N21" s="892"/>
      <c r="P21" s="950"/>
      <c r="Q21" s="892"/>
      <c r="R21" s="892"/>
      <c r="X21" s="410" t="s">
        <v>1209</v>
      </c>
      <c r="AD21" s="889">
        <f>'2122 TA Pay Scales'!L40</f>
        <v>22386.188537117905</v>
      </c>
      <c r="AN21" s="952"/>
      <c r="AO21" s="1541"/>
      <c r="AP21" s="950"/>
      <c r="AQ21" s="950"/>
      <c r="AR21" s="952"/>
      <c r="AU21" s="892"/>
      <c r="AV21" s="360">
        <f t="shared" si="1"/>
        <v>0</v>
      </c>
      <c r="AX21" s="1541"/>
      <c r="AY21" s="952"/>
      <c r="AZ21" s="1540"/>
      <c r="BA21" s="950"/>
      <c r="BB21" s="952"/>
      <c r="BE21" s="892"/>
    </row>
    <row r="22" spans="1:59" x14ac:dyDescent="0.25">
      <c r="A22" s="359" t="s">
        <v>844</v>
      </c>
      <c r="B22" s="358" t="s">
        <v>702</v>
      </c>
      <c r="C22" s="950">
        <f>('2122 Teachers Pay Scales'!K20+1100)/6</f>
        <v>8314.5550000000003</v>
      </c>
      <c r="D22" s="950">
        <f>(('2122 TA Pay Scales'!L24+490)/6)*2</f>
        <v>7795.2218704512379</v>
      </c>
      <c r="E22" s="950">
        <f>'2122 GLEA Pay Scales'!$K$19/10/37*6.25*195/224</f>
        <v>353.33239604699571</v>
      </c>
      <c r="F22" s="951">
        <f>SUM(C22:E22)</f>
        <v>16463.109266498235</v>
      </c>
      <c r="G22" s="359" t="s">
        <v>704</v>
      </c>
      <c r="I22" s="950">
        <v>7186.333333333333</v>
      </c>
      <c r="J22" s="950">
        <v>7390.549490538574</v>
      </c>
      <c r="K22" s="950">
        <v>300.11777569980694</v>
      </c>
      <c r="L22" s="951">
        <v>14877.000599571715</v>
      </c>
      <c r="N22" s="892">
        <f>D22+E22-J22-K22</f>
        <v>457.8870002598531</v>
      </c>
      <c r="P22" s="950">
        <f>C22-I22</f>
        <v>1128.2216666666673</v>
      </c>
      <c r="Q22" s="892">
        <f>$Q$1+$Q$2</f>
        <v>557.86</v>
      </c>
      <c r="R22" s="892">
        <f>P22-Q22</f>
        <v>570.36166666666725</v>
      </c>
      <c r="AG22" s="1509">
        <f>('2122 Teachers Pay Scales'!K69+1100)/6</f>
        <v>8208.1460500000012</v>
      </c>
      <c r="AH22" s="1509">
        <v>7710.3090247452701</v>
      </c>
      <c r="AI22" s="1509">
        <f>'2122 GLEA Pay Scales'!$K$19/10/37*6.25*195/224</f>
        <v>353.33239604699571</v>
      </c>
      <c r="AJ22" s="1509">
        <f>SUM(AG22:AI22)</f>
        <v>16271.787470792266</v>
      </c>
      <c r="AK22" s="1509">
        <f>AJ22-L22</f>
        <v>1394.7868712205509</v>
      </c>
      <c r="AL22" s="1509">
        <f>AJ22-F22</f>
        <v>-191.32179570596963</v>
      </c>
      <c r="AN22" s="950">
        <f>('2122 Teachers Pay Scales'!K98+1100)/6</f>
        <v>8101.7370999999994</v>
      </c>
      <c r="AO22" s="1540">
        <f>('2122 TA Pay Scales'!L40+490)/6*2</f>
        <v>7625.3961790393014</v>
      </c>
      <c r="AP22" s="950">
        <f t="shared" si="4"/>
        <v>300.11777569980694</v>
      </c>
      <c r="AQ22" s="950">
        <f t="shared" si="5"/>
        <v>16027.251054739108</v>
      </c>
      <c r="AR22" s="952"/>
      <c r="AU22" s="892">
        <f t="shared" si="9"/>
        <v>234.8466885007274</v>
      </c>
      <c r="AV22" s="360">
        <f t="shared" si="1"/>
        <v>234.8466885007274</v>
      </c>
      <c r="AX22" s="1540">
        <f>('2122 Teachers Pay Scales'!K126+1100)/6</f>
        <v>8160.3120224999993</v>
      </c>
      <c r="AY22" s="950">
        <f>('2122 TA Pay Scales'!L41+490)/6*2</f>
        <v>7667.6859352256188</v>
      </c>
      <c r="AZ22" s="1540">
        <f t="shared" si="10"/>
        <v>300.11777569980694</v>
      </c>
      <c r="BA22" s="950">
        <f t="shared" ref="BA22" si="20">SUM(AX22:AZ22)</f>
        <v>16128.115733425426</v>
      </c>
      <c r="BB22" s="952"/>
      <c r="BE22" s="892">
        <f t="shared" si="13"/>
        <v>16085.825977239108</v>
      </c>
    </row>
    <row r="23" spans="1:59" x14ac:dyDescent="0.25">
      <c r="C23" s="950"/>
      <c r="D23" s="950"/>
      <c r="E23" s="950"/>
      <c r="F23" s="892"/>
      <c r="I23" s="950"/>
      <c r="J23" s="950"/>
      <c r="K23" s="950"/>
      <c r="L23" s="892"/>
      <c r="N23" s="892"/>
      <c r="P23" s="950"/>
      <c r="Q23" s="892"/>
      <c r="R23" s="892"/>
      <c r="AH23" s="1509"/>
      <c r="AN23" s="952"/>
      <c r="AO23" s="1541"/>
      <c r="AP23" s="952"/>
      <c r="AQ23" s="950"/>
      <c r="AR23" s="952"/>
      <c r="AU23" s="892"/>
      <c r="AV23" s="360">
        <f t="shared" si="1"/>
        <v>0</v>
      </c>
      <c r="AX23" s="1540"/>
      <c r="AY23" s="952"/>
      <c r="AZ23" s="1540"/>
      <c r="BA23" s="950"/>
      <c r="BB23" s="952"/>
      <c r="BE23" s="892"/>
    </row>
    <row r="24" spans="1:59" x14ac:dyDescent="0.25">
      <c r="A24" s="359" t="s">
        <v>845</v>
      </c>
      <c r="B24" s="358" t="s">
        <v>632</v>
      </c>
      <c r="C24" s="950">
        <v>0</v>
      </c>
      <c r="D24" s="950">
        <f>('2122 TA Pay Scales'!L24+490)</f>
        <v>23385.665611353714</v>
      </c>
      <c r="E24" s="950">
        <v>0</v>
      </c>
      <c r="F24" s="951">
        <f>SUM(C24:E24)</f>
        <v>23385.665611353714</v>
      </c>
      <c r="G24" s="359" t="s">
        <v>874</v>
      </c>
      <c r="I24" s="950">
        <v>0</v>
      </c>
      <c r="J24" s="950">
        <v>22512.750755794426</v>
      </c>
      <c r="K24" s="950">
        <v>0</v>
      </c>
      <c r="L24" s="951">
        <v>22512.750755794426</v>
      </c>
      <c r="N24" s="892">
        <f>D24+E24-J24-K24</f>
        <v>872.91485555928739</v>
      </c>
      <c r="P24" s="950">
        <f>C24-I24</f>
        <v>0</v>
      </c>
      <c r="Q24" s="892"/>
      <c r="R24" s="892"/>
      <c r="AH24" s="1509">
        <v>23130.927074235809</v>
      </c>
      <c r="AK24" s="1509">
        <f>AH24-J24</f>
        <v>618.17631844138305</v>
      </c>
      <c r="AL24" s="1509">
        <f>AH24-D24</f>
        <v>-254.73853711790434</v>
      </c>
      <c r="AN24" s="952"/>
      <c r="AO24" s="1540">
        <f>('2122 TA Pay Scales'!L40+490)</f>
        <v>22876.188537117905</v>
      </c>
      <c r="AP24" s="952">
        <v>0</v>
      </c>
      <c r="AQ24" s="950">
        <f t="shared" si="5"/>
        <v>22876.188537117905</v>
      </c>
      <c r="AR24" s="952"/>
      <c r="AU24" s="892">
        <f t="shared" si="9"/>
        <v>363.4377813234787</v>
      </c>
      <c r="AV24" s="360">
        <f t="shared" si="1"/>
        <v>363.4377813234787</v>
      </c>
      <c r="AX24" s="1540"/>
      <c r="AY24" s="950"/>
      <c r="AZ24" s="1540">
        <f t="shared" si="10"/>
        <v>0</v>
      </c>
      <c r="BA24" s="950">
        <f t="shared" ref="BA24" si="21">SUM(AX24:AZ24)</f>
        <v>0</v>
      </c>
      <c r="BB24" s="952"/>
      <c r="BE24" s="892">
        <f t="shared" si="13"/>
        <v>22876.188537117905</v>
      </c>
    </row>
    <row r="25" spans="1:59" x14ac:dyDescent="0.25">
      <c r="C25" s="952"/>
      <c r="D25" s="952"/>
      <c r="E25" s="952"/>
      <c r="K25" s="359"/>
      <c r="L25" s="359"/>
      <c r="AF25" s="359" t="s">
        <v>1222</v>
      </c>
      <c r="AH25" s="1509">
        <f>('2122 TA Pay Scales'!L$43+490)</f>
        <v>22749.319268558953</v>
      </c>
      <c r="AK25" s="1509">
        <f>AH25-J24</f>
        <v>236.56851276452653</v>
      </c>
      <c r="AL25" s="1509">
        <f>AH25-D24</f>
        <v>-636.34634279476086</v>
      </c>
      <c r="AN25" s="1624"/>
      <c r="AO25" s="1540"/>
      <c r="AP25" s="1624"/>
      <c r="AQ25" s="1624"/>
      <c r="AR25" s="1624"/>
      <c r="AX25" s="1540"/>
      <c r="AY25" s="950"/>
      <c r="AZ25" s="1540"/>
      <c r="BA25" s="1624"/>
      <c r="BB25" s="1624"/>
      <c r="BE25" s="358"/>
    </row>
    <row r="26" spans="1:59" x14ac:dyDescent="0.25">
      <c r="A26" s="359" t="s">
        <v>1330</v>
      </c>
      <c r="B26" s="358" t="s">
        <v>1331</v>
      </c>
      <c r="G26" s="359" t="s">
        <v>1332</v>
      </c>
      <c r="I26" s="892">
        <v>5046.875</v>
      </c>
      <c r="J26" s="892">
        <v>5542.9121179039303</v>
      </c>
      <c r="K26" s="892">
        <v>300.11777569980694</v>
      </c>
      <c r="L26" s="892">
        <v>10889.904893603738</v>
      </c>
      <c r="AO26" s="1540">
        <f>('2122 TA Pay Scales'!L40+490)/8*2</f>
        <v>5719.0471342794763</v>
      </c>
      <c r="AX26" s="1540">
        <f>('2122 Teachers Pay Scales'!K153+1100)/8</f>
        <v>5730.1090168749997</v>
      </c>
      <c r="AY26" s="950"/>
      <c r="AZ26" s="1540">
        <f t="shared" si="10"/>
        <v>300.11777569980694</v>
      </c>
      <c r="BA26" s="1624"/>
      <c r="BB26" s="1624"/>
      <c r="BE26" s="892">
        <f>AX26+AO26+AZ26</f>
        <v>11749.273926854283</v>
      </c>
    </row>
    <row r="27" spans="1:59" x14ac:dyDescent="0.25">
      <c r="K27" s="359"/>
      <c r="L27" s="359"/>
      <c r="AX27" s="950"/>
      <c r="BE27" s="358"/>
    </row>
    <row r="28" spans="1:59" x14ac:dyDescent="0.25">
      <c r="BE28" s="358"/>
    </row>
    <row r="29" spans="1:59" x14ac:dyDescent="0.25">
      <c r="A29" s="359" t="s">
        <v>689</v>
      </c>
      <c r="B29" s="358" t="s">
        <v>702</v>
      </c>
      <c r="C29" s="950">
        <f>'[18]Teacher Pay Scales'!$M$44/7</f>
        <v>6159.7142857142853</v>
      </c>
      <c r="D29" s="950">
        <f>SUM('[18]TA Pay scales'!$N$45/7*2)</f>
        <v>6334.75670617592</v>
      </c>
      <c r="E29" s="950">
        <f>'[18]GLEA Pay Scales'!$K$21/10/37*6.25*195/224</f>
        <v>300.11777569980694</v>
      </c>
      <c r="F29" s="950">
        <f>SUM(C29:E29)</f>
        <v>12794.588767590012</v>
      </c>
      <c r="G29" s="359" t="s">
        <v>704</v>
      </c>
    </row>
    <row r="30" spans="1:59" x14ac:dyDescent="0.25">
      <c r="F30" s="952"/>
      <c r="Q30" s="1614"/>
    </row>
    <row r="31" spans="1:59" x14ac:dyDescent="0.25">
      <c r="F31" s="952"/>
      <c r="Q31" s="1614"/>
    </row>
    <row r="32" spans="1:59" x14ac:dyDescent="0.25">
      <c r="A32" s="359" t="s">
        <v>689</v>
      </c>
      <c r="B32" s="358" t="s">
        <v>702</v>
      </c>
      <c r="C32" s="950">
        <f>'[18]Teacher Pay Scales'!$I$44/6</f>
        <v>6141.5</v>
      </c>
      <c r="D32" s="950">
        <f>SUM('[18]TA Pay scales'!$N$45/6*2)</f>
        <v>7390.549490538574</v>
      </c>
      <c r="E32" s="950">
        <f>'[18]GLEA Pay Scales'!$K$21/10/37*6.25*195/224</f>
        <v>300.11777569980694</v>
      </c>
      <c r="F32" s="950">
        <f>SUM(C32:E32)</f>
        <v>13832.167266238383</v>
      </c>
      <c r="G32" s="359" t="s">
        <v>704</v>
      </c>
    </row>
    <row r="33" spans="1:12" x14ac:dyDescent="0.25">
      <c r="F33" s="952"/>
      <c r="I33" s="359"/>
      <c r="J33" s="359"/>
      <c r="K33" s="359"/>
      <c r="L33" s="359"/>
    </row>
    <row r="34" spans="1:12" x14ac:dyDescent="0.25">
      <c r="A34" s="359" t="s">
        <v>876</v>
      </c>
      <c r="B34" s="358" t="s">
        <v>702</v>
      </c>
      <c r="C34" s="950">
        <f>'[18]Teacher Pay Scales'!$M$44/8</f>
        <v>5389.75</v>
      </c>
      <c r="D34" s="950">
        <f>SUM('[18]TA Pay scales'!$N$45/8)+('[18]TA Pay scales'!L45/8*2)</f>
        <v>7723.2312227074235</v>
      </c>
      <c r="E34" s="950">
        <f>'[18]GLEA Pay Scales'!$K$21/10/37*6.25*195/224</f>
        <v>300.11777569980694</v>
      </c>
      <c r="F34" s="950">
        <f>SUM(C34:E34)</f>
        <v>13413.098998407231</v>
      </c>
      <c r="G34" s="359" t="s">
        <v>703</v>
      </c>
      <c r="I34" s="359"/>
      <c r="J34" s="359"/>
      <c r="K34" s="359"/>
      <c r="L34" s="359"/>
    </row>
    <row r="35" spans="1:12" x14ac:dyDescent="0.25">
      <c r="F35" s="952"/>
      <c r="I35" s="359"/>
      <c r="J35" s="359"/>
      <c r="K35" s="359"/>
      <c r="L35" s="359"/>
    </row>
    <row r="36" spans="1:12" x14ac:dyDescent="0.25">
      <c r="A36" s="359" t="s">
        <v>631</v>
      </c>
      <c r="B36" s="358" t="s">
        <v>632</v>
      </c>
      <c r="C36" s="950">
        <v>0</v>
      </c>
      <c r="D36" s="950">
        <f>'[18]TA Pay scales'!L45/32.5*33</f>
        <v>20111.82528048371</v>
      </c>
      <c r="E36" s="950">
        <v>0</v>
      </c>
      <c r="F36" s="950">
        <f>SUM(C36:E36)</f>
        <v>20111.82528048371</v>
      </c>
      <c r="G36" s="359" t="s">
        <v>874</v>
      </c>
      <c r="I36" s="359"/>
      <c r="J36" s="359"/>
      <c r="K36" s="359"/>
      <c r="L36" s="359"/>
    </row>
    <row r="37" spans="1:12" x14ac:dyDescent="0.25">
      <c r="F37" s="952"/>
      <c r="I37" s="359"/>
      <c r="J37" s="359"/>
      <c r="K37" s="359"/>
      <c r="L37" s="359"/>
    </row>
    <row r="38" spans="1:12" x14ac:dyDescent="0.25">
      <c r="A38" s="359" t="s">
        <v>876</v>
      </c>
      <c r="B38" s="358" t="s">
        <v>702</v>
      </c>
      <c r="C38" s="950">
        <f>'[18]Teacher Pay Scales'!$M$44/10</f>
        <v>4311.8</v>
      </c>
      <c r="D38" s="950">
        <f>SUM('[18]TA Pay scales'!$N$45/10*3)</f>
        <v>6651.494541484717</v>
      </c>
      <c r="E38" s="950">
        <f>'[18]GLEA Pay Scales'!$K$21/10/37*6.25*195/224</f>
        <v>300.11777569980694</v>
      </c>
      <c r="F38" s="950">
        <f>SUM(C38:E38)</f>
        <v>11263.412317184524</v>
      </c>
      <c r="G38" s="359" t="s">
        <v>703</v>
      </c>
      <c r="I38" s="359"/>
      <c r="J38" s="359"/>
      <c r="K38" s="359"/>
      <c r="L38" s="359"/>
    </row>
    <row r="39" spans="1:12" x14ac:dyDescent="0.25">
      <c r="F39" s="952"/>
      <c r="I39" s="359"/>
      <c r="J39" s="359"/>
      <c r="K39" s="359"/>
      <c r="L39" s="359"/>
    </row>
    <row r="40" spans="1:12" x14ac:dyDescent="0.25">
      <c r="A40" s="359" t="s">
        <v>689</v>
      </c>
      <c r="B40" s="358" t="s">
        <v>702</v>
      </c>
      <c r="C40" s="950">
        <f>'[18]Teacher Pay Scales'!$I$44/7</f>
        <v>5264.1428571428569</v>
      </c>
      <c r="D40" s="950">
        <f>SUM('[18]TA Pay scales'!$N$45/7*2)</f>
        <v>6334.75670617592</v>
      </c>
      <c r="E40" s="950">
        <f>'[18]GLEA Pay Scales'!$K$21/10/37*6.25*195/224</f>
        <v>300.11777569980694</v>
      </c>
      <c r="F40" s="950">
        <f>SUM(C40:E40)</f>
        <v>11899.017339018585</v>
      </c>
      <c r="G40" s="359" t="s">
        <v>704</v>
      </c>
      <c r="I40" s="359"/>
      <c r="J40" s="359"/>
      <c r="K40" s="359"/>
      <c r="L40" s="359"/>
    </row>
    <row r="41" spans="1:12" x14ac:dyDescent="0.25">
      <c r="F41" s="952"/>
      <c r="I41" s="359"/>
      <c r="J41" s="359"/>
      <c r="K41" s="359"/>
      <c r="L41" s="359"/>
    </row>
    <row r="42" spans="1:12" x14ac:dyDescent="0.25">
      <c r="A42" s="359" t="s">
        <v>876</v>
      </c>
      <c r="B42" s="358" t="s">
        <v>702</v>
      </c>
      <c r="C42" s="950">
        <f>'[18]Teacher Pay Scales'!$M$44/10</f>
        <v>4311.8</v>
      </c>
      <c r="D42" s="950">
        <f>SUM('[18]TA Pay scales'!$N$45/8*3)</f>
        <v>8314.3681768558963</v>
      </c>
      <c r="E42" s="950">
        <f>'[18]GLEA Pay Scales'!$K$21/10/37*6.25*195/224</f>
        <v>300.11777569980694</v>
      </c>
      <c r="F42" s="950">
        <f>SUM(C42:E42)</f>
        <v>12926.285952555703</v>
      </c>
      <c r="G42" s="359" t="s">
        <v>703</v>
      </c>
      <c r="I42" s="359"/>
      <c r="J42" s="359"/>
      <c r="K42" s="359"/>
      <c r="L42" s="359"/>
    </row>
  </sheetData>
  <mergeCells count="1">
    <mergeCell ref="N1:N3"/>
  </mergeCells>
  <pageMargins left="0.7" right="0.7" top="0.75" bottom="0.75" header="0.3" footer="0.3"/>
  <pageSetup paperSize="9" orientation="portrait" r:id="rId1"/>
  <legacy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B170"/>
  <sheetViews>
    <sheetView topLeftCell="A115" workbookViewId="0">
      <selection activeCell="K153" sqref="K153"/>
    </sheetView>
  </sheetViews>
  <sheetFormatPr defaultColWidth="8.26953125" defaultRowHeight="12.5" x14ac:dyDescent="0.25"/>
  <cols>
    <col min="1" max="1" width="11.453125" style="612" customWidth="1"/>
    <col min="2" max="2" width="9.54296875" style="612" customWidth="1"/>
    <col min="3" max="3" width="14.81640625" style="612" customWidth="1"/>
    <col min="4" max="4" width="8.81640625" style="612" customWidth="1"/>
    <col min="5" max="5" width="13.7265625" style="612" customWidth="1"/>
    <col min="6" max="6" width="4.1796875" style="612" customWidth="1"/>
    <col min="7" max="7" width="9.81640625" style="612" customWidth="1"/>
    <col min="8" max="8" width="3.81640625" style="612" customWidth="1"/>
    <col min="9" max="9" width="15.81640625" style="612" bestFit="1" customWidth="1"/>
    <col min="10" max="10" width="2.7265625" style="612" customWidth="1"/>
    <col min="11" max="11" width="10.453125" style="612" customWidth="1"/>
    <col min="12" max="12" width="2.26953125" style="612" customWidth="1"/>
    <col min="13" max="13" width="10.453125" style="612" customWidth="1"/>
    <col min="14" max="14" width="0.81640625" style="612" customWidth="1"/>
    <col min="15" max="15" width="1.453125" style="612" customWidth="1"/>
    <col min="16" max="16" width="11.1796875" style="612" customWidth="1"/>
    <col min="17" max="17" width="2.81640625" style="612" customWidth="1"/>
    <col min="18" max="18" width="9.81640625" style="612" bestFit="1" customWidth="1"/>
    <col min="19" max="19" width="2.26953125" style="612" customWidth="1"/>
    <col min="20" max="20" width="9.453125" style="612" customWidth="1"/>
    <col min="21" max="21" width="12.1796875" style="612" bestFit="1" customWidth="1"/>
    <col min="22" max="23" width="9.453125" style="612" customWidth="1"/>
    <col min="24" max="26" width="8.26953125" style="612"/>
    <col min="27" max="27" width="8.54296875" style="612" bestFit="1" customWidth="1"/>
    <col min="28" max="16384" width="8.26953125" style="612"/>
  </cols>
  <sheetData>
    <row r="1" spans="1:28" s="1078" customFormat="1" ht="39.65" customHeight="1" thickBot="1" x14ac:dyDescent="0.35">
      <c r="A1" s="420" t="s">
        <v>1010</v>
      </c>
      <c r="B1" s="1072" t="s">
        <v>1011</v>
      </c>
      <c r="C1" s="1073"/>
      <c r="D1" s="1074"/>
      <c r="E1" s="1073"/>
      <c r="F1" s="1075"/>
      <c r="G1" s="1073"/>
      <c r="H1" s="1073"/>
      <c r="I1" s="1073"/>
      <c r="J1" s="1073"/>
      <c r="K1" s="1073"/>
      <c r="L1" s="1073"/>
      <c r="M1" s="1073"/>
      <c r="N1" s="1073"/>
      <c r="O1" s="1073"/>
      <c r="P1" s="1073"/>
      <c r="Q1" s="1073"/>
      <c r="R1" s="1076" t="s">
        <v>812</v>
      </c>
      <c r="S1" s="1077"/>
    </row>
    <row r="2" spans="1:28" s="1078" customFormat="1" ht="12.65" customHeight="1" x14ac:dyDescent="0.3">
      <c r="A2" s="420"/>
      <c r="B2" s="1079"/>
      <c r="C2" s="1080"/>
      <c r="D2" s="1079"/>
      <c r="E2" s="1080"/>
      <c r="F2" s="1081"/>
      <c r="G2" s="1080"/>
      <c r="H2" s="1080"/>
      <c r="I2" s="1080"/>
      <c r="J2" s="1080"/>
      <c r="K2" s="1080"/>
      <c r="L2" s="1080"/>
      <c r="M2" s="1080"/>
      <c r="N2" s="1080"/>
      <c r="O2" s="1080"/>
      <c r="P2" s="1080"/>
      <c r="Q2" s="1080"/>
      <c r="R2" s="1080"/>
      <c r="S2" s="1080"/>
      <c r="U2" s="1082"/>
      <c r="V2" s="1083"/>
      <c r="W2" s="1083"/>
    </row>
    <row r="3" spans="1:28" s="1078" customFormat="1" ht="64.900000000000006" customHeight="1" x14ac:dyDescent="0.3">
      <c r="A3" s="420" t="s">
        <v>1012</v>
      </c>
      <c r="B3" s="2025" t="s">
        <v>1013</v>
      </c>
      <c r="C3" s="2026"/>
      <c r="D3" s="2026"/>
      <c r="E3" s="2026"/>
      <c r="F3" s="2026"/>
      <c r="G3" s="2026"/>
      <c r="H3" s="2026"/>
      <c r="I3" s="2026"/>
      <c r="J3" s="2026"/>
      <c r="K3" s="2026"/>
      <c r="L3" s="2026"/>
      <c r="M3" s="2026"/>
      <c r="N3" s="2026"/>
      <c r="O3" s="2026"/>
      <c r="P3" s="2026"/>
      <c r="Q3" s="2026"/>
      <c r="R3" s="2026"/>
      <c r="S3" s="2026"/>
      <c r="U3" s="1082"/>
      <c r="V3" s="1083"/>
      <c r="W3" s="1083"/>
    </row>
    <row r="4" spans="1:28" s="1078" customFormat="1" ht="18.649999999999999" customHeight="1" thickBot="1" x14ac:dyDescent="0.35">
      <c r="A4" s="420"/>
      <c r="B4" s="2026"/>
      <c r="C4" s="2026"/>
      <c r="D4" s="2026"/>
      <c r="E4" s="2026"/>
      <c r="F4" s="2026"/>
      <c r="G4" s="2026"/>
      <c r="H4" s="2026"/>
      <c r="I4" s="2026"/>
      <c r="J4" s="2026"/>
      <c r="K4" s="2026"/>
      <c r="L4" s="2026"/>
      <c r="M4" s="2026"/>
      <c r="N4" s="2026"/>
      <c r="O4" s="2026"/>
      <c r="P4" s="2026"/>
      <c r="Q4" s="2026"/>
      <c r="R4" s="2026"/>
      <c r="S4" s="2026"/>
      <c r="U4" s="1082"/>
      <c r="V4" s="1083"/>
      <c r="W4" s="1083"/>
    </row>
    <row r="5" spans="1:28" s="1087" customFormat="1" ht="16" x14ac:dyDescent="0.4">
      <c r="A5" s="420" t="s">
        <v>1014</v>
      </c>
      <c r="B5" s="2027" t="s">
        <v>1015</v>
      </c>
      <c r="C5" s="2027"/>
      <c r="D5" s="2027"/>
      <c r="E5" s="2027"/>
      <c r="F5" s="2027"/>
      <c r="G5" s="2027"/>
      <c r="H5" s="2027"/>
      <c r="I5" s="2027"/>
      <c r="J5" s="2027"/>
      <c r="K5" s="2027"/>
      <c r="L5" s="2027"/>
      <c r="M5" s="2027"/>
      <c r="N5" s="2027"/>
      <c r="O5" s="2027"/>
      <c r="P5" s="2028"/>
      <c r="Q5" s="2028"/>
      <c r="R5" s="2028"/>
      <c r="S5" s="2028"/>
      <c r="T5" s="420" t="s">
        <v>1016</v>
      </c>
      <c r="U5" s="1084" t="s">
        <v>1017</v>
      </c>
      <c r="V5" s="1085">
        <v>1</v>
      </c>
      <c r="W5" s="1086">
        <v>2</v>
      </c>
      <c r="Y5" s="1088"/>
      <c r="Z5" s="1089" t="s">
        <v>1017</v>
      </c>
      <c r="AA5" s="1090">
        <v>1</v>
      </c>
      <c r="AB5" s="1091">
        <v>2</v>
      </c>
    </row>
    <row r="6" spans="1:28" ht="15.5" x14ac:dyDescent="0.45">
      <c r="A6" s="420" t="s">
        <v>1018</v>
      </c>
      <c r="B6" s="2029" t="s">
        <v>1019</v>
      </c>
      <c r="C6" s="2028"/>
      <c r="D6" s="2028"/>
      <c r="E6" s="2028"/>
      <c r="F6" s="2028"/>
      <c r="G6" s="2028"/>
      <c r="H6" s="2028"/>
      <c r="I6" s="2028"/>
      <c r="J6" s="2028"/>
      <c r="K6" s="2028"/>
      <c r="L6" s="2028"/>
      <c r="M6" s="2028"/>
      <c r="N6" s="2028"/>
      <c r="O6" s="2028"/>
      <c r="P6" s="2028"/>
      <c r="Q6" s="2028"/>
      <c r="R6" s="2028"/>
      <c r="S6" s="2028"/>
      <c r="U6" s="1092">
        <v>0</v>
      </c>
      <c r="V6" s="1093">
        <v>0</v>
      </c>
      <c r="W6" s="1094">
        <v>0</v>
      </c>
      <c r="Y6" s="1088"/>
      <c r="Z6" s="1095">
        <v>0</v>
      </c>
      <c r="AA6" s="1096">
        <v>0</v>
      </c>
      <c r="AB6" s="1097">
        <v>0</v>
      </c>
    </row>
    <row r="7" spans="1:28" ht="16" thickBot="1" x14ac:dyDescent="0.5">
      <c r="A7" s="420"/>
      <c r="B7" s="1098"/>
      <c r="C7" s="420"/>
      <c r="D7" s="420"/>
      <c r="E7" s="420"/>
      <c r="F7" s="420"/>
      <c r="G7" s="420"/>
      <c r="H7" s="420"/>
      <c r="I7" s="420"/>
      <c r="J7" s="420"/>
      <c r="K7" s="420"/>
      <c r="L7" s="420"/>
      <c r="M7" s="420"/>
      <c r="N7" s="420"/>
      <c r="O7" s="420"/>
      <c r="P7" s="420"/>
      <c r="Q7" s="420"/>
      <c r="R7" s="420"/>
      <c r="S7" s="420"/>
      <c r="U7" s="1092"/>
      <c r="V7" s="1093"/>
      <c r="W7" s="1094"/>
      <c r="Y7" s="1088" t="s">
        <v>1020</v>
      </c>
      <c r="Z7" s="1099">
        <v>6240</v>
      </c>
      <c r="AA7" s="1100">
        <v>0</v>
      </c>
      <c r="AB7" s="1101">
        <v>0</v>
      </c>
    </row>
    <row r="8" spans="1:28" ht="15.5" x14ac:dyDescent="0.45">
      <c r="A8" s="420" t="s">
        <v>1021</v>
      </c>
      <c r="B8" s="1102"/>
      <c r="C8" s="1103" t="s">
        <v>1022</v>
      </c>
      <c r="D8" s="1104"/>
      <c r="E8" s="1103" t="s">
        <v>1023</v>
      </c>
      <c r="F8" s="1104"/>
      <c r="G8" s="1104"/>
      <c r="H8" s="1104"/>
      <c r="I8" s="1104"/>
      <c r="J8" s="1104"/>
      <c r="K8" s="1104"/>
      <c r="L8" s="1104"/>
      <c r="M8" s="1103" t="s">
        <v>1024</v>
      </c>
      <c r="N8" s="1105"/>
      <c r="O8" s="1105"/>
      <c r="P8" s="1104"/>
      <c r="Q8" s="1104"/>
      <c r="R8" s="1104"/>
      <c r="S8" s="1106"/>
      <c r="U8" s="1107"/>
      <c r="V8" s="1108"/>
      <c r="W8" s="1109"/>
      <c r="Y8" s="1110" t="s">
        <v>1025</v>
      </c>
      <c r="Z8" s="1099">
        <v>8788</v>
      </c>
      <c r="AA8" s="1100">
        <v>0</v>
      </c>
      <c r="AB8" s="1101">
        <v>0</v>
      </c>
    </row>
    <row r="9" spans="1:28" ht="15.5" x14ac:dyDescent="0.45">
      <c r="A9" s="420"/>
      <c r="B9" s="1111"/>
      <c r="C9" s="1112"/>
      <c r="D9" s="1112"/>
      <c r="E9" s="1113"/>
      <c r="F9" s="1114"/>
      <c r="G9" s="1114"/>
      <c r="H9" s="1114"/>
      <c r="I9" s="1114"/>
      <c r="J9" s="1114"/>
      <c r="K9" s="1114"/>
      <c r="L9" s="1114"/>
      <c r="M9" s="1114"/>
      <c r="N9" s="1108"/>
      <c r="O9" s="1114"/>
      <c r="P9" s="1114"/>
      <c r="Q9" s="1114"/>
      <c r="R9" s="1114"/>
      <c r="S9" s="1115"/>
      <c r="U9" s="1092"/>
      <c r="V9" s="1116"/>
      <c r="W9" s="1117"/>
      <c r="Y9" s="1118" t="s">
        <v>1026</v>
      </c>
      <c r="Z9" s="1099">
        <v>50000</v>
      </c>
      <c r="AA9" s="1100">
        <v>0</v>
      </c>
      <c r="AB9" s="1101">
        <v>0.13800000000000001</v>
      </c>
    </row>
    <row r="10" spans="1:28" ht="16" thickBot="1" x14ac:dyDescent="0.5">
      <c r="A10" s="420"/>
      <c r="B10" s="1119" t="s">
        <v>1027</v>
      </c>
      <c r="C10" s="1120"/>
      <c r="D10" s="1120"/>
      <c r="E10" s="1120"/>
      <c r="F10" s="1121"/>
      <c r="G10" s="1120"/>
      <c r="H10" s="1121"/>
      <c r="I10" s="1120"/>
      <c r="J10" s="1121"/>
      <c r="K10" s="1120"/>
      <c r="L10" s="1121"/>
      <c r="M10" s="1121"/>
      <c r="N10" s="1121"/>
      <c r="O10" s="1121"/>
      <c r="P10" s="1121"/>
      <c r="Q10" s="1121"/>
      <c r="R10" s="1121"/>
      <c r="S10" s="1122"/>
      <c r="U10" s="1107"/>
      <c r="V10" s="1116"/>
      <c r="W10" s="1117"/>
      <c r="Y10" s="1088"/>
      <c r="Z10" s="1099"/>
      <c r="AA10" s="1100"/>
      <c r="AB10" s="1101"/>
    </row>
    <row r="11" spans="1:28" ht="16" thickBot="1" x14ac:dyDescent="0.5">
      <c r="A11" s="420"/>
      <c r="B11" s="1123"/>
      <c r="C11" s="1124"/>
      <c r="D11" s="1124"/>
      <c r="E11" s="1124"/>
      <c r="F11" s="1124"/>
      <c r="G11" s="1124"/>
      <c r="H11" s="1124"/>
      <c r="I11" s="1124"/>
      <c r="J11" s="1124"/>
      <c r="K11" s="1124"/>
      <c r="L11" s="1124"/>
      <c r="M11" s="1124"/>
      <c r="N11" s="1124"/>
      <c r="O11" s="1124"/>
      <c r="P11" s="1124"/>
      <c r="Q11" s="1124"/>
      <c r="R11" s="1124"/>
      <c r="S11" s="1124"/>
      <c r="U11" s="1092">
        <v>8788</v>
      </c>
      <c r="V11" s="1116">
        <v>0</v>
      </c>
      <c r="W11" s="1117">
        <v>0.13800000000000001</v>
      </c>
      <c r="Y11" s="1088"/>
      <c r="Z11" s="1125" t="s">
        <v>1028</v>
      </c>
      <c r="AA11" s="1126">
        <v>0.23680000000000001</v>
      </c>
      <c r="AB11" s="1127"/>
    </row>
    <row r="12" spans="1:28" ht="15.5" x14ac:dyDescent="0.35">
      <c r="A12" s="420" t="s">
        <v>1029</v>
      </c>
      <c r="B12" s="1128"/>
      <c r="C12" s="1129"/>
      <c r="D12" s="1129"/>
      <c r="E12" s="1130" t="s">
        <v>1030</v>
      </c>
      <c r="F12" s="1131"/>
      <c r="G12" s="1130"/>
      <c r="H12" s="1131"/>
      <c r="I12" s="1130"/>
      <c r="J12" s="1131"/>
      <c r="K12" s="1130"/>
      <c r="L12" s="1132"/>
      <c r="M12" s="1133" t="s">
        <v>1031</v>
      </c>
      <c r="N12" s="1134"/>
      <c r="O12" s="1134"/>
      <c r="P12" s="1134"/>
      <c r="Q12" s="1134"/>
      <c r="R12" s="1134"/>
      <c r="S12" s="1135"/>
      <c r="U12" s="1092"/>
      <c r="V12" s="1116"/>
      <c r="W12" s="1117"/>
    </row>
    <row r="13" spans="1:28" ht="16" thickBot="1" x14ac:dyDescent="0.4">
      <c r="A13" s="420"/>
      <c r="B13" s="1128"/>
      <c r="C13" s="1136" t="s">
        <v>1032</v>
      </c>
      <c r="D13" s="1136" t="s">
        <v>1033</v>
      </c>
      <c r="E13" s="1137" t="s">
        <v>1034</v>
      </c>
      <c r="F13" s="1136"/>
      <c r="G13" s="1138" t="s">
        <v>1035</v>
      </c>
      <c r="H13" s="1136"/>
      <c r="I13" s="1137" t="s">
        <v>1036</v>
      </c>
      <c r="J13" s="1136"/>
      <c r="K13" s="1137" t="s">
        <v>62</v>
      </c>
      <c r="L13" s="1139"/>
      <c r="M13" s="1140" t="s">
        <v>1034</v>
      </c>
      <c r="N13" s="1136"/>
      <c r="O13" s="1136"/>
      <c r="P13" s="1138" t="s">
        <v>1035</v>
      </c>
      <c r="Q13" s="1136"/>
      <c r="R13" s="1141" t="s">
        <v>62</v>
      </c>
      <c r="S13" s="1135"/>
      <c r="U13" s="1142" t="s">
        <v>1028</v>
      </c>
      <c r="V13" s="1143">
        <v>0.23680000000000001</v>
      </c>
      <c r="W13" s="1144"/>
    </row>
    <row r="14" spans="1:28" ht="16" thickBot="1" x14ac:dyDescent="0.4">
      <c r="A14" s="420"/>
      <c r="B14" s="1145"/>
      <c r="C14" s="1146"/>
      <c r="D14" s="1146"/>
      <c r="E14" s="1146"/>
      <c r="F14" s="1146"/>
      <c r="G14" s="1146"/>
      <c r="H14" s="1146"/>
      <c r="I14" s="1146"/>
      <c r="J14" s="1146"/>
      <c r="K14" s="1146"/>
      <c r="L14" s="1146"/>
      <c r="M14" s="1147"/>
      <c r="N14" s="1146"/>
      <c r="O14" s="1146"/>
      <c r="P14" s="1146"/>
      <c r="Q14" s="1146"/>
      <c r="R14" s="1146"/>
      <c r="S14" s="1148"/>
      <c r="U14" s="1149"/>
      <c r="V14" s="1150"/>
    </row>
    <row r="15" spans="1:28" ht="15.5" x14ac:dyDescent="0.35">
      <c r="A15" s="420"/>
      <c r="B15" s="1151"/>
      <c r="C15" s="1152"/>
      <c r="D15" s="1152"/>
      <c r="E15" s="1152"/>
      <c r="F15" s="1152"/>
      <c r="G15" s="1152"/>
      <c r="H15" s="1152"/>
      <c r="I15" s="1152"/>
      <c r="J15" s="1152"/>
      <c r="K15" s="1152"/>
      <c r="L15" s="1153"/>
      <c r="M15" s="1152"/>
      <c r="N15" s="1152"/>
      <c r="O15" s="1152"/>
      <c r="P15" s="1152"/>
      <c r="Q15" s="1152"/>
      <c r="R15" s="1152"/>
      <c r="S15" s="1153"/>
    </row>
    <row r="16" spans="1:28" ht="16.5" customHeight="1" x14ac:dyDescent="0.35">
      <c r="A16" s="420"/>
      <c r="B16" s="1128"/>
      <c r="C16" s="1154" t="s">
        <v>1037</v>
      </c>
      <c r="D16" s="1155">
        <v>1</v>
      </c>
      <c r="E16" s="1156">
        <v>25713.514999999999</v>
      </c>
      <c r="F16" s="1157"/>
      <c r="G16" s="1158">
        <f t="shared" ref="G16:G21" si="0">IF($M16&gt;$U$11,($E16-$U$11)*$W$11,"ERROR")</f>
        <v>2335.7210700000001</v>
      </c>
      <c r="H16" s="1157"/>
      <c r="I16" s="1158">
        <f t="shared" ref="I16:I21" si="1">$E16*$V$13</f>
        <v>6088.9603520000001</v>
      </c>
      <c r="J16" s="1157"/>
      <c r="K16" s="1158">
        <f>E16+ROUND(G16,0)+ROUND(I16,0)</f>
        <v>34138.514999999999</v>
      </c>
      <c r="L16" s="1159"/>
      <c r="M16" s="1157">
        <f t="shared" ref="M16:M21" si="2">E16</f>
        <v>25713.514999999999</v>
      </c>
      <c r="N16" s="1157"/>
      <c r="O16" s="1157"/>
      <c r="P16" s="1158">
        <f t="shared" ref="P16:P21" si="3">IF($M16&gt;$U$11,($M16-$U$11)*$W$11,"ERROR")</f>
        <v>2335.7210700000001</v>
      </c>
      <c r="Q16" s="1157"/>
      <c r="R16" s="1158">
        <f t="shared" ref="R16:R21" si="4">SUM(M16:P16)</f>
        <v>28049.236069999999</v>
      </c>
      <c r="S16" s="1135"/>
      <c r="U16" s="1160"/>
      <c r="V16" s="1161"/>
    </row>
    <row r="17" spans="1:22" ht="15.5" x14ac:dyDescent="0.35">
      <c r="A17" s="420"/>
      <c r="B17" s="1162"/>
      <c r="C17" s="1163"/>
      <c r="D17" s="1155">
        <v>2</v>
      </c>
      <c r="E17" s="1156">
        <v>27599.751000000004</v>
      </c>
      <c r="F17" s="1157"/>
      <c r="G17" s="1158">
        <f t="shared" si="0"/>
        <v>2596.0216380000006</v>
      </c>
      <c r="H17" s="1157"/>
      <c r="I17" s="1158">
        <f t="shared" si="1"/>
        <v>6535.6210368000011</v>
      </c>
      <c r="J17" s="1157"/>
      <c r="K17" s="1158">
        <f t="shared" ref="K17:K34" si="5">E17+ROUND(G17,0)+ROUND(I17,0)</f>
        <v>36731.751000000004</v>
      </c>
      <c r="L17" s="1159"/>
      <c r="M17" s="1157">
        <f t="shared" si="2"/>
        <v>27599.751000000004</v>
      </c>
      <c r="N17" s="1157"/>
      <c r="O17" s="1157"/>
      <c r="P17" s="1158">
        <f t="shared" si="3"/>
        <v>2596.0216380000006</v>
      </c>
      <c r="Q17" s="1157"/>
      <c r="R17" s="1158">
        <f t="shared" si="4"/>
        <v>30195.772638000006</v>
      </c>
      <c r="S17" s="1135"/>
      <c r="U17" s="1160" t="s">
        <v>1038</v>
      </c>
      <c r="V17" s="1161"/>
    </row>
    <row r="18" spans="1:22" ht="15.5" x14ac:dyDescent="0.35">
      <c r="A18" s="420"/>
      <c r="B18" s="1162"/>
      <c r="C18" s="1163"/>
      <c r="D18" s="1155">
        <v>3</v>
      </c>
      <c r="E18" s="1156">
        <v>29663.172000000002</v>
      </c>
      <c r="F18" s="1157"/>
      <c r="G18" s="1158">
        <f t="shared" si="0"/>
        <v>2880.7737360000006</v>
      </c>
      <c r="H18" s="1157"/>
      <c r="I18" s="1158">
        <f t="shared" si="1"/>
        <v>7024.2391296000005</v>
      </c>
      <c r="J18" s="1157"/>
      <c r="K18" s="1158">
        <f t="shared" si="5"/>
        <v>39568.172000000006</v>
      </c>
      <c r="L18" s="1159"/>
      <c r="M18" s="1157">
        <f t="shared" si="2"/>
        <v>29663.172000000002</v>
      </c>
      <c r="N18" s="1157"/>
      <c r="O18" s="1157"/>
      <c r="P18" s="1158">
        <f t="shared" si="3"/>
        <v>2880.7737360000006</v>
      </c>
      <c r="Q18" s="1157"/>
      <c r="R18" s="1158">
        <f t="shared" si="4"/>
        <v>32543.945736000001</v>
      </c>
      <c r="S18" s="1135"/>
      <c r="U18" s="1160" t="s">
        <v>1039</v>
      </c>
      <c r="V18" s="1161"/>
    </row>
    <row r="19" spans="1:22" ht="15.5" x14ac:dyDescent="0.35">
      <c r="A19" s="420"/>
      <c r="B19" s="1162"/>
      <c r="C19" s="1163"/>
      <c r="D19" s="1155">
        <v>4</v>
      </c>
      <c r="E19" s="1156">
        <f>31777.0615+E53</f>
        <v>34047.061499999996</v>
      </c>
      <c r="F19" s="1157"/>
      <c r="G19" s="1158">
        <f t="shared" si="0"/>
        <v>3485.7504869999998</v>
      </c>
      <c r="H19" s="1157"/>
      <c r="I19" s="1158">
        <f t="shared" si="1"/>
        <v>8062.3441631999995</v>
      </c>
      <c r="J19" s="1157"/>
      <c r="K19" s="1158">
        <f t="shared" si="5"/>
        <v>45595.061499999996</v>
      </c>
      <c r="L19" s="1159"/>
      <c r="M19" s="1157">
        <f t="shared" si="2"/>
        <v>34047.061499999996</v>
      </c>
      <c r="N19" s="1157"/>
      <c r="O19" s="1157"/>
      <c r="P19" s="1158">
        <f t="shared" si="3"/>
        <v>3485.7504869999998</v>
      </c>
      <c r="Q19" s="1157"/>
      <c r="R19" s="1158">
        <f t="shared" si="4"/>
        <v>37532.811986999994</v>
      </c>
      <c r="S19" s="1135"/>
      <c r="U19" s="1160"/>
      <c r="V19" s="1161"/>
    </row>
    <row r="20" spans="1:22" ht="15.5" x14ac:dyDescent="0.35">
      <c r="A20" s="420"/>
      <c r="B20" s="1162"/>
      <c r="C20" s="1163"/>
      <c r="D20" s="1155">
        <v>5</v>
      </c>
      <c r="E20" s="1156">
        <f>34099.33+E53</f>
        <v>36369.33</v>
      </c>
      <c r="F20" s="1157"/>
      <c r="G20" s="1158">
        <f t="shared" si="0"/>
        <v>3806.2235400000004</v>
      </c>
      <c r="H20" s="1157"/>
      <c r="I20" s="1158">
        <f t="shared" si="1"/>
        <v>8612.2573440000015</v>
      </c>
      <c r="J20" s="1157"/>
      <c r="K20" s="1158">
        <f t="shared" si="5"/>
        <v>48787.33</v>
      </c>
      <c r="L20" s="1159"/>
      <c r="M20" s="1157">
        <f t="shared" si="2"/>
        <v>36369.33</v>
      </c>
      <c r="N20" s="1157"/>
      <c r="O20" s="1157"/>
      <c r="P20" s="1158">
        <f t="shared" si="3"/>
        <v>3806.2235400000004</v>
      </c>
      <c r="Q20" s="1157"/>
      <c r="R20" s="1158">
        <f t="shared" si="4"/>
        <v>40175.553540000001</v>
      </c>
      <c r="S20" s="1135"/>
      <c r="T20" s="1164"/>
      <c r="U20" s="1160" t="s">
        <v>1040</v>
      </c>
      <c r="V20" s="1165"/>
    </row>
    <row r="21" spans="1:22" ht="15.5" x14ac:dyDescent="0.35">
      <c r="A21" s="420"/>
      <c r="B21" s="1162"/>
      <c r="C21" s="1163"/>
      <c r="D21" s="1155">
        <v>6</v>
      </c>
      <c r="E21" s="1156">
        <v>36960.202499999999</v>
      </c>
      <c r="F21" s="1157"/>
      <c r="G21" s="1158">
        <f t="shared" si="0"/>
        <v>3887.7639450000001</v>
      </c>
      <c r="H21" s="1157"/>
      <c r="I21" s="1158">
        <f t="shared" si="1"/>
        <v>8752.1759519999996</v>
      </c>
      <c r="J21" s="1157"/>
      <c r="K21" s="1158">
        <f t="shared" si="5"/>
        <v>49600.202499999999</v>
      </c>
      <c r="L21" s="1159"/>
      <c r="M21" s="1157">
        <f t="shared" si="2"/>
        <v>36960.202499999999</v>
      </c>
      <c r="N21" s="1157"/>
      <c r="O21" s="1157"/>
      <c r="P21" s="1158">
        <f t="shared" si="3"/>
        <v>3887.7639450000001</v>
      </c>
      <c r="Q21" s="1157"/>
      <c r="R21" s="1158">
        <f t="shared" si="4"/>
        <v>40847.966444999998</v>
      </c>
      <c r="S21" s="1135"/>
      <c r="T21" s="1164"/>
      <c r="U21" s="1160" t="s">
        <v>1041</v>
      </c>
      <c r="V21" s="1165"/>
    </row>
    <row r="22" spans="1:22" ht="15.5" x14ac:dyDescent="0.35">
      <c r="A22" s="420"/>
      <c r="B22" s="1166" t="s">
        <v>1042</v>
      </c>
      <c r="C22" s="1163"/>
      <c r="D22" s="1155"/>
      <c r="E22" s="1156"/>
      <c r="F22" s="1157"/>
      <c r="G22" s="1158"/>
      <c r="H22" s="1157"/>
      <c r="I22" s="1158"/>
      <c r="J22" s="1157"/>
      <c r="K22" s="1158"/>
      <c r="L22" s="1159"/>
      <c r="M22" s="1167" t="s">
        <v>1043</v>
      </c>
      <c r="N22" s="1157"/>
      <c r="O22" s="1157"/>
      <c r="P22" s="1158"/>
      <c r="Q22" s="1157"/>
      <c r="R22" s="1158"/>
      <c r="S22" s="1135"/>
      <c r="U22" s="1160"/>
      <c r="V22" s="1165"/>
    </row>
    <row r="23" spans="1:22" ht="15.5" x14ac:dyDescent="0.35">
      <c r="A23" s="420"/>
      <c r="B23" s="1162"/>
      <c r="C23" s="1163" t="s">
        <v>1044</v>
      </c>
      <c r="D23" s="1155">
        <v>1</v>
      </c>
      <c r="E23" s="1156">
        <v>38689.485000000001</v>
      </c>
      <c r="F23" s="1157"/>
      <c r="G23" s="1158">
        <f>IF($M23&gt;$U$11,($E23-$U$11)*$W$11,"ERROR")</f>
        <v>4126.4049300000006</v>
      </c>
      <c r="H23" s="1157"/>
      <c r="I23" s="1158">
        <f>$E23*$V$13</f>
        <v>9161.670048</v>
      </c>
      <c r="J23" s="1157"/>
      <c r="K23" s="1158">
        <f t="shared" si="5"/>
        <v>51977.485000000001</v>
      </c>
      <c r="L23" s="1159"/>
      <c r="M23" s="1157">
        <f>E23</f>
        <v>38689.485000000001</v>
      </c>
      <c r="N23" s="1157"/>
      <c r="O23" s="1157"/>
      <c r="P23" s="1158">
        <f>IF($M23&gt;$U$11,($M23-$U$11)*$W$11,"ERROR")</f>
        <v>4126.4049300000006</v>
      </c>
      <c r="Q23" s="1157"/>
      <c r="R23" s="1158">
        <f>SUM(M23:P23)</f>
        <v>42815.889930000005</v>
      </c>
      <c r="S23" s="1135"/>
      <c r="T23" s="1164"/>
      <c r="U23" s="1160" t="s">
        <v>1045</v>
      </c>
      <c r="V23" s="1165"/>
    </row>
    <row r="24" spans="1:22" ht="15.5" x14ac:dyDescent="0.35">
      <c r="A24" s="420"/>
      <c r="B24" s="1162"/>
      <c r="C24" s="1163" t="s">
        <v>1046</v>
      </c>
      <c r="D24" s="1155">
        <v>2</v>
      </c>
      <c r="E24" s="1156">
        <v>40123.875</v>
      </c>
      <c r="F24" s="1157"/>
      <c r="G24" s="1158">
        <f>IF($M24&gt;$U$11,($E24-$U$11)*$W$11,"ERROR")</f>
        <v>4324.3507500000005</v>
      </c>
      <c r="H24" s="1157"/>
      <c r="I24" s="1158">
        <f>$E24*$V$13</f>
        <v>9501.3335999999999</v>
      </c>
      <c r="J24" s="1157"/>
      <c r="K24" s="1158">
        <f t="shared" si="5"/>
        <v>53948.875</v>
      </c>
      <c r="L24" s="1159"/>
      <c r="M24" s="1157">
        <f>E24</f>
        <v>40123.875</v>
      </c>
      <c r="N24" s="1157"/>
      <c r="O24" s="1157"/>
      <c r="P24" s="1158">
        <f>IF($M24&gt;$U$11,($M24-$U$11)*$W$11,"ERROR")</f>
        <v>4324.3507500000005</v>
      </c>
      <c r="Q24" s="1157"/>
      <c r="R24" s="1158">
        <f>SUM(M24:P24)</f>
        <v>44448.225749999998</v>
      </c>
      <c r="S24" s="1135"/>
      <c r="T24" s="1164"/>
      <c r="U24" s="1160" t="s">
        <v>1047</v>
      </c>
      <c r="V24" s="1165"/>
    </row>
    <row r="25" spans="1:22" ht="15.5" x14ac:dyDescent="0.35">
      <c r="A25" s="420"/>
      <c r="B25" s="1162"/>
      <c r="C25" s="1163"/>
      <c r="D25" s="1155">
        <v>3</v>
      </c>
      <c r="E25" s="1156">
        <v>41603.474999999999</v>
      </c>
      <c r="F25" s="1157"/>
      <c r="G25" s="1158">
        <f>IF($M25&gt;$U$11,($E25-$U$11)*$W$11,"ERROR")</f>
        <v>4528.5355500000005</v>
      </c>
      <c r="H25" s="1157"/>
      <c r="I25" s="1158">
        <f>$E25*$V$13</f>
        <v>9851.7028800000007</v>
      </c>
      <c r="J25" s="1157"/>
      <c r="K25" s="1158">
        <f t="shared" si="5"/>
        <v>55984.474999999999</v>
      </c>
      <c r="L25" s="1159"/>
      <c r="M25" s="1157">
        <f>E25</f>
        <v>41603.474999999999</v>
      </c>
      <c r="N25" s="1157"/>
      <c r="O25" s="1157"/>
      <c r="P25" s="1158">
        <f>IF($M25&gt;$U$11,($M25-$U$11)*$W$11,"ERROR")</f>
        <v>4528.5355500000005</v>
      </c>
      <c r="Q25" s="1157"/>
      <c r="R25" s="1158">
        <f>SUM(M25:P25)</f>
        <v>46132.010549999999</v>
      </c>
      <c r="S25" s="1135"/>
      <c r="T25" s="1164"/>
      <c r="U25" s="1160"/>
      <c r="V25" s="1165"/>
    </row>
    <row r="26" spans="1:22" ht="15.5" x14ac:dyDescent="0.35">
      <c r="A26" s="420"/>
      <c r="B26" s="1162"/>
      <c r="C26" s="1163"/>
      <c r="D26" s="1155"/>
      <c r="E26" s="1156"/>
      <c r="F26" s="1157"/>
      <c r="G26" s="1158"/>
      <c r="H26" s="1157"/>
      <c r="I26" s="1158"/>
      <c r="J26" s="1157"/>
      <c r="K26" s="1158"/>
      <c r="L26" s="1159"/>
      <c r="M26" s="1157"/>
      <c r="N26" s="1157"/>
      <c r="O26" s="1157"/>
      <c r="P26" s="1158"/>
      <c r="Q26" s="1157"/>
      <c r="R26" s="1158"/>
      <c r="S26" s="1135"/>
      <c r="T26" s="1164"/>
      <c r="U26" s="1160" t="s">
        <v>1048</v>
      </c>
    </row>
    <row r="27" spans="1:22" ht="15.5" x14ac:dyDescent="0.35">
      <c r="A27" s="420"/>
      <c r="B27" s="1166" t="s">
        <v>1049</v>
      </c>
      <c r="C27" s="1163"/>
      <c r="D27" s="1155"/>
      <c r="E27" s="1156"/>
      <c r="F27" s="1157"/>
      <c r="G27" s="1158"/>
      <c r="H27" s="1157"/>
      <c r="I27" s="1158"/>
      <c r="J27" s="1157"/>
      <c r="K27" s="1158"/>
      <c r="L27" s="1159"/>
      <c r="M27" s="1167" t="s">
        <v>1043</v>
      </c>
      <c r="N27" s="1157"/>
      <c r="O27" s="1157"/>
      <c r="P27" s="1158"/>
      <c r="Q27" s="1157"/>
      <c r="R27" s="1158"/>
      <c r="S27" s="1135"/>
      <c r="T27" s="1164"/>
      <c r="U27" s="1160" t="s">
        <v>1050</v>
      </c>
      <c r="V27" s="1165"/>
    </row>
    <row r="28" spans="1:22" ht="15.5" x14ac:dyDescent="0.35">
      <c r="A28" s="420"/>
      <c r="B28" s="1168"/>
      <c r="C28" s="1163"/>
      <c r="D28" s="1132"/>
      <c r="E28" s="1156"/>
      <c r="F28" s="1157"/>
      <c r="G28" s="1158"/>
      <c r="H28" s="1157"/>
      <c r="I28" s="1158"/>
      <c r="J28" s="1157"/>
      <c r="K28" s="1158"/>
      <c r="L28" s="1159"/>
      <c r="M28" s="1157"/>
      <c r="N28" s="1157"/>
      <c r="O28" s="1157"/>
      <c r="P28" s="1158"/>
      <c r="Q28" s="1157"/>
      <c r="R28" s="1158"/>
      <c r="S28" s="1135"/>
      <c r="T28" s="1164"/>
      <c r="U28" s="1160" t="s">
        <v>1051</v>
      </c>
      <c r="V28" s="1165"/>
    </row>
    <row r="29" spans="1:22" ht="15.5" x14ac:dyDescent="0.35">
      <c r="A29" s="420"/>
      <c r="B29" s="1169" t="s">
        <v>1052</v>
      </c>
      <c r="C29" s="1163" t="s">
        <v>1053</v>
      </c>
      <c r="D29" s="1170">
        <v>1</v>
      </c>
      <c r="E29" s="1156">
        <v>18168.255000000001</v>
      </c>
      <c r="F29" s="1157"/>
      <c r="G29" s="1158">
        <f t="shared" ref="G29:G34" si="6">IF($M29&gt;$U$11,($E29-$U$11)*$W$11,"ERROR")</f>
        <v>1294.4751900000003</v>
      </c>
      <c r="H29" s="1157"/>
      <c r="I29" s="1158">
        <f t="shared" ref="I29:I34" si="7">$E29*$V$13</f>
        <v>4302.242784</v>
      </c>
      <c r="J29" s="1157"/>
      <c r="K29" s="1158">
        <f t="shared" si="5"/>
        <v>23764.255000000001</v>
      </c>
      <c r="L29" s="1159"/>
      <c r="M29" s="1157">
        <f t="shared" ref="M29:M34" si="8">E29</f>
        <v>18168.255000000001</v>
      </c>
      <c r="N29" s="1157"/>
      <c r="O29" s="1157"/>
      <c r="P29" s="1158">
        <f t="shared" ref="P29:P34" si="9">IF($M29&gt;$U$11,($M29-$U$11)*$W$11,"ERROR")</f>
        <v>1294.4751900000003</v>
      </c>
      <c r="Q29" s="1157"/>
      <c r="R29" s="1158">
        <f t="shared" ref="R29:R34" si="10">SUM(M29:P29)</f>
        <v>19462.730190000002</v>
      </c>
      <c r="S29" s="1135"/>
      <c r="T29" s="1164"/>
      <c r="U29" s="1160"/>
      <c r="V29" s="1165"/>
    </row>
    <row r="30" spans="1:22" ht="15.5" x14ac:dyDescent="0.35">
      <c r="A30" s="420"/>
      <c r="B30" s="1169" t="s">
        <v>1054</v>
      </c>
      <c r="C30" s="1163" t="s">
        <v>1055</v>
      </c>
      <c r="D30" s="1170">
        <v>2</v>
      </c>
      <c r="E30" s="1156">
        <v>20281.822499999998</v>
      </c>
      <c r="F30" s="1157"/>
      <c r="G30" s="1158">
        <f t="shared" si="6"/>
        <v>1586.1475049999999</v>
      </c>
      <c r="H30" s="1157"/>
      <c r="I30" s="1158">
        <f t="shared" si="7"/>
        <v>4802.7355680000001</v>
      </c>
      <c r="J30" s="1157"/>
      <c r="K30" s="1158">
        <f t="shared" si="5"/>
        <v>26670.822499999998</v>
      </c>
      <c r="L30" s="1159"/>
      <c r="M30" s="1157">
        <f t="shared" si="8"/>
        <v>20281.822499999998</v>
      </c>
      <c r="N30" s="1157"/>
      <c r="O30" s="1157"/>
      <c r="P30" s="1158">
        <f t="shared" si="9"/>
        <v>1586.1475049999999</v>
      </c>
      <c r="Q30" s="1157"/>
      <c r="R30" s="1158">
        <f t="shared" si="10"/>
        <v>21867.970004999999</v>
      </c>
      <c r="S30" s="1135"/>
      <c r="T30" s="1164"/>
      <c r="U30" s="1160"/>
      <c r="V30" s="1165"/>
    </row>
    <row r="31" spans="1:22" ht="15.5" x14ac:dyDescent="0.35">
      <c r="A31" s="420"/>
      <c r="B31" s="1171"/>
      <c r="C31" s="1163"/>
      <c r="D31" s="1170">
        <v>3</v>
      </c>
      <c r="E31" s="1156">
        <v>22393.334999999999</v>
      </c>
      <c r="F31" s="1157"/>
      <c r="G31" s="1158">
        <f t="shared" si="6"/>
        <v>1877.5362299999999</v>
      </c>
      <c r="H31" s="1157"/>
      <c r="I31" s="1158">
        <f t="shared" si="7"/>
        <v>5302.741728</v>
      </c>
      <c r="J31" s="1157"/>
      <c r="K31" s="1158">
        <f t="shared" si="5"/>
        <v>29574.334999999999</v>
      </c>
      <c r="L31" s="1159"/>
      <c r="M31" s="1157">
        <f t="shared" si="8"/>
        <v>22393.334999999999</v>
      </c>
      <c r="N31" s="1157"/>
      <c r="O31" s="1157"/>
      <c r="P31" s="1158">
        <f t="shared" si="9"/>
        <v>1877.5362299999999</v>
      </c>
      <c r="Q31" s="1157"/>
      <c r="R31" s="1158">
        <f t="shared" si="10"/>
        <v>24270.871230000001</v>
      </c>
      <c r="S31" s="1135"/>
      <c r="T31" s="1164"/>
      <c r="U31" s="1160"/>
    </row>
    <row r="32" spans="1:22" ht="15.5" x14ac:dyDescent="0.35">
      <c r="A32" s="420"/>
      <c r="B32" s="1171"/>
      <c r="C32" s="1163"/>
      <c r="D32" s="1170">
        <v>4</v>
      </c>
      <c r="E32" s="1156">
        <v>24506.9025</v>
      </c>
      <c r="F32" s="1157"/>
      <c r="G32" s="1158">
        <f t="shared" si="6"/>
        <v>2169.2085450000004</v>
      </c>
      <c r="H32" s="1157"/>
      <c r="I32" s="1158">
        <f t="shared" si="7"/>
        <v>5803.234512</v>
      </c>
      <c r="J32" s="1157"/>
      <c r="K32" s="1158">
        <f t="shared" si="5"/>
        <v>32478.9025</v>
      </c>
      <c r="L32" s="1159"/>
      <c r="M32" s="1157">
        <f t="shared" si="8"/>
        <v>24506.9025</v>
      </c>
      <c r="N32" s="1157"/>
      <c r="O32" s="1157"/>
      <c r="P32" s="1158">
        <f t="shared" si="9"/>
        <v>2169.2085450000004</v>
      </c>
      <c r="Q32" s="1157"/>
      <c r="R32" s="1158">
        <f t="shared" si="10"/>
        <v>26676.111045000001</v>
      </c>
      <c r="S32" s="1135"/>
      <c r="T32" s="1164"/>
      <c r="U32" s="1160"/>
    </row>
    <row r="33" spans="1:22" ht="15.5" x14ac:dyDescent="0.35">
      <c r="A33" s="420"/>
      <c r="B33" s="1168"/>
      <c r="C33" s="1163"/>
      <c r="D33" s="1170">
        <v>5</v>
      </c>
      <c r="E33" s="1156">
        <v>26621.497499999998</v>
      </c>
      <c r="F33" s="1157"/>
      <c r="G33" s="1158">
        <f t="shared" si="6"/>
        <v>2461.0226549999998</v>
      </c>
      <c r="H33" s="1157"/>
      <c r="I33" s="1158">
        <f t="shared" si="7"/>
        <v>6303.9706079999996</v>
      </c>
      <c r="J33" s="1157"/>
      <c r="K33" s="1158">
        <f t="shared" si="5"/>
        <v>35386.497499999998</v>
      </c>
      <c r="L33" s="1159"/>
      <c r="M33" s="1157">
        <f t="shared" si="8"/>
        <v>26621.497499999998</v>
      </c>
      <c r="N33" s="1157"/>
      <c r="O33" s="1157"/>
      <c r="P33" s="1158">
        <f t="shared" si="9"/>
        <v>2461.0226549999998</v>
      </c>
      <c r="Q33" s="1157"/>
      <c r="R33" s="1158">
        <f t="shared" si="10"/>
        <v>29082.520154999998</v>
      </c>
      <c r="S33" s="1135"/>
      <c r="T33" s="1164"/>
      <c r="U33" s="1160"/>
      <c r="V33" s="1165"/>
    </row>
    <row r="34" spans="1:22" ht="15.5" x14ac:dyDescent="0.35">
      <c r="A34" s="420"/>
      <c r="B34" s="1168"/>
      <c r="C34" s="1163"/>
      <c r="D34" s="1170">
        <v>6</v>
      </c>
      <c r="E34" s="1156">
        <v>28734.037499999999</v>
      </c>
      <c r="F34" s="1157"/>
      <c r="G34" s="1158">
        <f t="shared" si="6"/>
        <v>2752.553175</v>
      </c>
      <c r="H34" s="1157"/>
      <c r="I34" s="1158">
        <f t="shared" si="7"/>
        <v>6804.2200800000001</v>
      </c>
      <c r="J34" s="1157"/>
      <c r="K34" s="1158">
        <f t="shared" si="5"/>
        <v>38291.037499999999</v>
      </c>
      <c r="L34" s="1159"/>
      <c r="M34" s="1157">
        <f t="shared" si="8"/>
        <v>28734.037499999999</v>
      </c>
      <c r="N34" s="1157"/>
      <c r="O34" s="1157"/>
      <c r="P34" s="1158">
        <f t="shared" si="9"/>
        <v>2752.553175</v>
      </c>
      <c r="Q34" s="1157"/>
      <c r="R34" s="1158">
        <f t="shared" si="10"/>
        <v>31486.590674999999</v>
      </c>
      <c r="S34" s="1135"/>
      <c r="T34" s="1164"/>
      <c r="U34" s="1160"/>
      <c r="V34" s="1165"/>
    </row>
    <row r="35" spans="1:22" ht="15.5" x14ac:dyDescent="0.35">
      <c r="A35" s="420"/>
      <c r="B35" s="1168"/>
      <c r="C35" s="1163"/>
      <c r="D35" s="1170"/>
      <c r="E35" s="1172"/>
      <c r="F35" s="1173"/>
      <c r="G35" s="1172"/>
      <c r="H35" s="1173"/>
      <c r="I35" s="1172"/>
      <c r="J35" s="1173"/>
      <c r="K35" s="1172"/>
      <c r="L35" s="1174"/>
      <c r="M35" s="1173"/>
      <c r="N35" s="1173"/>
      <c r="O35" s="1173"/>
      <c r="P35" s="1172"/>
      <c r="Q35" s="1173"/>
      <c r="R35" s="1172"/>
      <c r="S35" s="1135"/>
      <c r="T35" s="1164"/>
      <c r="U35" s="1160"/>
      <c r="V35" s="1165"/>
    </row>
    <row r="36" spans="1:22" ht="15.5" x14ac:dyDescent="0.35">
      <c r="A36" s="420"/>
      <c r="B36" s="1168"/>
      <c r="C36" s="1163"/>
      <c r="D36" s="1170"/>
      <c r="E36" s="1172"/>
      <c r="F36" s="1173"/>
      <c r="G36" s="1172"/>
      <c r="H36" s="1173"/>
      <c r="I36" s="1172"/>
      <c r="J36" s="1173"/>
      <c r="K36" s="1172"/>
      <c r="L36" s="1174"/>
      <c r="M36" s="1173"/>
      <c r="N36" s="1173"/>
      <c r="O36" s="1173"/>
      <c r="P36" s="1172"/>
      <c r="Q36" s="1173"/>
      <c r="R36" s="1172"/>
      <c r="S36" s="1135"/>
      <c r="T36" s="1164"/>
      <c r="U36" s="1160"/>
      <c r="V36" s="1165"/>
    </row>
    <row r="37" spans="1:22" ht="16" thickBot="1" x14ac:dyDescent="0.4">
      <c r="A37" s="420"/>
      <c r="B37" s="1175"/>
      <c r="C37" s="1176"/>
      <c r="D37" s="1177"/>
      <c r="E37" s="1178"/>
      <c r="F37" s="1179"/>
      <c r="G37" s="1178"/>
      <c r="H37" s="1179"/>
      <c r="I37" s="1178"/>
      <c r="J37" s="1179"/>
      <c r="K37" s="1178"/>
      <c r="L37" s="1180"/>
      <c r="M37" s="1181"/>
      <c r="N37" s="1179"/>
      <c r="O37" s="1179"/>
      <c r="P37" s="1178"/>
      <c r="Q37" s="1179"/>
      <c r="R37" s="1178"/>
      <c r="S37" s="1148"/>
      <c r="T37" s="1164"/>
      <c r="U37" s="1160"/>
    </row>
    <row r="38" spans="1:22" ht="13.5" thickBot="1" x14ac:dyDescent="0.35">
      <c r="A38" s="420"/>
      <c r="B38" s="1182"/>
      <c r="C38" s="1183"/>
      <c r="D38" s="1184"/>
      <c r="E38" s="1185"/>
      <c r="F38" s="1186"/>
      <c r="G38" s="1185"/>
      <c r="H38" s="1186"/>
      <c r="I38" s="1185"/>
      <c r="J38" s="1186"/>
      <c r="K38" s="1185"/>
      <c r="L38" s="1186"/>
      <c r="M38" s="1186"/>
      <c r="N38" s="1186"/>
      <c r="O38" s="1186"/>
      <c r="P38" s="1185"/>
      <c r="Q38" s="1186"/>
      <c r="R38" s="1185"/>
      <c r="S38" s="611"/>
      <c r="T38" s="1164"/>
    </row>
    <row r="39" spans="1:22" ht="13" x14ac:dyDescent="0.3">
      <c r="A39" s="420" t="s">
        <v>1056</v>
      </c>
      <c r="B39" s="1187" t="s">
        <v>1057</v>
      </c>
      <c r="C39" s="1188"/>
      <c r="D39" s="1189"/>
      <c r="E39" s="1190"/>
      <c r="F39" s="1191"/>
      <c r="G39" s="1192"/>
      <c r="H39" s="1185"/>
      <c r="I39" s="1185"/>
      <c r="J39" s="1186"/>
      <c r="K39" s="1185"/>
      <c r="L39" s="1186"/>
      <c r="M39" s="1186"/>
      <c r="N39" s="1186"/>
      <c r="O39" s="1186"/>
      <c r="P39" s="1193"/>
      <c r="Q39" s="1186"/>
      <c r="R39" s="1193"/>
      <c r="S39" s="611"/>
      <c r="T39" s="1164"/>
    </row>
    <row r="40" spans="1:22" x14ac:dyDescent="0.25">
      <c r="B40" s="1107"/>
      <c r="C40" s="1194"/>
      <c r="D40" s="1195"/>
      <c r="E40" s="1196"/>
      <c r="F40" s="1197"/>
      <c r="G40" s="1198"/>
      <c r="H40" s="611"/>
      <c r="I40" s="611"/>
      <c r="J40" s="611"/>
      <c r="K40" s="611"/>
      <c r="L40" s="611"/>
      <c r="M40" s="611"/>
      <c r="N40" s="611"/>
      <c r="O40" s="611"/>
      <c r="P40" s="611"/>
      <c r="Q40" s="611"/>
      <c r="R40" s="611"/>
      <c r="S40" s="611"/>
      <c r="T40" s="1164"/>
    </row>
    <row r="41" spans="1:22" x14ac:dyDescent="0.25">
      <c r="B41" s="1107" t="s">
        <v>1058</v>
      </c>
      <c r="C41" s="1194"/>
      <c r="D41" s="1195"/>
      <c r="E41" s="1196"/>
      <c r="F41" s="1197"/>
      <c r="G41" s="1198"/>
      <c r="H41" s="611" t="s">
        <v>1059</v>
      </c>
      <c r="I41" s="611"/>
      <c r="J41" s="611"/>
      <c r="K41" s="611"/>
      <c r="L41" s="611"/>
      <c r="M41" s="611"/>
      <c r="N41" s="611"/>
      <c r="O41" s="611"/>
      <c r="P41" s="611"/>
      <c r="Q41" s="611"/>
      <c r="R41" s="611"/>
      <c r="S41" s="611"/>
      <c r="T41" s="1164"/>
    </row>
    <row r="42" spans="1:22" x14ac:dyDescent="0.25">
      <c r="B42" s="1107" t="s">
        <v>1060</v>
      </c>
      <c r="C42" s="1194"/>
      <c r="D42" s="1195"/>
      <c r="E42" s="1199">
        <v>571</v>
      </c>
      <c r="F42" s="1197"/>
      <c r="G42" s="1198"/>
      <c r="H42" s="611"/>
      <c r="I42" s="611"/>
      <c r="J42" s="611"/>
      <c r="K42" s="611"/>
      <c r="L42" s="611"/>
      <c r="M42" s="611"/>
      <c r="N42" s="611"/>
      <c r="O42" s="611"/>
      <c r="P42" s="611"/>
      <c r="Q42" s="611"/>
      <c r="R42" s="611"/>
      <c r="S42" s="611"/>
      <c r="T42" s="1164"/>
    </row>
    <row r="43" spans="1:22" x14ac:dyDescent="0.25">
      <c r="B43" s="1107" t="s">
        <v>1061</v>
      </c>
      <c r="C43" s="1194"/>
      <c r="D43" s="1195"/>
      <c r="E43" s="1199">
        <v>2833</v>
      </c>
      <c r="F43" s="1197"/>
      <c r="G43" s="1198"/>
      <c r="H43" s="611"/>
      <c r="I43" s="611"/>
      <c r="J43" s="611"/>
      <c r="K43" s="611"/>
      <c r="L43" s="611"/>
      <c r="M43" s="611"/>
      <c r="N43" s="611"/>
      <c r="O43" s="611"/>
      <c r="P43" s="611"/>
      <c r="Q43" s="611"/>
      <c r="R43" s="611"/>
      <c r="S43" s="611"/>
    </row>
    <row r="44" spans="1:22" x14ac:dyDescent="0.25">
      <c r="B44" s="1107"/>
      <c r="C44" s="1194"/>
      <c r="D44" s="1195"/>
      <c r="E44" s="1199"/>
      <c r="F44" s="1197"/>
      <c r="G44" s="1198"/>
      <c r="H44" s="611"/>
      <c r="I44" s="611"/>
      <c r="J44" s="611"/>
      <c r="K44" s="611"/>
      <c r="L44" s="611"/>
      <c r="M44" s="611"/>
      <c r="N44" s="611"/>
      <c r="O44" s="611"/>
      <c r="P44" s="611"/>
      <c r="Q44" s="611"/>
      <c r="R44" s="611"/>
      <c r="S44" s="611"/>
    </row>
    <row r="45" spans="1:22" x14ac:dyDescent="0.25">
      <c r="B45" s="1107" t="s">
        <v>1062</v>
      </c>
      <c r="C45" s="1200"/>
      <c r="D45" s="1108"/>
      <c r="E45" s="1199"/>
      <c r="F45" s="1200"/>
      <c r="G45" s="1201"/>
      <c r="H45" s="611" t="s">
        <v>1063</v>
      </c>
      <c r="I45" s="611"/>
      <c r="J45" s="611"/>
      <c r="K45" s="611"/>
      <c r="L45" s="611"/>
      <c r="M45" s="611"/>
      <c r="N45" s="611"/>
      <c r="O45" s="611"/>
      <c r="P45" s="611"/>
      <c r="Q45" s="611"/>
      <c r="R45" s="611"/>
      <c r="S45" s="611"/>
    </row>
    <row r="46" spans="1:22" x14ac:dyDescent="0.25">
      <c r="B46" s="1107" t="s">
        <v>1060</v>
      </c>
      <c r="C46" s="1200"/>
      <c r="D46" s="1108"/>
      <c r="E46" s="1199">
        <v>2873</v>
      </c>
      <c r="F46" s="1200"/>
      <c r="G46" s="1198"/>
      <c r="H46" s="611"/>
      <c r="I46" s="611"/>
      <c r="J46" s="611"/>
      <c r="K46" s="611"/>
      <c r="L46" s="611"/>
      <c r="M46" s="611"/>
      <c r="N46" s="611"/>
      <c r="O46" s="611"/>
      <c r="P46" s="611"/>
      <c r="Q46" s="611"/>
      <c r="R46" s="611"/>
      <c r="S46" s="611"/>
    </row>
    <row r="47" spans="1:22" x14ac:dyDescent="0.25">
      <c r="B47" s="1107" t="s">
        <v>1061</v>
      </c>
      <c r="C47" s="1200"/>
      <c r="D47" s="1108"/>
      <c r="E47" s="1199">
        <v>7017</v>
      </c>
      <c r="F47" s="1200"/>
      <c r="G47" s="1198"/>
      <c r="H47" s="611"/>
      <c r="I47" s="611"/>
      <c r="J47" s="611"/>
      <c r="K47" s="611"/>
      <c r="L47" s="611"/>
      <c r="M47" s="611"/>
      <c r="N47" s="611"/>
      <c r="O47" s="611"/>
      <c r="P47" s="611"/>
      <c r="Q47" s="611"/>
      <c r="R47" s="611"/>
      <c r="S47" s="611"/>
    </row>
    <row r="48" spans="1:22" x14ac:dyDescent="0.25">
      <c r="B48" s="1107"/>
      <c r="C48" s="1200"/>
      <c r="D48" s="1108"/>
      <c r="E48" s="1199"/>
      <c r="F48" s="1200"/>
      <c r="G48" s="1198"/>
      <c r="H48" s="611"/>
      <c r="I48" s="611"/>
      <c r="J48" s="611"/>
      <c r="K48" s="611"/>
      <c r="L48" s="611"/>
      <c r="M48" s="611"/>
      <c r="N48" s="611"/>
      <c r="O48" s="611"/>
      <c r="P48" s="611"/>
      <c r="Q48" s="611"/>
      <c r="R48" s="611"/>
      <c r="S48" s="611"/>
    </row>
    <row r="49" spans="2:22" x14ac:dyDescent="0.25">
      <c r="B49" s="1107" t="s">
        <v>1064</v>
      </c>
      <c r="C49" s="1200"/>
      <c r="D49" s="1108"/>
      <c r="E49" s="1199"/>
      <c r="F49" s="1200"/>
      <c r="G49" s="1198"/>
      <c r="H49" s="611" t="s">
        <v>1065</v>
      </c>
      <c r="I49" s="611"/>
      <c r="J49" s="611"/>
      <c r="K49" s="611"/>
      <c r="L49" s="611"/>
      <c r="M49" s="611"/>
      <c r="N49" s="611"/>
      <c r="O49" s="611"/>
      <c r="P49" s="611"/>
      <c r="Q49" s="611"/>
      <c r="R49" s="611"/>
      <c r="S49" s="611"/>
    </row>
    <row r="50" spans="2:22" x14ac:dyDescent="0.25">
      <c r="B50" s="1202" t="s">
        <v>1060</v>
      </c>
      <c r="C50" s="1108"/>
      <c r="D50" s="1108"/>
      <c r="E50" s="1199">
        <v>8291</v>
      </c>
      <c r="F50" s="1200"/>
      <c r="G50" s="1198"/>
      <c r="H50" s="611"/>
      <c r="I50" s="611"/>
      <c r="J50" s="611"/>
      <c r="K50" s="611"/>
      <c r="L50" s="611"/>
      <c r="M50" s="611"/>
      <c r="N50" s="611"/>
      <c r="O50" s="611"/>
      <c r="P50" s="611"/>
      <c r="Q50" s="611"/>
      <c r="R50" s="611"/>
      <c r="S50" s="611"/>
      <c r="V50" s="1165"/>
    </row>
    <row r="51" spans="2:22" x14ac:dyDescent="0.25">
      <c r="B51" s="1202" t="s">
        <v>1061</v>
      </c>
      <c r="C51" s="1108"/>
      <c r="D51" s="1108"/>
      <c r="E51" s="1199">
        <v>14030</v>
      </c>
      <c r="F51" s="1200"/>
      <c r="G51" s="1198"/>
      <c r="H51" s="611"/>
      <c r="I51" s="611"/>
      <c r="J51" s="611"/>
      <c r="K51" s="611"/>
      <c r="L51" s="611"/>
      <c r="M51" s="611"/>
      <c r="N51" s="611"/>
      <c r="O51" s="611"/>
      <c r="P51" s="611"/>
      <c r="Q51" s="611"/>
      <c r="R51" s="611"/>
      <c r="S51" s="611"/>
      <c r="V51" s="1165"/>
    </row>
    <row r="52" spans="2:22" x14ac:dyDescent="0.25">
      <c r="B52" s="1202"/>
      <c r="C52" s="1108"/>
      <c r="D52" s="1108"/>
      <c r="E52" s="1199"/>
      <c r="F52" s="1200"/>
      <c r="G52" s="1198"/>
      <c r="H52" s="611"/>
      <c r="I52" s="611"/>
      <c r="J52" s="611"/>
      <c r="K52" s="611"/>
      <c r="L52" s="611"/>
      <c r="M52" s="611"/>
      <c r="N52" s="611"/>
      <c r="O52" s="611"/>
      <c r="P52" s="611"/>
      <c r="Q52" s="611"/>
      <c r="R52" s="611"/>
      <c r="S52" s="611"/>
    </row>
    <row r="53" spans="2:22" x14ac:dyDescent="0.25">
      <c r="B53" s="1202" t="s">
        <v>1066</v>
      </c>
      <c r="C53" s="1108"/>
      <c r="D53" s="1108"/>
      <c r="E53" s="1199">
        <v>2270</v>
      </c>
      <c r="F53" s="1200"/>
      <c r="G53" s="1198"/>
      <c r="H53" s="611"/>
      <c r="I53" s="611"/>
      <c r="J53" s="611"/>
      <c r="K53" s="611"/>
      <c r="L53" s="611"/>
      <c r="M53" s="611"/>
      <c r="N53" s="611"/>
      <c r="O53" s="611"/>
      <c r="P53" s="611"/>
      <c r="Q53" s="611"/>
      <c r="R53" s="611"/>
      <c r="S53" s="611"/>
    </row>
    <row r="54" spans="2:22" ht="13" thickBot="1" x14ac:dyDescent="0.3">
      <c r="B54" s="1142" t="s">
        <v>1067</v>
      </c>
      <c r="C54" s="1203"/>
      <c r="D54" s="1203"/>
      <c r="E54" s="1204">
        <v>4479</v>
      </c>
      <c r="F54" s="1205"/>
      <c r="G54" s="1206"/>
      <c r="H54" s="611"/>
      <c r="I54" s="611"/>
      <c r="J54" s="611"/>
      <c r="K54" s="611"/>
      <c r="L54" s="611"/>
      <c r="M54" s="611"/>
      <c r="N54" s="611"/>
      <c r="O54" s="611"/>
      <c r="P54" s="611"/>
      <c r="Q54" s="611"/>
      <c r="R54" s="611"/>
      <c r="S54" s="611"/>
      <c r="V54" s="1165"/>
    </row>
    <row r="55" spans="2:22" x14ac:dyDescent="0.25">
      <c r="B55" s="611"/>
      <c r="C55" s="611"/>
      <c r="D55" s="611"/>
      <c r="E55" s="611"/>
      <c r="F55" s="611"/>
      <c r="G55" s="611"/>
      <c r="H55" s="611"/>
      <c r="I55" s="611"/>
      <c r="J55" s="611"/>
      <c r="K55" s="611"/>
      <c r="L55" s="611"/>
      <c r="M55" s="611"/>
      <c r="N55" s="611"/>
      <c r="O55" s="611"/>
      <c r="P55" s="611"/>
      <c r="Q55" s="611"/>
      <c r="R55" s="611"/>
      <c r="S55" s="611"/>
      <c r="V55" s="1165"/>
    </row>
    <row r="57" spans="2:22" ht="13" x14ac:dyDescent="0.3">
      <c r="B57" s="420"/>
      <c r="V57" s="1165"/>
    </row>
    <row r="58" spans="2:22" x14ac:dyDescent="0.25">
      <c r="V58" s="1165"/>
    </row>
    <row r="59" spans="2:22" x14ac:dyDescent="0.25">
      <c r="B59" s="1207"/>
      <c r="C59" s="20"/>
      <c r="D59" s="611"/>
      <c r="E59" s="1185"/>
      <c r="F59" s="20"/>
      <c r="G59" s="20"/>
      <c r="H59" s="611"/>
      <c r="I59" s="611"/>
      <c r="J59" s="611"/>
      <c r="K59" s="611"/>
      <c r="L59" s="611"/>
      <c r="M59" s="611"/>
      <c r="N59" s="611"/>
      <c r="O59" s="611"/>
      <c r="P59" s="611"/>
      <c r="Q59" s="611"/>
      <c r="R59" s="611"/>
    </row>
    <row r="60" spans="2:22" x14ac:dyDescent="0.25">
      <c r="B60" s="611"/>
      <c r="C60" s="20"/>
      <c r="D60" s="611"/>
      <c r="E60" s="1185"/>
      <c r="F60" s="20"/>
      <c r="G60" s="20"/>
      <c r="H60" s="611"/>
      <c r="I60" s="611"/>
      <c r="J60" s="611"/>
      <c r="K60" s="611"/>
      <c r="L60" s="611"/>
      <c r="M60" s="611"/>
      <c r="N60" s="611"/>
      <c r="O60" s="611"/>
      <c r="P60" s="611"/>
      <c r="Q60" s="611"/>
      <c r="R60" s="611"/>
    </row>
    <row r="61" spans="2:22" ht="15.5" x14ac:dyDescent="0.35">
      <c r="B61" s="1128"/>
      <c r="C61" s="1129"/>
      <c r="D61" s="1129"/>
      <c r="E61" s="1130" t="s">
        <v>1030</v>
      </c>
      <c r="F61" s="1131"/>
      <c r="G61" s="1130"/>
      <c r="H61" s="1131"/>
      <c r="I61" s="1130"/>
      <c r="J61" s="1131"/>
      <c r="K61" s="1130"/>
      <c r="L61" s="1132"/>
      <c r="M61" s="1133" t="s">
        <v>1031</v>
      </c>
      <c r="N61" s="1134"/>
      <c r="O61" s="1134"/>
      <c r="P61" s="1134"/>
      <c r="Q61" s="1134"/>
      <c r="R61" s="1134"/>
      <c r="S61" s="1135"/>
    </row>
    <row r="62" spans="2:22" ht="15.5" x14ac:dyDescent="0.35">
      <c r="B62" s="1128"/>
      <c r="C62" s="1136" t="s">
        <v>1032</v>
      </c>
      <c r="D62" s="1136" t="s">
        <v>1033</v>
      </c>
      <c r="E62" s="1137" t="s">
        <v>1034</v>
      </c>
      <c r="F62" s="1136"/>
      <c r="G62" s="1138" t="s">
        <v>1035</v>
      </c>
      <c r="H62" s="1136"/>
      <c r="I62" s="1137" t="s">
        <v>1036</v>
      </c>
      <c r="J62" s="1136"/>
      <c r="K62" s="1137" t="s">
        <v>62</v>
      </c>
      <c r="L62" s="1139"/>
      <c r="M62" s="1140" t="s">
        <v>1034</v>
      </c>
      <c r="N62" s="1136"/>
      <c r="O62" s="1136"/>
      <c r="P62" s="1138" t="s">
        <v>1035</v>
      </c>
      <c r="Q62" s="1136"/>
      <c r="R62" s="1141" t="s">
        <v>62</v>
      </c>
      <c r="S62" s="1135"/>
    </row>
    <row r="63" spans="2:22" ht="16" thickBot="1" x14ac:dyDescent="0.4">
      <c r="B63" s="1145"/>
      <c r="C63" s="1146"/>
      <c r="D63" s="1146"/>
      <c r="E63" s="1146"/>
      <c r="F63" s="1146"/>
      <c r="G63" s="1146"/>
      <c r="H63" s="1146"/>
      <c r="I63" s="1146"/>
      <c r="J63" s="1146"/>
      <c r="K63" s="1146"/>
      <c r="L63" s="1146"/>
      <c r="M63" s="1147"/>
      <c r="N63" s="1146"/>
      <c r="O63" s="1146"/>
      <c r="P63" s="1146"/>
      <c r="Q63" s="1146"/>
      <c r="R63" s="1146"/>
      <c r="S63" s="1148"/>
    </row>
    <row r="64" spans="2:22" ht="15.5" x14ac:dyDescent="0.35">
      <c r="B64" s="1151"/>
      <c r="C64" s="1152"/>
      <c r="D64" s="1152"/>
      <c r="E64" s="1152"/>
      <c r="F64" s="1152"/>
      <c r="G64" s="1152"/>
      <c r="H64" s="1152"/>
      <c r="I64" s="1152"/>
      <c r="J64" s="1152"/>
      <c r="K64" s="1152"/>
      <c r="L64" s="1153"/>
      <c r="M64" s="1152"/>
      <c r="N64" s="1152"/>
      <c r="O64" s="1152"/>
      <c r="P64" s="1152"/>
      <c r="Q64" s="1152"/>
      <c r="R64" s="1152"/>
      <c r="S64" s="1153"/>
    </row>
    <row r="65" spans="2:19" ht="15.5" x14ac:dyDescent="0.35">
      <c r="B65" s="1128"/>
      <c r="C65" s="1154" t="s">
        <v>1037</v>
      </c>
      <c r="D65" s="1155">
        <v>1</v>
      </c>
      <c r="E65" s="1156">
        <v>25713.514999999999</v>
      </c>
      <c r="F65" s="1157"/>
      <c r="G65" s="1158">
        <f t="shared" ref="G65:G70" si="11">IF($M65&gt;$U$11,($E65-$U$11)*$W$11,"ERROR")</f>
        <v>2335.7210700000001</v>
      </c>
      <c r="H65" s="1157"/>
      <c r="I65" s="1158">
        <f t="shared" ref="I65:I70" si="12">$E65*$V$13</f>
        <v>6088.9603520000001</v>
      </c>
      <c r="J65" s="1157"/>
      <c r="K65" s="1158">
        <f t="shared" ref="K65:K70" si="13">E65+ROUND(G65,0)+ROUND(I65,0)</f>
        <v>34138.514999999999</v>
      </c>
      <c r="L65" s="1159"/>
      <c r="M65" s="1157">
        <f t="shared" ref="M65:M70" si="14">E65</f>
        <v>25713.514999999999</v>
      </c>
      <c r="N65" s="1157"/>
      <c r="O65" s="1157"/>
      <c r="P65" s="1158">
        <f t="shared" ref="P65:P70" si="15">IF($M65&gt;$U$11,($M65-$U$11)*$W$11,"ERROR")</f>
        <v>2335.7210700000001</v>
      </c>
      <c r="Q65" s="1157"/>
      <c r="R65" s="1158">
        <f t="shared" ref="R65:R70" si="16">SUM(M65:P65)</f>
        <v>28049.236069999999</v>
      </c>
      <c r="S65" s="1135"/>
    </row>
    <row r="66" spans="2:19" ht="15.5" x14ac:dyDescent="0.35">
      <c r="B66" s="1162"/>
      <c r="C66" s="1163"/>
      <c r="D66" s="1155">
        <v>2</v>
      </c>
      <c r="E66" s="1156">
        <v>27599.751000000004</v>
      </c>
      <c r="F66" s="1157"/>
      <c r="G66" s="1158">
        <f t="shared" si="11"/>
        <v>2596.0216380000006</v>
      </c>
      <c r="H66" s="1157"/>
      <c r="I66" s="1158">
        <f t="shared" si="12"/>
        <v>6535.6210368000011</v>
      </c>
      <c r="J66" s="1157"/>
      <c r="K66" s="1158">
        <f t="shared" si="13"/>
        <v>36731.751000000004</v>
      </c>
      <c r="L66" s="1159"/>
      <c r="M66" s="1157">
        <f t="shared" si="14"/>
        <v>27599.751000000004</v>
      </c>
      <c r="N66" s="1157"/>
      <c r="O66" s="1157"/>
      <c r="P66" s="1158">
        <f t="shared" si="15"/>
        <v>2596.0216380000006</v>
      </c>
      <c r="Q66" s="1157"/>
      <c r="R66" s="1158">
        <f t="shared" si="16"/>
        <v>30195.772638000006</v>
      </c>
      <c r="S66" s="1135"/>
    </row>
    <row r="67" spans="2:19" ht="15.5" x14ac:dyDescent="0.35">
      <c r="B67" s="1162"/>
      <c r="C67" s="1163"/>
      <c r="D67" s="1155">
        <v>3</v>
      </c>
      <c r="E67" s="1156">
        <v>29663.172000000002</v>
      </c>
      <c r="F67" s="1157"/>
      <c r="G67" s="1158">
        <f>IF($M67&gt;$U$11,($E67-$U$11)*$W$11,"ERROR")</f>
        <v>2880.7737360000006</v>
      </c>
      <c r="H67" s="1157"/>
      <c r="I67" s="1158">
        <f t="shared" si="12"/>
        <v>7024.2391296000005</v>
      </c>
      <c r="J67" s="1157"/>
      <c r="K67" s="1158">
        <f t="shared" si="13"/>
        <v>39568.172000000006</v>
      </c>
      <c r="L67" s="1159"/>
      <c r="M67" s="1157">
        <f t="shared" si="14"/>
        <v>29663.172000000002</v>
      </c>
      <c r="N67" s="1157"/>
      <c r="O67" s="1157"/>
      <c r="P67" s="1158">
        <f t="shared" si="15"/>
        <v>2880.7737360000006</v>
      </c>
      <c r="Q67" s="1157"/>
      <c r="R67" s="1158">
        <f t="shared" si="16"/>
        <v>32543.945736000001</v>
      </c>
      <c r="S67" s="1135"/>
    </row>
    <row r="68" spans="2:19" ht="15.5" x14ac:dyDescent="0.35">
      <c r="B68" s="1162"/>
      <c r="C68" s="1163"/>
      <c r="D68" s="1155">
        <v>4</v>
      </c>
      <c r="E68" s="1156">
        <v>31777.0615</v>
      </c>
      <c r="F68" s="1157"/>
      <c r="G68" s="1158">
        <f t="shared" si="11"/>
        <v>3172.490487</v>
      </c>
      <c r="H68" s="1157"/>
      <c r="I68" s="1158">
        <f t="shared" si="12"/>
        <v>7524.8081632000003</v>
      </c>
      <c r="J68" s="1157"/>
      <c r="K68" s="1158">
        <f t="shared" si="13"/>
        <v>42474.061499999996</v>
      </c>
      <c r="L68" s="1159"/>
      <c r="M68" s="1157">
        <f t="shared" si="14"/>
        <v>31777.0615</v>
      </c>
      <c r="N68" s="1157"/>
      <c r="O68" s="1157"/>
      <c r="P68" s="1158">
        <f t="shared" si="15"/>
        <v>3172.490487</v>
      </c>
      <c r="Q68" s="1157"/>
      <c r="R68" s="1158">
        <f t="shared" si="16"/>
        <v>34949.551986999999</v>
      </c>
      <c r="S68" s="1135"/>
    </row>
    <row r="69" spans="2:19" ht="15.5" x14ac:dyDescent="0.35">
      <c r="B69" s="1162"/>
      <c r="C69" s="1163"/>
      <c r="D69" s="1155">
        <v>5</v>
      </c>
      <c r="E69" s="1455">
        <f>34099.33-((34099.33-E68)*0.2)+E53</f>
        <v>35904.876300000004</v>
      </c>
      <c r="F69" s="1157"/>
      <c r="G69" s="1158">
        <f t="shared" si="11"/>
        <v>3742.1289294000007</v>
      </c>
      <c r="H69" s="1157"/>
      <c r="I69" s="1158">
        <f t="shared" si="12"/>
        <v>8502.2747078400007</v>
      </c>
      <c r="J69" s="1157"/>
      <c r="K69" s="1158">
        <f t="shared" si="13"/>
        <v>48148.876300000004</v>
      </c>
      <c r="L69" s="1159"/>
      <c r="M69" s="1157">
        <f t="shared" si="14"/>
        <v>35904.876300000004</v>
      </c>
      <c r="N69" s="1157"/>
      <c r="O69" s="1157"/>
      <c r="P69" s="1158">
        <f t="shared" si="15"/>
        <v>3742.1289294000007</v>
      </c>
      <c r="Q69" s="1157"/>
      <c r="R69" s="1158">
        <f t="shared" si="16"/>
        <v>39647.005229400005</v>
      </c>
      <c r="S69" s="1135"/>
    </row>
    <row r="70" spans="2:19" ht="15.5" x14ac:dyDescent="0.35">
      <c r="B70" s="1162"/>
      <c r="C70" s="1163"/>
      <c r="D70" s="1155">
        <v>6</v>
      </c>
      <c r="E70" s="1156">
        <v>36960.202499999999</v>
      </c>
      <c r="F70" s="1157"/>
      <c r="G70" s="1158">
        <f t="shared" si="11"/>
        <v>3887.7639450000001</v>
      </c>
      <c r="H70" s="1157"/>
      <c r="I70" s="1158">
        <f t="shared" si="12"/>
        <v>8752.1759519999996</v>
      </c>
      <c r="J70" s="1157"/>
      <c r="K70" s="1158">
        <f t="shared" si="13"/>
        <v>49600.202499999999</v>
      </c>
      <c r="L70" s="1159"/>
      <c r="M70" s="1157">
        <f t="shared" si="14"/>
        <v>36960.202499999999</v>
      </c>
      <c r="N70" s="1157"/>
      <c r="O70" s="1157"/>
      <c r="P70" s="1158">
        <f t="shared" si="15"/>
        <v>3887.7639450000001</v>
      </c>
      <c r="Q70" s="1157"/>
      <c r="R70" s="1158">
        <f t="shared" si="16"/>
        <v>40847.966444999998</v>
      </c>
      <c r="S70" s="1135"/>
    </row>
    <row r="71" spans="2:19" ht="15.5" x14ac:dyDescent="0.35">
      <c r="B71" s="1166" t="s">
        <v>1042</v>
      </c>
      <c r="C71" s="1163"/>
      <c r="D71" s="1155"/>
      <c r="E71" s="1156"/>
      <c r="F71" s="1157"/>
      <c r="G71" s="1158"/>
      <c r="H71" s="1157"/>
      <c r="I71" s="1158"/>
      <c r="J71" s="1157"/>
      <c r="K71" s="1158"/>
      <c r="L71" s="1159"/>
      <c r="M71" s="1167" t="s">
        <v>1043</v>
      </c>
      <c r="N71" s="1157"/>
      <c r="O71" s="1157"/>
      <c r="P71" s="1158"/>
      <c r="Q71" s="1157"/>
      <c r="R71" s="1158"/>
      <c r="S71" s="1135"/>
    </row>
    <row r="72" spans="2:19" ht="15.5" x14ac:dyDescent="0.35">
      <c r="B72" s="1162"/>
      <c r="C72" s="1163" t="s">
        <v>1044</v>
      </c>
      <c r="D72" s="1155">
        <v>1</v>
      </c>
      <c r="E72" s="1156">
        <v>38689.485000000001</v>
      </c>
      <c r="F72" s="1157"/>
      <c r="G72" s="1158">
        <f>IF($M72&gt;$U$11,($E72-$U$11)*$W$11,"ERROR")</f>
        <v>4126.4049300000006</v>
      </c>
      <c r="H72" s="1157"/>
      <c r="I72" s="1158">
        <f>$E72*$V$13</f>
        <v>9161.670048</v>
      </c>
      <c r="J72" s="1157"/>
      <c r="K72" s="1158">
        <f>E72+ROUND(G72,0)+ROUND(I72,0)</f>
        <v>51977.485000000001</v>
      </c>
      <c r="L72" s="1159"/>
      <c r="M72" s="1157">
        <f>E72</f>
        <v>38689.485000000001</v>
      </c>
      <c r="N72" s="1157"/>
      <c r="O72" s="1157"/>
      <c r="P72" s="1158">
        <f>IF($M72&gt;$U$11,($M72-$U$11)*$W$11,"ERROR")</f>
        <v>4126.4049300000006</v>
      </c>
      <c r="Q72" s="1157"/>
      <c r="R72" s="1158">
        <f>SUM(M72:P72)</f>
        <v>42815.889930000005</v>
      </c>
      <c r="S72" s="1135"/>
    </row>
    <row r="73" spans="2:19" ht="15.5" x14ac:dyDescent="0.35">
      <c r="B73" s="1162"/>
      <c r="C73" s="1163" t="s">
        <v>1046</v>
      </c>
      <c r="D73" s="1155">
        <v>2</v>
      </c>
      <c r="E73" s="1156">
        <v>40123.875</v>
      </c>
      <c r="F73" s="1157"/>
      <c r="G73" s="1158">
        <f>IF($M73&gt;$U$11,($E73-$U$11)*$W$11,"ERROR")</f>
        <v>4324.3507500000005</v>
      </c>
      <c r="H73" s="1157"/>
      <c r="I73" s="1158">
        <f>$E73*$V$13</f>
        <v>9501.3335999999999</v>
      </c>
      <c r="J73" s="1157"/>
      <c r="K73" s="1158">
        <f>E73+ROUND(G73,0)+ROUND(I73,0)</f>
        <v>53948.875</v>
      </c>
      <c r="L73" s="1159"/>
      <c r="M73" s="1157">
        <f>E73</f>
        <v>40123.875</v>
      </c>
      <c r="N73" s="1157"/>
      <c r="O73" s="1157"/>
      <c r="P73" s="1158">
        <f>IF($M73&gt;$U$11,($M73-$U$11)*$W$11,"ERROR")</f>
        <v>4324.3507500000005</v>
      </c>
      <c r="Q73" s="1157"/>
      <c r="R73" s="1158">
        <f>SUM(M73:P73)</f>
        <v>44448.225749999998</v>
      </c>
      <c r="S73" s="1135"/>
    </row>
    <row r="74" spans="2:19" ht="15.5" x14ac:dyDescent="0.35">
      <c r="B74" s="1162"/>
      <c r="C74" s="1163"/>
      <c r="D74" s="1155">
        <v>3</v>
      </c>
      <c r="E74" s="1156">
        <v>41603.474999999999</v>
      </c>
      <c r="F74" s="1157"/>
      <c r="G74" s="1158">
        <f>IF($M74&gt;$U$11,($E74-$U$11)*$W$11,"ERROR")</f>
        <v>4528.5355500000005</v>
      </c>
      <c r="H74" s="1157"/>
      <c r="I74" s="1158">
        <f>$E74*$V$13</f>
        <v>9851.7028800000007</v>
      </c>
      <c r="J74" s="1157"/>
      <c r="K74" s="1158">
        <f>E74+ROUND(G74,0)+ROUND(I74,0)</f>
        <v>55984.474999999999</v>
      </c>
      <c r="L74" s="1159"/>
      <c r="M74" s="1157">
        <f>E74</f>
        <v>41603.474999999999</v>
      </c>
      <c r="N74" s="1157"/>
      <c r="O74" s="1157"/>
      <c r="P74" s="1158">
        <f>IF($M74&gt;$U$11,($M74-$U$11)*$W$11,"ERROR")</f>
        <v>4528.5355500000005</v>
      </c>
      <c r="Q74" s="1157"/>
      <c r="R74" s="1158">
        <f>SUM(M74:P74)</f>
        <v>46132.010549999999</v>
      </c>
      <c r="S74" s="1135"/>
    </row>
    <row r="75" spans="2:19" ht="15.5" x14ac:dyDescent="0.35">
      <c r="B75" s="1162"/>
      <c r="C75" s="1163"/>
      <c r="D75" s="1155"/>
      <c r="E75" s="1156"/>
      <c r="F75" s="1157"/>
      <c r="G75" s="1158"/>
      <c r="H75" s="1157"/>
      <c r="I75" s="1158"/>
      <c r="J75" s="1157"/>
      <c r="K75" s="1158"/>
      <c r="L75" s="1159"/>
      <c r="M75" s="1157"/>
      <c r="N75" s="1157"/>
      <c r="O75" s="1157"/>
      <c r="P75" s="1158"/>
      <c r="Q75" s="1157"/>
      <c r="R75" s="1158"/>
      <c r="S75" s="1135"/>
    </row>
    <row r="76" spans="2:19" ht="15.5" x14ac:dyDescent="0.35">
      <c r="B76" s="1166" t="s">
        <v>1049</v>
      </c>
      <c r="C76" s="1163"/>
      <c r="D76" s="1155"/>
      <c r="E76" s="1156"/>
      <c r="F76" s="1157"/>
      <c r="G76" s="1158"/>
      <c r="H76" s="1157"/>
      <c r="I76" s="1158"/>
      <c r="J76" s="1157"/>
      <c r="K76" s="1158"/>
      <c r="L76" s="1159"/>
      <c r="M76" s="1167" t="s">
        <v>1043</v>
      </c>
      <c r="N76" s="1157"/>
      <c r="O76" s="1157"/>
      <c r="P76" s="1158"/>
      <c r="Q76" s="1157"/>
      <c r="R76" s="1158"/>
      <c r="S76" s="1135"/>
    </row>
    <row r="77" spans="2:19" ht="15.5" x14ac:dyDescent="0.35">
      <c r="B77" s="1168"/>
      <c r="C77" s="1163"/>
      <c r="D77" s="1132"/>
      <c r="E77" s="1156"/>
      <c r="F77" s="1157"/>
      <c r="G77" s="1158"/>
      <c r="H77" s="1157"/>
      <c r="I77" s="1158"/>
      <c r="J77" s="1157"/>
      <c r="K77" s="1158"/>
      <c r="L77" s="1159"/>
      <c r="M77" s="1157"/>
      <c r="N77" s="1157"/>
      <c r="O77" s="1157"/>
      <c r="P77" s="1158"/>
      <c r="Q77" s="1157"/>
      <c r="R77" s="1158"/>
      <c r="S77" s="1135"/>
    </row>
    <row r="78" spans="2:19" ht="15.5" x14ac:dyDescent="0.35">
      <c r="B78" s="1169" t="s">
        <v>1052</v>
      </c>
      <c r="C78" s="1163" t="s">
        <v>1053</v>
      </c>
      <c r="D78" s="1170">
        <v>1</v>
      </c>
      <c r="E78" s="1156">
        <v>18168.255000000001</v>
      </c>
      <c r="F78" s="1157"/>
      <c r="G78" s="1158">
        <f t="shared" ref="G78:G83" si="17">IF($M78&gt;$U$11,($E78-$U$11)*$W$11,"ERROR")</f>
        <v>1294.4751900000003</v>
      </c>
      <c r="H78" s="1157"/>
      <c r="I78" s="1158">
        <f t="shared" ref="I78:I83" si="18">$E78*$V$13</f>
        <v>4302.242784</v>
      </c>
      <c r="J78" s="1157"/>
      <c r="K78" s="1158">
        <f t="shared" ref="K78:K83" si="19">E78+ROUND(G78,0)+ROUND(I78,0)</f>
        <v>23764.255000000001</v>
      </c>
      <c r="L78" s="1159"/>
      <c r="M78" s="1157">
        <f t="shared" ref="M78:M83" si="20">E78</f>
        <v>18168.255000000001</v>
      </c>
      <c r="N78" s="1157"/>
      <c r="O78" s="1157"/>
      <c r="P78" s="1158">
        <f t="shared" ref="P78:P83" si="21">IF($M78&gt;$U$11,($M78-$U$11)*$W$11,"ERROR")</f>
        <v>1294.4751900000003</v>
      </c>
      <c r="Q78" s="1157"/>
      <c r="R78" s="1158">
        <f t="shared" ref="R78:R83" si="22">SUM(M78:P78)</f>
        <v>19462.730190000002</v>
      </c>
      <c r="S78" s="1135"/>
    </row>
    <row r="79" spans="2:19" ht="15.5" x14ac:dyDescent="0.35">
      <c r="B79" s="1169" t="s">
        <v>1054</v>
      </c>
      <c r="C79" s="1163" t="s">
        <v>1055</v>
      </c>
      <c r="D79" s="1170">
        <v>2</v>
      </c>
      <c r="E79" s="1156">
        <v>20281.822499999998</v>
      </c>
      <c r="F79" s="1157"/>
      <c r="G79" s="1158">
        <f t="shared" si="17"/>
        <v>1586.1475049999999</v>
      </c>
      <c r="H79" s="1157"/>
      <c r="I79" s="1158">
        <f t="shared" si="18"/>
        <v>4802.7355680000001</v>
      </c>
      <c r="J79" s="1157"/>
      <c r="K79" s="1158">
        <f t="shared" si="19"/>
        <v>26670.822499999998</v>
      </c>
      <c r="L79" s="1159"/>
      <c r="M79" s="1157">
        <f t="shared" si="20"/>
        <v>20281.822499999998</v>
      </c>
      <c r="N79" s="1157"/>
      <c r="O79" s="1157"/>
      <c r="P79" s="1158">
        <f t="shared" si="21"/>
        <v>1586.1475049999999</v>
      </c>
      <c r="Q79" s="1157"/>
      <c r="R79" s="1158">
        <f t="shared" si="22"/>
        <v>21867.970004999999</v>
      </c>
      <c r="S79" s="1135"/>
    </row>
    <row r="80" spans="2:19" ht="15.5" x14ac:dyDescent="0.35">
      <c r="B80" s="1171"/>
      <c r="C80" s="1163"/>
      <c r="D80" s="1170">
        <v>3</v>
      </c>
      <c r="E80" s="1156">
        <v>22393.334999999999</v>
      </c>
      <c r="F80" s="1157"/>
      <c r="G80" s="1158">
        <f t="shared" si="17"/>
        <v>1877.5362299999999</v>
      </c>
      <c r="H80" s="1157"/>
      <c r="I80" s="1158">
        <f t="shared" si="18"/>
        <v>5302.741728</v>
      </c>
      <c r="J80" s="1157"/>
      <c r="K80" s="1158">
        <f t="shared" si="19"/>
        <v>29574.334999999999</v>
      </c>
      <c r="L80" s="1159"/>
      <c r="M80" s="1157">
        <f t="shared" si="20"/>
        <v>22393.334999999999</v>
      </c>
      <c r="N80" s="1157"/>
      <c r="O80" s="1157"/>
      <c r="P80" s="1158">
        <f t="shared" si="21"/>
        <v>1877.5362299999999</v>
      </c>
      <c r="Q80" s="1157"/>
      <c r="R80" s="1158">
        <f t="shared" si="22"/>
        <v>24270.871230000001</v>
      </c>
      <c r="S80" s="1135"/>
    </row>
    <row r="81" spans="2:19" ht="15.5" x14ac:dyDescent="0.35">
      <c r="B81" s="1171"/>
      <c r="C81" s="1163"/>
      <c r="D81" s="1170">
        <v>4</v>
      </c>
      <c r="E81" s="1156">
        <v>24506.9025</v>
      </c>
      <c r="F81" s="1157"/>
      <c r="G81" s="1158">
        <f t="shared" si="17"/>
        <v>2169.2085450000004</v>
      </c>
      <c r="H81" s="1157"/>
      <c r="I81" s="1158">
        <f t="shared" si="18"/>
        <v>5803.234512</v>
      </c>
      <c r="J81" s="1157"/>
      <c r="K81" s="1158">
        <f t="shared" si="19"/>
        <v>32478.9025</v>
      </c>
      <c r="L81" s="1159"/>
      <c r="M81" s="1157">
        <f t="shared" si="20"/>
        <v>24506.9025</v>
      </c>
      <c r="N81" s="1157"/>
      <c r="O81" s="1157"/>
      <c r="P81" s="1158">
        <f t="shared" si="21"/>
        <v>2169.2085450000004</v>
      </c>
      <c r="Q81" s="1157"/>
      <c r="R81" s="1158">
        <f t="shared" si="22"/>
        <v>26676.111045000001</v>
      </c>
      <c r="S81" s="1135"/>
    </row>
    <row r="82" spans="2:19" ht="15.5" x14ac:dyDescent="0.35">
      <c r="B82" s="1168"/>
      <c r="C82" s="1163"/>
      <c r="D82" s="1170">
        <v>5</v>
      </c>
      <c r="E82" s="1156">
        <v>26621.497499999998</v>
      </c>
      <c r="F82" s="1157"/>
      <c r="G82" s="1158">
        <f t="shared" si="17"/>
        <v>2461.0226549999998</v>
      </c>
      <c r="H82" s="1157"/>
      <c r="I82" s="1158">
        <f t="shared" si="18"/>
        <v>6303.9706079999996</v>
      </c>
      <c r="J82" s="1157"/>
      <c r="K82" s="1158">
        <f t="shared" si="19"/>
        <v>35386.497499999998</v>
      </c>
      <c r="L82" s="1159"/>
      <c r="M82" s="1157">
        <f t="shared" si="20"/>
        <v>26621.497499999998</v>
      </c>
      <c r="N82" s="1157"/>
      <c r="O82" s="1157"/>
      <c r="P82" s="1158">
        <f t="shared" si="21"/>
        <v>2461.0226549999998</v>
      </c>
      <c r="Q82" s="1157"/>
      <c r="R82" s="1158">
        <f t="shared" si="22"/>
        <v>29082.520154999998</v>
      </c>
      <c r="S82" s="1135"/>
    </row>
    <row r="83" spans="2:19" ht="15.5" x14ac:dyDescent="0.35">
      <c r="B83" s="1168"/>
      <c r="C83" s="1163"/>
      <c r="D83" s="1170">
        <v>6</v>
      </c>
      <c r="E83" s="1156">
        <v>28734.037499999999</v>
      </c>
      <c r="F83" s="1157"/>
      <c r="G83" s="1158">
        <f t="shared" si="17"/>
        <v>2752.553175</v>
      </c>
      <c r="H83" s="1157"/>
      <c r="I83" s="1158">
        <f t="shared" si="18"/>
        <v>6804.2200800000001</v>
      </c>
      <c r="J83" s="1157"/>
      <c r="K83" s="1158">
        <f t="shared" si="19"/>
        <v>38291.037499999999</v>
      </c>
      <c r="L83" s="1159"/>
      <c r="M83" s="1157">
        <f t="shared" si="20"/>
        <v>28734.037499999999</v>
      </c>
      <c r="N83" s="1157"/>
      <c r="O83" s="1157"/>
      <c r="P83" s="1158">
        <f t="shared" si="21"/>
        <v>2752.553175</v>
      </c>
      <c r="Q83" s="1157"/>
      <c r="R83" s="1158">
        <f t="shared" si="22"/>
        <v>31486.590674999999</v>
      </c>
      <c r="S83" s="1135"/>
    </row>
    <row r="84" spans="2:19" ht="15.5" x14ac:dyDescent="0.35">
      <c r="B84" s="1168"/>
      <c r="C84" s="1163"/>
      <c r="D84" s="1170"/>
      <c r="E84" s="1172"/>
      <c r="F84" s="1173"/>
      <c r="G84" s="1172"/>
      <c r="H84" s="1173"/>
      <c r="I84" s="1172"/>
      <c r="J84" s="1173"/>
      <c r="K84" s="1172"/>
      <c r="L84" s="1174"/>
      <c r="M84" s="1173"/>
      <c r="N84" s="1173"/>
      <c r="O84" s="1173"/>
      <c r="P84" s="1172"/>
      <c r="Q84" s="1173"/>
      <c r="R84" s="1172"/>
      <c r="S84" s="1135"/>
    </row>
    <row r="85" spans="2:19" ht="15.5" x14ac:dyDescent="0.35">
      <c r="B85" s="1168"/>
      <c r="C85" s="1163"/>
      <c r="D85" s="1170"/>
      <c r="E85" s="1172"/>
      <c r="F85" s="1173"/>
      <c r="G85" s="1172"/>
      <c r="H85" s="1173"/>
      <c r="I85" s="1172"/>
      <c r="J85" s="1173"/>
      <c r="K85" s="1172"/>
      <c r="L85" s="1174"/>
      <c r="M85" s="1173"/>
      <c r="N85" s="1173"/>
      <c r="O85" s="1173"/>
      <c r="P85" s="1172"/>
      <c r="Q85" s="1173"/>
      <c r="R85" s="1172"/>
      <c r="S85" s="1135"/>
    </row>
    <row r="86" spans="2:19" ht="16" thickBot="1" x14ac:dyDescent="0.4">
      <c r="B86" s="1175"/>
      <c r="C86" s="1176"/>
      <c r="D86" s="1177"/>
      <c r="E86" s="1178"/>
      <c r="F86" s="1179"/>
      <c r="G86" s="1178"/>
      <c r="H86" s="1179"/>
      <c r="I86" s="1178"/>
      <c r="J86" s="1179"/>
      <c r="K86" s="1178"/>
      <c r="L86" s="1180"/>
      <c r="M86" s="1181"/>
      <c r="N86" s="1179"/>
      <c r="O86" s="1179"/>
      <c r="P86" s="1178"/>
      <c r="Q86" s="1179"/>
      <c r="R86" s="1178"/>
      <c r="S86" s="1148"/>
    </row>
    <row r="90" spans="2:19" ht="15.5" x14ac:dyDescent="0.35">
      <c r="B90" s="1128"/>
      <c r="C90" s="1129"/>
      <c r="D90" s="1129"/>
      <c r="E90" s="1130" t="s">
        <v>1030</v>
      </c>
      <c r="F90" s="1131"/>
      <c r="G90" s="1130"/>
      <c r="H90" s="1131"/>
      <c r="I90" s="1130"/>
      <c r="J90" s="1131"/>
      <c r="K90" s="1130"/>
      <c r="L90" s="1132"/>
      <c r="M90" s="1133" t="s">
        <v>1031</v>
      </c>
      <c r="N90" s="1134"/>
      <c r="O90" s="1134"/>
      <c r="P90" s="1134"/>
      <c r="Q90" s="1134"/>
      <c r="R90" s="1134"/>
      <c r="S90" s="1135"/>
    </row>
    <row r="91" spans="2:19" ht="15.5" x14ac:dyDescent="0.35">
      <c r="B91" s="1128"/>
      <c r="C91" s="1136" t="s">
        <v>1032</v>
      </c>
      <c r="D91" s="1136" t="s">
        <v>1033</v>
      </c>
      <c r="E91" s="1137" t="s">
        <v>1034</v>
      </c>
      <c r="F91" s="1136"/>
      <c r="G91" s="1138" t="s">
        <v>1035</v>
      </c>
      <c r="H91" s="1136"/>
      <c r="I91" s="1137" t="s">
        <v>1036</v>
      </c>
      <c r="J91" s="1136"/>
      <c r="K91" s="1137" t="s">
        <v>62</v>
      </c>
      <c r="L91" s="1139"/>
      <c r="M91" s="1140" t="s">
        <v>1034</v>
      </c>
      <c r="N91" s="1136"/>
      <c r="O91" s="1136"/>
      <c r="P91" s="1138" t="s">
        <v>1035</v>
      </c>
      <c r="Q91" s="1136"/>
      <c r="R91" s="1141" t="s">
        <v>62</v>
      </c>
      <c r="S91" s="1135"/>
    </row>
    <row r="92" spans="2:19" ht="16" thickBot="1" x14ac:dyDescent="0.4">
      <c r="B92" s="1145"/>
      <c r="C92" s="1146"/>
      <c r="D92" s="1146"/>
      <c r="E92" s="1146"/>
      <c r="F92" s="1146"/>
      <c r="G92" s="1146"/>
      <c r="H92" s="1146"/>
      <c r="I92" s="1146"/>
      <c r="J92" s="1146"/>
      <c r="K92" s="1146"/>
      <c r="L92" s="1146"/>
      <c r="M92" s="1147"/>
      <c r="N92" s="1146"/>
      <c r="O92" s="1146"/>
      <c r="P92" s="1146"/>
      <c r="Q92" s="1146"/>
      <c r="R92" s="1146"/>
      <c r="S92" s="1148"/>
    </row>
    <row r="93" spans="2:19" ht="15.5" x14ac:dyDescent="0.35">
      <c r="B93" s="1151"/>
      <c r="C93" s="1152"/>
      <c r="D93" s="1152"/>
      <c r="E93" s="1152"/>
      <c r="F93" s="1152"/>
      <c r="G93" s="1152"/>
      <c r="H93" s="1152"/>
      <c r="I93" s="1152"/>
      <c r="J93" s="1152"/>
      <c r="K93" s="1152"/>
      <c r="L93" s="1153"/>
      <c r="M93" s="1152"/>
      <c r="N93" s="1152"/>
      <c r="O93" s="1152"/>
      <c r="P93" s="1152"/>
      <c r="Q93" s="1152"/>
      <c r="R93" s="1152"/>
      <c r="S93" s="1153"/>
    </row>
    <row r="94" spans="2:19" ht="15.5" x14ac:dyDescent="0.35">
      <c r="B94" s="1128"/>
      <c r="C94" s="1154" t="s">
        <v>1037</v>
      </c>
      <c r="D94" s="1155">
        <v>1</v>
      </c>
      <c r="E94" s="1156">
        <v>25713.514999999999</v>
      </c>
      <c r="F94" s="1157"/>
      <c r="G94" s="1158">
        <f t="shared" ref="G94:G99" si="23">IF($M94&gt;$U$11,($E94-$U$11)*$W$11,"ERROR")</f>
        <v>2335.7210700000001</v>
      </c>
      <c r="H94" s="1157"/>
      <c r="I94" s="1158">
        <f t="shared" ref="I94:I99" si="24">$E94*$V$13</f>
        <v>6088.9603520000001</v>
      </c>
      <c r="J94" s="1157"/>
      <c r="K94" s="1158">
        <f t="shared" ref="K94:K99" si="25">E94+ROUND(G94,0)+ROUND(I94,0)</f>
        <v>34138.514999999999</v>
      </c>
      <c r="L94" s="1159"/>
      <c r="M94" s="1157">
        <f t="shared" ref="M94:M99" si="26">E94</f>
        <v>25713.514999999999</v>
      </c>
      <c r="N94" s="1157"/>
      <c r="O94" s="1157"/>
      <c r="P94" s="1158">
        <f t="shared" ref="P94:P99" si="27">IF($M94&gt;$U$11,($M94-$U$11)*$W$11,"ERROR")</f>
        <v>2335.7210700000001</v>
      </c>
      <c r="Q94" s="1157"/>
      <c r="R94" s="1158">
        <f t="shared" ref="R94:R99" si="28">SUM(M94:P94)</f>
        <v>28049.236069999999</v>
      </c>
      <c r="S94" s="1135"/>
    </row>
    <row r="95" spans="2:19" ht="15.5" x14ac:dyDescent="0.35">
      <c r="B95" s="1162"/>
      <c r="C95" s="1163"/>
      <c r="D95" s="1155">
        <v>2</v>
      </c>
      <c r="E95" s="1156">
        <v>27599.751000000004</v>
      </c>
      <c r="F95" s="1157"/>
      <c r="G95" s="1158">
        <f t="shared" si="23"/>
        <v>2596.0216380000006</v>
      </c>
      <c r="H95" s="1157"/>
      <c r="I95" s="1158">
        <f t="shared" si="24"/>
        <v>6535.6210368000011</v>
      </c>
      <c r="J95" s="1157"/>
      <c r="K95" s="1158">
        <f t="shared" si="25"/>
        <v>36731.751000000004</v>
      </c>
      <c r="L95" s="1159"/>
      <c r="M95" s="1157">
        <f t="shared" si="26"/>
        <v>27599.751000000004</v>
      </c>
      <c r="N95" s="1157"/>
      <c r="O95" s="1157"/>
      <c r="P95" s="1158">
        <f t="shared" si="27"/>
        <v>2596.0216380000006</v>
      </c>
      <c r="Q95" s="1157"/>
      <c r="R95" s="1158">
        <f t="shared" si="28"/>
        <v>30195.772638000006</v>
      </c>
      <c r="S95" s="1135"/>
    </row>
    <row r="96" spans="2:19" ht="15.5" x14ac:dyDescent="0.35">
      <c r="B96" s="1162"/>
      <c r="C96" s="1163"/>
      <c r="D96" s="1155">
        <v>3</v>
      </c>
      <c r="E96" s="1156">
        <v>29663.172000000002</v>
      </c>
      <c r="F96" s="1157"/>
      <c r="G96" s="1158">
        <f>IF($M96&gt;$U$11,($E96-$U$11)*$W$11,"ERROR")</f>
        <v>2880.7737360000006</v>
      </c>
      <c r="H96" s="1157"/>
      <c r="I96" s="1158">
        <f t="shared" si="24"/>
        <v>7024.2391296000005</v>
      </c>
      <c r="J96" s="1157"/>
      <c r="K96" s="1158">
        <f t="shared" si="25"/>
        <v>39568.172000000006</v>
      </c>
      <c r="L96" s="1159"/>
      <c r="M96" s="1157">
        <f t="shared" si="26"/>
        <v>29663.172000000002</v>
      </c>
      <c r="N96" s="1157"/>
      <c r="O96" s="1157"/>
      <c r="P96" s="1158">
        <f t="shared" si="27"/>
        <v>2880.7737360000006</v>
      </c>
      <c r="Q96" s="1157"/>
      <c r="R96" s="1158">
        <f t="shared" si="28"/>
        <v>32543.945736000001</v>
      </c>
      <c r="S96" s="1135"/>
    </row>
    <row r="97" spans="2:19" ht="15.5" x14ac:dyDescent="0.35">
      <c r="B97" s="1162"/>
      <c r="C97" s="1163"/>
      <c r="D97" s="1155">
        <v>4</v>
      </c>
      <c r="E97" s="1156">
        <v>31777.0615</v>
      </c>
      <c r="F97" s="1157"/>
      <c r="G97" s="1158">
        <f t="shared" si="23"/>
        <v>3172.490487</v>
      </c>
      <c r="H97" s="1157"/>
      <c r="I97" s="1158">
        <f t="shared" si="24"/>
        <v>7524.8081632000003</v>
      </c>
      <c r="J97" s="1157"/>
      <c r="K97" s="1158">
        <f t="shared" si="25"/>
        <v>42474.061499999996</v>
      </c>
      <c r="L97" s="1159"/>
      <c r="M97" s="1157">
        <f t="shared" si="26"/>
        <v>31777.0615</v>
      </c>
      <c r="N97" s="1157"/>
      <c r="O97" s="1157"/>
      <c r="P97" s="1158">
        <f t="shared" si="27"/>
        <v>3172.490487</v>
      </c>
      <c r="Q97" s="1157"/>
      <c r="R97" s="1158">
        <f t="shared" si="28"/>
        <v>34949.551986999999</v>
      </c>
      <c r="S97" s="1135"/>
    </row>
    <row r="98" spans="2:19" ht="15.5" x14ac:dyDescent="0.35">
      <c r="B98" s="1162"/>
      <c r="C98" s="1163"/>
      <c r="D98" s="1155">
        <v>5</v>
      </c>
      <c r="E98" s="1455">
        <f>34099.33-((34099.33-E97)*0.4)+E53</f>
        <v>35440.422599999998</v>
      </c>
      <c r="F98" s="1157"/>
      <c r="G98" s="1158">
        <f t="shared" si="23"/>
        <v>3678.0343188000002</v>
      </c>
      <c r="H98" s="1157"/>
      <c r="I98" s="1158">
        <f t="shared" si="24"/>
        <v>8392.2920716799999</v>
      </c>
      <c r="J98" s="1157"/>
      <c r="K98" s="1158">
        <f t="shared" si="25"/>
        <v>47510.422599999998</v>
      </c>
      <c r="L98" s="1159"/>
      <c r="M98" s="1157">
        <f t="shared" si="26"/>
        <v>35440.422599999998</v>
      </c>
      <c r="N98" s="1157"/>
      <c r="O98" s="1157"/>
      <c r="P98" s="1158">
        <f t="shared" si="27"/>
        <v>3678.0343188000002</v>
      </c>
      <c r="Q98" s="1157"/>
      <c r="R98" s="1158">
        <f t="shared" si="28"/>
        <v>39118.456918799995</v>
      </c>
      <c r="S98" s="1135"/>
    </row>
    <row r="99" spans="2:19" ht="15.5" x14ac:dyDescent="0.35">
      <c r="B99" s="1162"/>
      <c r="C99" s="1163"/>
      <c r="D99" s="1155">
        <v>6</v>
      </c>
      <c r="E99" s="1156">
        <v>36960.202499999999</v>
      </c>
      <c r="F99" s="1157"/>
      <c r="G99" s="1158">
        <f t="shared" si="23"/>
        <v>3887.7639450000001</v>
      </c>
      <c r="H99" s="1157"/>
      <c r="I99" s="1158">
        <f t="shared" si="24"/>
        <v>8752.1759519999996</v>
      </c>
      <c r="J99" s="1157"/>
      <c r="K99" s="1158">
        <f t="shared" si="25"/>
        <v>49600.202499999999</v>
      </c>
      <c r="L99" s="1159"/>
      <c r="M99" s="1157">
        <f t="shared" si="26"/>
        <v>36960.202499999999</v>
      </c>
      <c r="N99" s="1157"/>
      <c r="O99" s="1157"/>
      <c r="P99" s="1158">
        <f t="shared" si="27"/>
        <v>3887.7639450000001</v>
      </c>
      <c r="Q99" s="1157"/>
      <c r="R99" s="1158">
        <f t="shared" si="28"/>
        <v>40847.966444999998</v>
      </c>
      <c r="S99" s="1135"/>
    </row>
    <row r="100" spans="2:19" ht="15.5" x14ac:dyDescent="0.35">
      <c r="B100" s="1166" t="s">
        <v>1042</v>
      </c>
      <c r="C100" s="1163"/>
      <c r="D100" s="1155"/>
      <c r="E100" s="1156"/>
      <c r="F100" s="1157"/>
      <c r="G100" s="1158"/>
      <c r="H100" s="1157"/>
      <c r="I100" s="1158"/>
      <c r="J100" s="1157"/>
      <c r="K100" s="1158"/>
      <c r="L100" s="1159"/>
      <c r="M100" s="1167" t="s">
        <v>1043</v>
      </c>
      <c r="N100" s="1157"/>
      <c r="O100" s="1157"/>
      <c r="P100" s="1158"/>
      <c r="Q100" s="1157"/>
      <c r="R100" s="1158"/>
      <c r="S100" s="1135"/>
    </row>
    <row r="101" spans="2:19" ht="15.5" x14ac:dyDescent="0.35">
      <c r="B101" s="1162"/>
      <c r="C101" s="1163" t="s">
        <v>1044</v>
      </c>
      <c r="D101" s="1155">
        <v>1</v>
      </c>
      <c r="E101" s="1156">
        <v>38689.485000000001</v>
      </c>
      <c r="F101" s="1157"/>
      <c r="G101" s="1158">
        <f>IF($M101&gt;$U$11,($E101-$U$11)*$W$11,"ERROR")</f>
        <v>4126.4049300000006</v>
      </c>
      <c r="H101" s="1157"/>
      <c r="I101" s="1158">
        <f>$E101*$V$13</f>
        <v>9161.670048</v>
      </c>
      <c r="J101" s="1157"/>
      <c r="K101" s="1158">
        <f>E101+ROUND(G101,0)+ROUND(I101,0)</f>
        <v>51977.485000000001</v>
      </c>
      <c r="L101" s="1159"/>
      <c r="M101" s="1157">
        <f>E101</f>
        <v>38689.485000000001</v>
      </c>
      <c r="N101" s="1157"/>
      <c r="O101" s="1157"/>
      <c r="P101" s="1158">
        <f>IF($M101&gt;$U$11,($M101-$U$11)*$W$11,"ERROR")</f>
        <v>4126.4049300000006</v>
      </c>
      <c r="Q101" s="1157"/>
      <c r="R101" s="1158">
        <f>SUM(M101:P101)</f>
        <v>42815.889930000005</v>
      </c>
      <c r="S101" s="1135"/>
    </row>
    <row r="102" spans="2:19" ht="15.5" x14ac:dyDescent="0.35">
      <c r="B102" s="1162"/>
      <c r="C102" s="1163" t="s">
        <v>1046</v>
      </c>
      <c r="D102" s="1155">
        <v>2</v>
      </c>
      <c r="E102" s="1156">
        <v>40123.875</v>
      </c>
      <c r="F102" s="1157"/>
      <c r="G102" s="1158">
        <f>IF($M102&gt;$U$11,($E102-$U$11)*$W$11,"ERROR")</f>
        <v>4324.3507500000005</v>
      </c>
      <c r="H102" s="1157"/>
      <c r="I102" s="1158">
        <f>$E102*$V$13</f>
        <v>9501.3335999999999</v>
      </c>
      <c r="J102" s="1157"/>
      <c r="K102" s="1158">
        <f>E102+ROUND(G102,0)+ROUND(I102,0)</f>
        <v>53948.875</v>
      </c>
      <c r="L102" s="1159"/>
      <c r="M102" s="1157">
        <f>E102</f>
        <v>40123.875</v>
      </c>
      <c r="N102" s="1157"/>
      <c r="O102" s="1157"/>
      <c r="P102" s="1158">
        <f>IF($M102&gt;$U$11,($M102-$U$11)*$W$11,"ERROR")</f>
        <v>4324.3507500000005</v>
      </c>
      <c r="Q102" s="1157"/>
      <c r="R102" s="1158">
        <f>SUM(M102:P102)</f>
        <v>44448.225749999998</v>
      </c>
      <c r="S102" s="1135"/>
    </row>
    <row r="103" spans="2:19" ht="15.5" x14ac:dyDescent="0.35">
      <c r="B103" s="1162"/>
      <c r="C103" s="1163"/>
      <c r="D103" s="1155">
        <v>3</v>
      </c>
      <c r="E103" s="1156">
        <v>41603.474999999999</v>
      </c>
      <c r="F103" s="1157"/>
      <c r="G103" s="1158">
        <f>IF($M103&gt;$U$11,($E103-$U$11)*$W$11,"ERROR")</f>
        <v>4528.5355500000005</v>
      </c>
      <c r="H103" s="1157"/>
      <c r="I103" s="1158">
        <f>$E103*$V$13</f>
        <v>9851.7028800000007</v>
      </c>
      <c r="J103" s="1157"/>
      <c r="K103" s="1158">
        <f>E103+ROUND(G103,0)+ROUND(I103,0)</f>
        <v>55984.474999999999</v>
      </c>
      <c r="L103" s="1159"/>
      <c r="M103" s="1157">
        <f>E103</f>
        <v>41603.474999999999</v>
      </c>
      <c r="N103" s="1157"/>
      <c r="O103" s="1157"/>
      <c r="P103" s="1158">
        <f>IF($M103&gt;$U$11,($M103-$U$11)*$W$11,"ERROR")</f>
        <v>4528.5355500000005</v>
      </c>
      <c r="Q103" s="1157"/>
      <c r="R103" s="1158">
        <f>SUM(M103:P103)</f>
        <v>46132.010549999999</v>
      </c>
      <c r="S103" s="1135"/>
    </row>
    <row r="104" spans="2:19" ht="15.5" x14ac:dyDescent="0.35">
      <c r="B104" s="1162"/>
      <c r="C104" s="1163"/>
      <c r="D104" s="1155"/>
      <c r="E104" s="1156"/>
      <c r="F104" s="1157"/>
      <c r="G104" s="1158"/>
      <c r="H104" s="1157"/>
      <c r="I104" s="1158"/>
      <c r="J104" s="1157"/>
      <c r="K104" s="1158"/>
      <c r="L104" s="1159"/>
      <c r="M104" s="1157"/>
      <c r="N104" s="1157"/>
      <c r="O104" s="1157"/>
      <c r="P104" s="1158"/>
      <c r="Q104" s="1157"/>
      <c r="R104" s="1158"/>
      <c r="S104" s="1135"/>
    </row>
    <row r="105" spans="2:19" ht="15.5" x14ac:dyDescent="0.35">
      <c r="B105" s="1166" t="s">
        <v>1049</v>
      </c>
      <c r="C105" s="1163"/>
      <c r="D105" s="1155"/>
      <c r="E105" s="1156"/>
      <c r="F105" s="1157"/>
      <c r="G105" s="1158"/>
      <c r="H105" s="1157"/>
      <c r="I105" s="1158"/>
      <c r="J105" s="1157"/>
      <c r="K105" s="1158"/>
      <c r="L105" s="1159"/>
      <c r="M105" s="1167" t="s">
        <v>1043</v>
      </c>
      <c r="N105" s="1157"/>
      <c r="O105" s="1157"/>
      <c r="P105" s="1158"/>
      <c r="Q105" s="1157"/>
      <c r="R105" s="1158"/>
      <c r="S105" s="1135"/>
    </row>
    <row r="106" spans="2:19" ht="15.5" x14ac:dyDescent="0.35">
      <c r="B106" s="1168"/>
      <c r="C106" s="1163"/>
      <c r="D106" s="1132"/>
      <c r="E106" s="1156"/>
      <c r="F106" s="1157"/>
      <c r="G106" s="1158"/>
      <c r="H106" s="1157"/>
      <c r="I106" s="1158"/>
      <c r="J106" s="1157"/>
      <c r="K106" s="1158"/>
      <c r="L106" s="1159"/>
      <c r="M106" s="1157"/>
      <c r="N106" s="1157"/>
      <c r="O106" s="1157"/>
      <c r="P106" s="1158"/>
      <c r="Q106" s="1157"/>
      <c r="R106" s="1158"/>
      <c r="S106" s="1135"/>
    </row>
    <row r="107" spans="2:19" ht="15.5" x14ac:dyDescent="0.35">
      <c r="B107" s="1169" t="s">
        <v>1052</v>
      </c>
      <c r="C107" s="1163" t="s">
        <v>1053</v>
      </c>
      <c r="D107" s="1170">
        <v>1</v>
      </c>
      <c r="E107" s="1156">
        <v>18168.255000000001</v>
      </c>
      <c r="F107" s="1157"/>
      <c r="G107" s="1158">
        <f t="shared" ref="G107:G112" si="29">IF($M107&gt;$U$11,($E107-$U$11)*$W$11,"ERROR")</f>
        <v>1294.4751900000003</v>
      </c>
      <c r="H107" s="1157"/>
      <c r="I107" s="1158">
        <f t="shared" ref="I107:I112" si="30">$E107*$V$13</f>
        <v>4302.242784</v>
      </c>
      <c r="J107" s="1157"/>
      <c r="K107" s="1158">
        <f t="shared" ref="K107:K112" si="31">E107+ROUND(G107,0)+ROUND(I107,0)</f>
        <v>23764.255000000001</v>
      </c>
      <c r="L107" s="1159"/>
      <c r="M107" s="1157">
        <f t="shared" ref="M107:M112" si="32">E107</f>
        <v>18168.255000000001</v>
      </c>
      <c r="N107" s="1157"/>
      <c r="O107" s="1157"/>
      <c r="P107" s="1158">
        <f t="shared" ref="P107:P112" si="33">IF($M107&gt;$U$11,($M107-$U$11)*$W$11,"ERROR")</f>
        <v>1294.4751900000003</v>
      </c>
      <c r="Q107" s="1157"/>
      <c r="R107" s="1158">
        <f t="shared" ref="R107:R112" si="34">SUM(M107:P107)</f>
        <v>19462.730190000002</v>
      </c>
      <c r="S107" s="1135"/>
    </row>
    <row r="108" spans="2:19" ht="15.5" x14ac:dyDescent="0.35">
      <c r="B108" s="1169" t="s">
        <v>1054</v>
      </c>
      <c r="C108" s="1163" t="s">
        <v>1055</v>
      </c>
      <c r="D108" s="1170">
        <v>2</v>
      </c>
      <c r="E108" s="1156">
        <v>20281.822499999998</v>
      </c>
      <c r="F108" s="1157"/>
      <c r="G108" s="1158">
        <f t="shared" si="29"/>
        <v>1586.1475049999999</v>
      </c>
      <c r="H108" s="1157"/>
      <c r="I108" s="1158">
        <f t="shared" si="30"/>
        <v>4802.7355680000001</v>
      </c>
      <c r="J108" s="1157"/>
      <c r="K108" s="1158">
        <f t="shared" si="31"/>
        <v>26670.822499999998</v>
      </c>
      <c r="L108" s="1159"/>
      <c r="M108" s="1157">
        <f t="shared" si="32"/>
        <v>20281.822499999998</v>
      </c>
      <c r="N108" s="1157"/>
      <c r="O108" s="1157"/>
      <c r="P108" s="1158">
        <f t="shared" si="33"/>
        <v>1586.1475049999999</v>
      </c>
      <c r="Q108" s="1157"/>
      <c r="R108" s="1158">
        <f t="shared" si="34"/>
        <v>21867.970004999999</v>
      </c>
      <c r="S108" s="1135"/>
    </row>
    <row r="109" spans="2:19" ht="15.5" x14ac:dyDescent="0.35">
      <c r="B109" s="1171"/>
      <c r="C109" s="1163"/>
      <c r="D109" s="1170">
        <v>3</v>
      </c>
      <c r="E109" s="1156">
        <v>22393.334999999999</v>
      </c>
      <c r="F109" s="1157"/>
      <c r="G109" s="1158">
        <f t="shared" si="29"/>
        <v>1877.5362299999999</v>
      </c>
      <c r="H109" s="1157"/>
      <c r="I109" s="1158">
        <f t="shared" si="30"/>
        <v>5302.741728</v>
      </c>
      <c r="J109" s="1157"/>
      <c r="K109" s="1158">
        <f t="shared" si="31"/>
        <v>29574.334999999999</v>
      </c>
      <c r="L109" s="1159"/>
      <c r="M109" s="1157">
        <f t="shared" si="32"/>
        <v>22393.334999999999</v>
      </c>
      <c r="N109" s="1157"/>
      <c r="O109" s="1157"/>
      <c r="P109" s="1158">
        <f t="shared" si="33"/>
        <v>1877.5362299999999</v>
      </c>
      <c r="Q109" s="1157"/>
      <c r="R109" s="1158">
        <f t="shared" si="34"/>
        <v>24270.871230000001</v>
      </c>
      <c r="S109" s="1135"/>
    </row>
    <row r="110" spans="2:19" ht="15.5" x14ac:dyDescent="0.35">
      <c r="B110" s="1171"/>
      <c r="C110" s="1163"/>
      <c r="D110" s="1170">
        <v>4</v>
      </c>
      <c r="E110" s="1156">
        <v>24506.9025</v>
      </c>
      <c r="F110" s="1157"/>
      <c r="G110" s="1158">
        <f t="shared" si="29"/>
        <v>2169.2085450000004</v>
      </c>
      <c r="H110" s="1157"/>
      <c r="I110" s="1158">
        <f t="shared" si="30"/>
        <v>5803.234512</v>
      </c>
      <c r="J110" s="1157"/>
      <c r="K110" s="1158">
        <f t="shared" si="31"/>
        <v>32478.9025</v>
      </c>
      <c r="L110" s="1159"/>
      <c r="M110" s="1157">
        <f t="shared" si="32"/>
        <v>24506.9025</v>
      </c>
      <c r="N110" s="1157"/>
      <c r="O110" s="1157"/>
      <c r="P110" s="1158">
        <f t="shared" si="33"/>
        <v>2169.2085450000004</v>
      </c>
      <c r="Q110" s="1157"/>
      <c r="R110" s="1158">
        <f t="shared" si="34"/>
        <v>26676.111045000001</v>
      </c>
      <c r="S110" s="1135"/>
    </row>
    <row r="111" spans="2:19" ht="15.5" x14ac:dyDescent="0.35">
      <c r="B111" s="1168"/>
      <c r="C111" s="1163"/>
      <c r="D111" s="1170">
        <v>5</v>
      </c>
      <c r="E111" s="1156">
        <v>26621.497499999998</v>
      </c>
      <c r="F111" s="1157"/>
      <c r="G111" s="1158">
        <f t="shared" si="29"/>
        <v>2461.0226549999998</v>
      </c>
      <c r="H111" s="1157"/>
      <c r="I111" s="1158">
        <f t="shared" si="30"/>
        <v>6303.9706079999996</v>
      </c>
      <c r="J111" s="1157"/>
      <c r="K111" s="1158">
        <f t="shared" si="31"/>
        <v>35386.497499999998</v>
      </c>
      <c r="L111" s="1159"/>
      <c r="M111" s="1157">
        <f t="shared" si="32"/>
        <v>26621.497499999998</v>
      </c>
      <c r="N111" s="1157"/>
      <c r="O111" s="1157"/>
      <c r="P111" s="1158">
        <f t="shared" si="33"/>
        <v>2461.0226549999998</v>
      </c>
      <c r="Q111" s="1157"/>
      <c r="R111" s="1158">
        <f t="shared" si="34"/>
        <v>29082.520154999998</v>
      </c>
      <c r="S111" s="1135"/>
    </row>
    <row r="112" spans="2:19" ht="15.5" x14ac:dyDescent="0.35">
      <c r="B112" s="1168"/>
      <c r="C112" s="1163"/>
      <c r="D112" s="1170">
        <v>6</v>
      </c>
      <c r="E112" s="1156">
        <v>28734.037499999999</v>
      </c>
      <c r="F112" s="1157"/>
      <c r="G112" s="1158">
        <f t="shared" si="29"/>
        <v>2752.553175</v>
      </c>
      <c r="H112" s="1157"/>
      <c r="I112" s="1158">
        <f t="shared" si="30"/>
        <v>6804.2200800000001</v>
      </c>
      <c r="J112" s="1157"/>
      <c r="K112" s="1158">
        <f t="shared" si="31"/>
        <v>38291.037499999999</v>
      </c>
      <c r="L112" s="1159"/>
      <c r="M112" s="1157">
        <f t="shared" si="32"/>
        <v>28734.037499999999</v>
      </c>
      <c r="N112" s="1157"/>
      <c r="O112" s="1157"/>
      <c r="P112" s="1158">
        <f t="shared" si="33"/>
        <v>2752.553175</v>
      </c>
      <c r="Q112" s="1157"/>
      <c r="R112" s="1158">
        <f t="shared" si="34"/>
        <v>31486.590674999999</v>
      </c>
      <c r="S112" s="1135"/>
    </row>
    <row r="113" spans="2:19" ht="15.5" x14ac:dyDescent="0.35">
      <c r="B113" s="1168"/>
      <c r="C113" s="1163"/>
      <c r="D113" s="1170"/>
      <c r="E113" s="1172"/>
      <c r="F113" s="1173"/>
      <c r="G113" s="1172"/>
      <c r="H113" s="1173"/>
      <c r="I113" s="1172"/>
      <c r="J113" s="1173"/>
      <c r="K113" s="1172"/>
      <c r="L113" s="1174"/>
      <c r="M113" s="1173"/>
      <c r="N113" s="1173"/>
      <c r="O113" s="1173"/>
      <c r="P113" s="1172"/>
      <c r="Q113" s="1173"/>
      <c r="R113" s="1172"/>
      <c r="S113" s="1135"/>
    </row>
    <row r="114" spans="2:19" ht="15.5" x14ac:dyDescent="0.35">
      <c r="B114" s="1168"/>
      <c r="C114" s="1163"/>
      <c r="D114" s="1170"/>
      <c r="E114" s="1172"/>
      <c r="F114" s="1173"/>
      <c r="G114" s="1172"/>
      <c r="H114" s="1173"/>
      <c r="I114" s="1172"/>
      <c r="J114" s="1173"/>
      <c r="K114" s="1172"/>
      <c r="L114" s="1174"/>
      <c r="M114" s="1173"/>
      <c r="N114" s="1173"/>
      <c r="O114" s="1173"/>
      <c r="P114" s="1172"/>
      <c r="Q114" s="1173"/>
      <c r="R114" s="1172"/>
      <c r="S114" s="1135"/>
    </row>
    <row r="115" spans="2:19" ht="16" thickBot="1" x14ac:dyDescent="0.4">
      <c r="B115" s="1175"/>
      <c r="C115" s="1176"/>
      <c r="D115" s="1177"/>
      <c r="E115" s="1178"/>
      <c r="F115" s="1179"/>
      <c r="G115" s="1178"/>
      <c r="H115" s="1179"/>
      <c r="I115" s="1178"/>
      <c r="J115" s="1179"/>
      <c r="K115" s="1178"/>
      <c r="L115" s="1180"/>
      <c r="M115" s="1181"/>
      <c r="N115" s="1179"/>
      <c r="O115" s="1179"/>
      <c r="P115" s="1178"/>
      <c r="Q115" s="1179"/>
      <c r="R115" s="1178"/>
      <c r="S115" s="1148"/>
    </row>
    <row r="118" spans="2:19" ht="15.5" x14ac:dyDescent="0.35">
      <c r="B118" s="1128"/>
      <c r="C118" s="1129"/>
      <c r="D118" s="1129"/>
      <c r="E118" s="1130" t="s">
        <v>1030</v>
      </c>
      <c r="F118" s="1131"/>
      <c r="G118" s="1130"/>
      <c r="H118" s="1131"/>
      <c r="I118" s="1130"/>
      <c r="J118" s="1131"/>
      <c r="K118" s="1130"/>
      <c r="L118" s="1132"/>
      <c r="M118" s="1133" t="s">
        <v>1031</v>
      </c>
      <c r="N118" s="1134"/>
      <c r="O118" s="1134"/>
      <c r="P118" s="1134"/>
      <c r="Q118" s="1134"/>
      <c r="R118" s="1134"/>
      <c r="S118" s="1135"/>
    </row>
    <row r="119" spans="2:19" ht="15.5" x14ac:dyDescent="0.35">
      <c r="B119" s="1128"/>
      <c r="C119" s="1136" t="s">
        <v>1032</v>
      </c>
      <c r="D119" s="1136" t="s">
        <v>1033</v>
      </c>
      <c r="E119" s="1137" t="s">
        <v>1034</v>
      </c>
      <c r="F119" s="1136"/>
      <c r="G119" s="1138" t="s">
        <v>1035</v>
      </c>
      <c r="H119" s="1136"/>
      <c r="I119" s="1137" t="s">
        <v>1036</v>
      </c>
      <c r="J119" s="1136"/>
      <c r="K119" s="1137" t="s">
        <v>62</v>
      </c>
      <c r="L119" s="1139"/>
      <c r="M119" s="1140" t="s">
        <v>1034</v>
      </c>
      <c r="N119" s="1136"/>
      <c r="O119" s="1136"/>
      <c r="P119" s="1138" t="s">
        <v>1035</v>
      </c>
      <c r="Q119" s="1136"/>
      <c r="R119" s="1141" t="s">
        <v>62</v>
      </c>
      <c r="S119" s="1135"/>
    </row>
    <row r="120" spans="2:19" ht="16" thickBot="1" x14ac:dyDescent="0.4">
      <c r="B120" s="1145"/>
      <c r="C120" s="1146"/>
      <c r="D120" s="1146"/>
      <c r="E120" s="1146"/>
      <c r="F120" s="1146"/>
      <c r="G120" s="1146"/>
      <c r="H120" s="1146"/>
      <c r="I120" s="1146"/>
      <c r="J120" s="1146"/>
      <c r="K120" s="1146"/>
      <c r="L120" s="1146"/>
      <c r="M120" s="1147"/>
      <c r="N120" s="1146"/>
      <c r="O120" s="1146"/>
      <c r="P120" s="1146"/>
      <c r="Q120" s="1146"/>
      <c r="R120" s="1146"/>
      <c r="S120" s="1148"/>
    </row>
    <row r="121" spans="2:19" ht="15.5" x14ac:dyDescent="0.35">
      <c r="B121" s="1151"/>
      <c r="C121" s="1152"/>
      <c r="D121" s="1152"/>
      <c r="E121" s="1152"/>
      <c r="F121" s="1152"/>
      <c r="G121" s="1152"/>
      <c r="H121" s="1152"/>
      <c r="I121" s="1152"/>
      <c r="J121" s="1152"/>
      <c r="K121" s="1152"/>
      <c r="L121" s="1153"/>
      <c r="M121" s="1152"/>
      <c r="N121" s="1152"/>
      <c r="O121" s="1152"/>
      <c r="P121" s="1152"/>
      <c r="Q121" s="1152"/>
      <c r="R121" s="1152"/>
      <c r="S121" s="1153"/>
    </row>
    <row r="122" spans="2:19" ht="15.5" x14ac:dyDescent="0.35">
      <c r="B122" s="1128"/>
      <c r="C122" s="1154" t="s">
        <v>1037</v>
      </c>
      <c r="D122" s="1155">
        <v>1</v>
      </c>
      <c r="E122" s="1156">
        <v>25713.514999999999</v>
      </c>
      <c r="F122" s="1157"/>
      <c r="G122" s="1158">
        <f t="shared" ref="G122:G127" si="35">IF($M122&gt;$U$11,($E122-$U$11)*$W$11,"ERROR")</f>
        <v>2335.7210700000001</v>
      </c>
      <c r="H122" s="1157"/>
      <c r="I122" s="1158">
        <f t="shared" ref="I122:I127" si="36">$E122*$V$13</f>
        <v>6088.9603520000001</v>
      </c>
      <c r="J122" s="1157"/>
      <c r="K122" s="1158">
        <f t="shared" ref="K122:K127" si="37">E122+ROUND(G122,0)+ROUND(I122,0)</f>
        <v>34138.514999999999</v>
      </c>
      <c r="L122" s="1159"/>
      <c r="M122" s="1157">
        <f t="shared" ref="M122:M127" si="38">E122</f>
        <v>25713.514999999999</v>
      </c>
      <c r="N122" s="1157"/>
      <c r="O122" s="1157"/>
      <c r="P122" s="1158">
        <f t="shared" ref="P122:P127" si="39">IF($M122&gt;$U$11,($M122-$U$11)*$W$11,"ERROR")</f>
        <v>2335.7210700000001</v>
      </c>
      <c r="Q122" s="1157"/>
      <c r="R122" s="1158">
        <f t="shared" ref="R122:R127" si="40">SUM(M122:P122)</f>
        <v>28049.236069999999</v>
      </c>
      <c r="S122" s="1135"/>
    </row>
    <row r="123" spans="2:19" ht="15.5" x14ac:dyDescent="0.35">
      <c r="B123" s="1162"/>
      <c r="C123" s="1163"/>
      <c r="D123" s="1155">
        <v>2</v>
      </c>
      <c r="E123" s="1156">
        <v>27599.751000000004</v>
      </c>
      <c r="F123" s="1157"/>
      <c r="G123" s="1158">
        <f t="shared" si="35"/>
        <v>2596.0216380000006</v>
      </c>
      <c r="H123" s="1157"/>
      <c r="I123" s="1158">
        <f t="shared" si="36"/>
        <v>6535.6210368000011</v>
      </c>
      <c r="J123" s="1157"/>
      <c r="K123" s="1158">
        <f t="shared" si="37"/>
        <v>36731.751000000004</v>
      </c>
      <c r="L123" s="1159"/>
      <c r="M123" s="1157">
        <f t="shared" si="38"/>
        <v>27599.751000000004</v>
      </c>
      <c r="N123" s="1157"/>
      <c r="O123" s="1157"/>
      <c r="P123" s="1158">
        <f t="shared" si="39"/>
        <v>2596.0216380000006</v>
      </c>
      <c r="Q123" s="1157"/>
      <c r="R123" s="1158">
        <f t="shared" si="40"/>
        <v>30195.772638000006</v>
      </c>
      <c r="S123" s="1135"/>
    </row>
    <row r="124" spans="2:19" ht="15.5" x14ac:dyDescent="0.35">
      <c r="B124" s="1162"/>
      <c r="C124" s="1163"/>
      <c r="D124" s="1155">
        <v>3</v>
      </c>
      <c r="E124" s="1156">
        <v>29663.172000000002</v>
      </c>
      <c r="F124" s="1157"/>
      <c r="G124" s="1158">
        <f>IF($M124&gt;$U$11,($E124-$U$11)*$W$11,"ERROR")</f>
        <v>2880.7737360000006</v>
      </c>
      <c r="H124" s="1157"/>
      <c r="I124" s="1158">
        <f t="shared" si="36"/>
        <v>7024.2391296000005</v>
      </c>
      <c r="J124" s="1157"/>
      <c r="K124" s="1158">
        <f t="shared" si="37"/>
        <v>39568.172000000006</v>
      </c>
      <c r="L124" s="1159"/>
      <c r="M124" s="1157">
        <f t="shared" si="38"/>
        <v>29663.172000000002</v>
      </c>
      <c r="N124" s="1157"/>
      <c r="O124" s="1157"/>
      <c r="P124" s="1158">
        <f t="shared" si="39"/>
        <v>2880.7737360000006</v>
      </c>
      <c r="Q124" s="1157"/>
      <c r="R124" s="1158">
        <f t="shared" si="40"/>
        <v>32543.945736000001</v>
      </c>
      <c r="S124" s="1135"/>
    </row>
    <row r="125" spans="2:19" ht="15.5" x14ac:dyDescent="0.35">
      <c r="B125" s="1162"/>
      <c r="C125" s="1163"/>
      <c r="D125" s="1155">
        <v>4</v>
      </c>
      <c r="E125" s="1156">
        <v>31777.0615</v>
      </c>
      <c r="F125" s="1157"/>
      <c r="G125" s="1158">
        <f t="shared" si="35"/>
        <v>3172.490487</v>
      </c>
      <c r="H125" s="1157"/>
      <c r="I125" s="1158">
        <f t="shared" si="36"/>
        <v>7524.8081632000003</v>
      </c>
      <c r="J125" s="1157"/>
      <c r="K125" s="1158">
        <f t="shared" si="37"/>
        <v>42474.061499999996</v>
      </c>
      <c r="L125" s="1159"/>
      <c r="M125" s="1157">
        <f t="shared" si="38"/>
        <v>31777.0615</v>
      </c>
      <c r="N125" s="1157"/>
      <c r="O125" s="1157"/>
      <c r="P125" s="1158">
        <f t="shared" si="39"/>
        <v>3172.490487</v>
      </c>
      <c r="Q125" s="1157"/>
      <c r="R125" s="1158">
        <f t="shared" si="40"/>
        <v>34949.551986999999</v>
      </c>
      <c r="S125" s="1135"/>
    </row>
    <row r="126" spans="2:19" ht="15.5" x14ac:dyDescent="0.35">
      <c r="B126" s="1162"/>
      <c r="C126" s="1163"/>
      <c r="D126" s="1155">
        <v>5</v>
      </c>
      <c r="E126" s="1455">
        <f>34099.33-((34099.33-E125)*0.29)+E53</f>
        <v>35695.872134999998</v>
      </c>
      <c r="F126" s="1157"/>
      <c r="G126" s="1158">
        <f t="shared" si="35"/>
        <v>3713.28635463</v>
      </c>
      <c r="H126" s="1157"/>
      <c r="I126" s="1158">
        <f t="shared" si="36"/>
        <v>8452.7825215680004</v>
      </c>
      <c r="J126" s="1157"/>
      <c r="K126" s="1158">
        <f t="shared" si="37"/>
        <v>47861.872134999998</v>
      </c>
      <c r="L126" s="1159"/>
      <c r="M126" s="1157">
        <f t="shared" si="38"/>
        <v>35695.872134999998</v>
      </c>
      <c r="N126" s="1157"/>
      <c r="O126" s="1157"/>
      <c r="P126" s="1158">
        <f t="shared" si="39"/>
        <v>3713.28635463</v>
      </c>
      <c r="Q126" s="1157"/>
      <c r="R126" s="1158">
        <f t="shared" si="40"/>
        <v>39409.158489629997</v>
      </c>
      <c r="S126" s="1135"/>
    </row>
    <row r="127" spans="2:19" ht="15.5" x14ac:dyDescent="0.35">
      <c r="B127" s="1162"/>
      <c r="C127" s="1163"/>
      <c r="D127" s="1155">
        <v>6</v>
      </c>
      <c r="E127" s="1156">
        <v>36960.202499999999</v>
      </c>
      <c r="F127" s="1157"/>
      <c r="G127" s="1158">
        <f t="shared" si="35"/>
        <v>3887.7639450000001</v>
      </c>
      <c r="H127" s="1157"/>
      <c r="I127" s="1158">
        <f t="shared" si="36"/>
        <v>8752.1759519999996</v>
      </c>
      <c r="J127" s="1157"/>
      <c r="K127" s="1158">
        <f t="shared" si="37"/>
        <v>49600.202499999999</v>
      </c>
      <c r="L127" s="1159"/>
      <c r="M127" s="1157">
        <f t="shared" si="38"/>
        <v>36960.202499999999</v>
      </c>
      <c r="N127" s="1157"/>
      <c r="O127" s="1157"/>
      <c r="P127" s="1158">
        <f t="shared" si="39"/>
        <v>3887.7639450000001</v>
      </c>
      <c r="Q127" s="1157"/>
      <c r="R127" s="1158">
        <f t="shared" si="40"/>
        <v>40847.966444999998</v>
      </c>
      <c r="S127" s="1135"/>
    </row>
    <row r="128" spans="2:19" ht="15.5" x14ac:dyDescent="0.35">
      <c r="B128" s="1166" t="s">
        <v>1042</v>
      </c>
      <c r="C128" s="1163"/>
      <c r="D128" s="1155"/>
      <c r="E128" s="1156"/>
      <c r="F128" s="1157"/>
      <c r="G128" s="1158"/>
      <c r="H128" s="1157"/>
      <c r="I128" s="1158"/>
      <c r="J128" s="1157"/>
      <c r="K128" s="1158"/>
      <c r="L128" s="1159"/>
      <c r="M128" s="1167" t="s">
        <v>1043</v>
      </c>
      <c r="N128" s="1157"/>
      <c r="O128" s="1157"/>
      <c r="P128" s="1158"/>
      <c r="Q128" s="1157"/>
      <c r="R128" s="1158"/>
      <c r="S128" s="1135"/>
    </row>
    <row r="129" spans="2:19" ht="15.5" x14ac:dyDescent="0.35">
      <c r="B129" s="1162"/>
      <c r="C129" s="1163" t="s">
        <v>1044</v>
      </c>
      <c r="D129" s="1155">
        <v>1</v>
      </c>
      <c r="E129" s="1156">
        <v>38689.485000000001</v>
      </c>
      <c r="F129" s="1157"/>
      <c r="G129" s="1158">
        <f>IF($M129&gt;$U$11,($E129-$U$11)*$W$11,"ERROR")</f>
        <v>4126.4049300000006</v>
      </c>
      <c r="H129" s="1157"/>
      <c r="I129" s="1158">
        <f>$E129*$V$13</f>
        <v>9161.670048</v>
      </c>
      <c r="J129" s="1157"/>
      <c r="K129" s="1158">
        <f>E129+ROUND(G129,0)+ROUND(I129,0)</f>
        <v>51977.485000000001</v>
      </c>
      <c r="L129" s="1159"/>
      <c r="M129" s="1157">
        <f>E129</f>
        <v>38689.485000000001</v>
      </c>
      <c r="N129" s="1157"/>
      <c r="O129" s="1157"/>
      <c r="P129" s="1158">
        <f>IF($M129&gt;$U$11,($M129-$U$11)*$W$11,"ERROR")</f>
        <v>4126.4049300000006</v>
      </c>
      <c r="Q129" s="1157"/>
      <c r="R129" s="1158">
        <f>SUM(M129:P129)</f>
        <v>42815.889930000005</v>
      </c>
      <c r="S129" s="1135"/>
    </row>
    <row r="130" spans="2:19" ht="15.5" x14ac:dyDescent="0.35">
      <c r="B130" s="1162"/>
      <c r="C130" s="1163" t="s">
        <v>1046</v>
      </c>
      <c r="D130" s="1155">
        <v>2</v>
      </c>
      <c r="E130" s="1156">
        <v>40123.875</v>
      </c>
      <c r="F130" s="1157"/>
      <c r="G130" s="1158">
        <f>IF($M130&gt;$U$11,($E130-$U$11)*$W$11,"ERROR")</f>
        <v>4324.3507500000005</v>
      </c>
      <c r="H130" s="1157"/>
      <c r="I130" s="1158">
        <f>$E130*$V$13</f>
        <v>9501.3335999999999</v>
      </c>
      <c r="J130" s="1157"/>
      <c r="K130" s="1158">
        <f>E130+ROUND(G130,0)+ROUND(I130,0)</f>
        <v>53948.875</v>
      </c>
      <c r="L130" s="1159"/>
      <c r="M130" s="1157">
        <f>E130</f>
        <v>40123.875</v>
      </c>
      <c r="N130" s="1157"/>
      <c r="O130" s="1157"/>
      <c r="P130" s="1158">
        <f>IF($M130&gt;$U$11,($M130-$U$11)*$W$11,"ERROR")</f>
        <v>4324.3507500000005</v>
      </c>
      <c r="Q130" s="1157"/>
      <c r="R130" s="1158">
        <f>SUM(M130:P130)</f>
        <v>44448.225749999998</v>
      </c>
      <c r="S130" s="1135"/>
    </row>
    <row r="131" spans="2:19" ht="15.5" x14ac:dyDescent="0.35">
      <c r="B131" s="1162"/>
      <c r="C131" s="1163"/>
      <c r="D131" s="1155">
        <v>3</v>
      </c>
      <c r="E131" s="1156">
        <v>41603.474999999999</v>
      </c>
      <c r="F131" s="1157"/>
      <c r="G131" s="1158">
        <f>IF($M131&gt;$U$11,($E131-$U$11)*$W$11,"ERROR")</f>
        <v>4528.5355500000005</v>
      </c>
      <c r="H131" s="1157"/>
      <c r="I131" s="1158">
        <f>$E131*$V$13</f>
        <v>9851.7028800000007</v>
      </c>
      <c r="J131" s="1157"/>
      <c r="K131" s="1158">
        <f>E131+ROUND(G131,0)+ROUND(I131,0)</f>
        <v>55984.474999999999</v>
      </c>
      <c r="L131" s="1159"/>
      <c r="M131" s="1157">
        <f>E131</f>
        <v>41603.474999999999</v>
      </c>
      <c r="N131" s="1157"/>
      <c r="O131" s="1157"/>
      <c r="P131" s="1158">
        <f>IF($M131&gt;$U$11,($M131-$U$11)*$W$11,"ERROR")</f>
        <v>4528.5355500000005</v>
      </c>
      <c r="Q131" s="1157"/>
      <c r="R131" s="1158">
        <f>SUM(M131:P131)</f>
        <v>46132.010549999999</v>
      </c>
      <c r="S131" s="1135"/>
    </row>
    <row r="132" spans="2:19" ht="15.5" x14ac:dyDescent="0.35">
      <c r="B132" s="1162"/>
      <c r="C132" s="1163"/>
      <c r="D132" s="1155"/>
      <c r="E132" s="1156"/>
      <c r="F132" s="1157"/>
      <c r="G132" s="1158"/>
      <c r="H132" s="1157"/>
      <c r="I132" s="1158"/>
      <c r="J132" s="1157"/>
      <c r="K132" s="1158"/>
      <c r="L132" s="1159"/>
      <c r="M132" s="1157"/>
      <c r="N132" s="1157"/>
      <c r="O132" s="1157"/>
      <c r="P132" s="1158"/>
      <c r="Q132" s="1157"/>
      <c r="R132" s="1158"/>
      <c r="S132" s="1135"/>
    </row>
    <row r="133" spans="2:19" ht="15.5" x14ac:dyDescent="0.35">
      <c r="B133" s="1166" t="s">
        <v>1049</v>
      </c>
      <c r="C133" s="1163"/>
      <c r="D133" s="1155"/>
      <c r="E133" s="1156"/>
      <c r="F133" s="1157"/>
      <c r="G133" s="1158"/>
      <c r="H133" s="1157"/>
      <c r="I133" s="1158"/>
      <c r="J133" s="1157"/>
      <c r="K133" s="1158"/>
      <c r="L133" s="1159"/>
      <c r="M133" s="1167" t="s">
        <v>1043</v>
      </c>
      <c r="N133" s="1157"/>
      <c r="O133" s="1157"/>
      <c r="P133" s="1158"/>
      <c r="Q133" s="1157"/>
      <c r="R133" s="1158"/>
      <c r="S133" s="1135"/>
    </row>
    <row r="134" spans="2:19" ht="15.5" x14ac:dyDescent="0.35">
      <c r="B134" s="1168"/>
      <c r="C134" s="1163"/>
      <c r="D134" s="1132"/>
      <c r="E134" s="1156"/>
      <c r="F134" s="1157"/>
      <c r="G134" s="1158"/>
      <c r="H134" s="1157"/>
      <c r="I134" s="1158"/>
      <c r="J134" s="1157"/>
      <c r="K134" s="1158"/>
      <c r="L134" s="1159"/>
      <c r="M134" s="1157"/>
      <c r="N134" s="1157"/>
      <c r="O134" s="1157"/>
      <c r="P134" s="1158"/>
      <c r="Q134" s="1157"/>
      <c r="R134" s="1158"/>
      <c r="S134" s="1135"/>
    </row>
    <row r="135" spans="2:19" ht="15.5" x14ac:dyDescent="0.35">
      <c r="B135" s="1169" t="s">
        <v>1052</v>
      </c>
      <c r="C135" s="1163" t="s">
        <v>1053</v>
      </c>
      <c r="D135" s="1170">
        <v>1</v>
      </c>
      <c r="E135" s="1156">
        <v>18168.255000000001</v>
      </c>
      <c r="F135" s="1157"/>
      <c r="G135" s="1158">
        <f t="shared" ref="G135:G140" si="41">IF($M135&gt;$U$11,($E135-$U$11)*$W$11,"ERROR")</f>
        <v>1294.4751900000003</v>
      </c>
      <c r="H135" s="1157"/>
      <c r="I135" s="1158">
        <f t="shared" ref="I135:I140" si="42">$E135*$V$13</f>
        <v>4302.242784</v>
      </c>
      <c r="J135" s="1157"/>
      <c r="K135" s="1158">
        <f t="shared" ref="K135:K140" si="43">E135+ROUND(G135,0)+ROUND(I135,0)</f>
        <v>23764.255000000001</v>
      </c>
      <c r="L135" s="1159"/>
      <c r="M135" s="1157">
        <f t="shared" ref="M135:M140" si="44">E135</f>
        <v>18168.255000000001</v>
      </c>
      <c r="N135" s="1157"/>
      <c r="O135" s="1157"/>
      <c r="P135" s="1158">
        <f t="shared" ref="P135:P140" si="45">IF($M135&gt;$U$11,($M135-$U$11)*$W$11,"ERROR")</f>
        <v>1294.4751900000003</v>
      </c>
      <c r="Q135" s="1157"/>
      <c r="R135" s="1158">
        <f t="shared" ref="R135:R140" si="46">SUM(M135:P135)</f>
        <v>19462.730190000002</v>
      </c>
      <c r="S135" s="1135"/>
    </row>
    <row r="136" spans="2:19" ht="15.5" x14ac:dyDescent="0.35">
      <c r="B136" s="1169" t="s">
        <v>1054</v>
      </c>
      <c r="C136" s="1163" t="s">
        <v>1055</v>
      </c>
      <c r="D136" s="1170">
        <v>2</v>
      </c>
      <c r="E136" s="1156">
        <v>20281.822499999998</v>
      </c>
      <c r="F136" s="1157"/>
      <c r="G136" s="1158">
        <f t="shared" si="41"/>
        <v>1586.1475049999999</v>
      </c>
      <c r="H136" s="1157"/>
      <c r="I136" s="1158">
        <f t="shared" si="42"/>
        <v>4802.7355680000001</v>
      </c>
      <c r="J136" s="1157"/>
      <c r="K136" s="1158">
        <f t="shared" si="43"/>
        <v>26670.822499999998</v>
      </c>
      <c r="L136" s="1159"/>
      <c r="M136" s="1157">
        <f t="shared" si="44"/>
        <v>20281.822499999998</v>
      </c>
      <c r="N136" s="1157"/>
      <c r="O136" s="1157"/>
      <c r="P136" s="1158">
        <f t="shared" si="45"/>
        <v>1586.1475049999999</v>
      </c>
      <c r="Q136" s="1157"/>
      <c r="R136" s="1158">
        <f t="shared" si="46"/>
        <v>21867.970004999999</v>
      </c>
      <c r="S136" s="1135"/>
    </row>
    <row r="137" spans="2:19" ht="15.5" x14ac:dyDescent="0.35">
      <c r="B137" s="1171"/>
      <c r="C137" s="1163"/>
      <c r="D137" s="1170">
        <v>3</v>
      </c>
      <c r="E137" s="1156">
        <v>22393.334999999999</v>
      </c>
      <c r="F137" s="1157"/>
      <c r="G137" s="1158">
        <f t="shared" si="41"/>
        <v>1877.5362299999999</v>
      </c>
      <c r="H137" s="1157"/>
      <c r="I137" s="1158">
        <f t="shared" si="42"/>
        <v>5302.741728</v>
      </c>
      <c r="J137" s="1157"/>
      <c r="K137" s="1158">
        <f t="shared" si="43"/>
        <v>29574.334999999999</v>
      </c>
      <c r="L137" s="1159"/>
      <c r="M137" s="1157">
        <f t="shared" si="44"/>
        <v>22393.334999999999</v>
      </c>
      <c r="N137" s="1157"/>
      <c r="O137" s="1157"/>
      <c r="P137" s="1158">
        <f t="shared" si="45"/>
        <v>1877.5362299999999</v>
      </c>
      <c r="Q137" s="1157"/>
      <c r="R137" s="1158">
        <f t="shared" si="46"/>
        <v>24270.871230000001</v>
      </c>
      <c r="S137" s="1135"/>
    </row>
    <row r="138" spans="2:19" ht="15.5" x14ac:dyDescent="0.35">
      <c r="B138" s="1171"/>
      <c r="C138" s="1163"/>
      <c r="D138" s="1170">
        <v>4</v>
      </c>
      <c r="E138" s="1156">
        <v>24506.9025</v>
      </c>
      <c r="F138" s="1157"/>
      <c r="G138" s="1158">
        <f t="shared" si="41"/>
        <v>2169.2085450000004</v>
      </c>
      <c r="H138" s="1157"/>
      <c r="I138" s="1158">
        <f t="shared" si="42"/>
        <v>5803.234512</v>
      </c>
      <c r="J138" s="1157"/>
      <c r="K138" s="1158">
        <f t="shared" si="43"/>
        <v>32478.9025</v>
      </c>
      <c r="L138" s="1159"/>
      <c r="M138" s="1157">
        <f t="shared" si="44"/>
        <v>24506.9025</v>
      </c>
      <c r="N138" s="1157"/>
      <c r="O138" s="1157"/>
      <c r="P138" s="1158">
        <f t="shared" si="45"/>
        <v>2169.2085450000004</v>
      </c>
      <c r="Q138" s="1157"/>
      <c r="R138" s="1158">
        <f t="shared" si="46"/>
        <v>26676.111045000001</v>
      </c>
      <c r="S138" s="1135"/>
    </row>
    <row r="139" spans="2:19" ht="15.5" x14ac:dyDescent="0.35">
      <c r="B139" s="1168"/>
      <c r="C139" s="1163"/>
      <c r="D139" s="1170">
        <v>5</v>
      </c>
      <c r="E139" s="1156">
        <v>26621.497499999998</v>
      </c>
      <c r="F139" s="1157"/>
      <c r="G139" s="1158">
        <f t="shared" si="41"/>
        <v>2461.0226549999998</v>
      </c>
      <c r="H139" s="1157"/>
      <c r="I139" s="1158">
        <f t="shared" si="42"/>
        <v>6303.9706079999996</v>
      </c>
      <c r="J139" s="1157"/>
      <c r="K139" s="1158">
        <f t="shared" si="43"/>
        <v>35386.497499999998</v>
      </c>
      <c r="L139" s="1159"/>
      <c r="M139" s="1157">
        <f t="shared" si="44"/>
        <v>26621.497499999998</v>
      </c>
      <c r="N139" s="1157"/>
      <c r="O139" s="1157"/>
      <c r="P139" s="1158">
        <f t="shared" si="45"/>
        <v>2461.0226549999998</v>
      </c>
      <c r="Q139" s="1157"/>
      <c r="R139" s="1158">
        <f t="shared" si="46"/>
        <v>29082.520154999998</v>
      </c>
      <c r="S139" s="1135"/>
    </row>
    <row r="140" spans="2:19" ht="15.5" x14ac:dyDescent="0.35">
      <c r="B140" s="1168"/>
      <c r="C140" s="1163"/>
      <c r="D140" s="1170">
        <v>6</v>
      </c>
      <c r="E140" s="1156">
        <v>28734.037499999999</v>
      </c>
      <c r="F140" s="1157"/>
      <c r="G140" s="1158">
        <f t="shared" si="41"/>
        <v>2752.553175</v>
      </c>
      <c r="H140" s="1157"/>
      <c r="I140" s="1158">
        <f t="shared" si="42"/>
        <v>6804.2200800000001</v>
      </c>
      <c r="J140" s="1157"/>
      <c r="K140" s="1158">
        <f t="shared" si="43"/>
        <v>38291.037499999999</v>
      </c>
      <c r="L140" s="1159"/>
      <c r="M140" s="1157">
        <f t="shared" si="44"/>
        <v>28734.037499999999</v>
      </c>
      <c r="N140" s="1157"/>
      <c r="O140" s="1157"/>
      <c r="P140" s="1158">
        <f t="shared" si="45"/>
        <v>2752.553175</v>
      </c>
      <c r="Q140" s="1157"/>
      <c r="R140" s="1158">
        <f t="shared" si="46"/>
        <v>31486.590674999999</v>
      </c>
      <c r="S140" s="1135"/>
    </row>
    <row r="141" spans="2:19" ht="15.5" x14ac:dyDescent="0.35">
      <c r="B141" s="1168"/>
      <c r="C141" s="1163"/>
      <c r="D141" s="1170"/>
      <c r="E141" s="1172"/>
      <c r="F141" s="1173"/>
      <c r="G141" s="1172"/>
      <c r="H141" s="1173"/>
      <c r="I141" s="1172"/>
      <c r="J141" s="1173"/>
      <c r="K141" s="1172"/>
      <c r="L141" s="1174"/>
      <c r="M141" s="1173"/>
      <c r="N141" s="1173"/>
      <c r="O141" s="1173"/>
      <c r="P141" s="1172"/>
      <c r="Q141" s="1173"/>
      <c r="R141" s="1172"/>
      <c r="S141" s="1135"/>
    </row>
    <row r="142" spans="2:19" ht="15.5" x14ac:dyDescent="0.35">
      <c r="B142" s="1168"/>
      <c r="C142" s="1163"/>
      <c r="D142" s="1170"/>
      <c r="E142" s="1172"/>
      <c r="F142" s="1173"/>
      <c r="G142" s="1172"/>
      <c r="H142" s="1173"/>
      <c r="I142" s="1172"/>
      <c r="J142" s="1173"/>
      <c r="K142" s="1172"/>
      <c r="L142" s="1174"/>
      <c r="M142" s="1173"/>
      <c r="N142" s="1173"/>
      <c r="O142" s="1173"/>
      <c r="P142" s="1172"/>
      <c r="Q142" s="1173"/>
      <c r="R142" s="1172"/>
      <c r="S142" s="1135"/>
    </row>
    <row r="143" spans="2:19" ht="16" thickBot="1" x14ac:dyDescent="0.4">
      <c r="B143" s="1175"/>
      <c r="C143" s="1176"/>
      <c r="D143" s="1177"/>
      <c r="E143" s="1178"/>
      <c r="F143" s="1179"/>
      <c r="G143" s="1178"/>
      <c r="H143" s="1179"/>
      <c r="I143" s="1178"/>
      <c r="J143" s="1179"/>
      <c r="K143" s="1178"/>
      <c r="L143" s="1180"/>
      <c r="M143" s="1181"/>
      <c r="N143" s="1179"/>
      <c r="O143" s="1179"/>
      <c r="P143" s="1178"/>
      <c r="Q143" s="1179"/>
      <c r="R143" s="1178"/>
      <c r="S143" s="1148"/>
    </row>
    <row r="145" spans="2:19" ht="15.5" x14ac:dyDescent="0.35">
      <c r="B145" s="1128"/>
      <c r="C145" s="1129"/>
      <c r="D145" s="1129"/>
      <c r="E145" s="1130" t="s">
        <v>1030</v>
      </c>
      <c r="F145" s="1131"/>
      <c r="G145" s="1130"/>
      <c r="H145" s="1131"/>
      <c r="I145" s="1130"/>
      <c r="J145" s="1131"/>
      <c r="K145" s="1130"/>
      <c r="L145" s="1132"/>
      <c r="M145" s="1133" t="s">
        <v>1031</v>
      </c>
      <c r="N145" s="1134"/>
      <c r="O145" s="1134"/>
      <c r="P145" s="1134"/>
      <c r="Q145" s="1134"/>
      <c r="R145" s="1134"/>
      <c r="S145" s="1135"/>
    </row>
    <row r="146" spans="2:19" ht="15.5" x14ac:dyDescent="0.35">
      <c r="B146" s="1128"/>
      <c r="C146" s="1136" t="s">
        <v>1032</v>
      </c>
      <c r="D146" s="1136" t="s">
        <v>1033</v>
      </c>
      <c r="E146" s="1137" t="s">
        <v>1034</v>
      </c>
      <c r="F146" s="1136"/>
      <c r="G146" s="1138" t="s">
        <v>1035</v>
      </c>
      <c r="H146" s="1136"/>
      <c r="I146" s="1137" t="s">
        <v>1036</v>
      </c>
      <c r="J146" s="1136"/>
      <c r="K146" s="1137" t="s">
        <v>62</v>
      </c>
      <c r="L146" s="1139"/>
      <c r="M146" s="1140" t="s">
        <v>1034</v>
      </c>
      <c r="N146" s="1136"/>
      <c r="O146" s="1136"/>
      <c r="P146" s="1138" t="s">
        <v>1035</v>
      </c>
      <c r="Q146" s="1136"/>
      <c r="R146" s="1141" t="s">
        <v>62</v>
      </c>
      <c r="S146" s="1135"/>
    </row>
    <row r="147" spans="2:19" ht="16" thickBot="1" x14ac:dyDescent="0.4">
      <c r="B147" s="1145"/>
      <c r="C147" s="1146"/>
      <c r="D147" s="1146"/>
      <c r="E147" s="1146"/>
      <c r="F147" s="1146"/>
      <c r="G147" s="1146"/>
      <c r="H147" s="1146"/>
      <c r="I147" s="1146"/>
      <c r="J147" s="1146"/>
      <c r="K147" s="1146"/>
      <c r="L147" s="1146"/>
      <c r="M147" s="1147"/>
      <c r="N147" s="1146"/>
      <c r="O147" s="1146"/>
      <c r="P147" s="1146"/>
      <c r="Q147" s="1146"/>
      <c r="R147" s="1146"/>
      <c r="S147" s="1148"/>
    </row>
    <row r="148" spans="2:19" ht="15.5" x14ac:dyDescent="0.35">
      <c r="B148" s="1151"/>
      <c r="C148" s="1152"/>
      <c r="D148" s="1152"/>
      <c r="E148" s="1152"/>
      <c r="F148" s="1152"/>
      <c r="G148" s="1152"/>
      <c r="H148" s="1152"/>
      <c r="I148" s="1152"/>
      <c r="J148" s="1152"/>
      <c r="K148" s="1152"/>
      <c r="L148" s="1153"/>
      <c r="M148" s="1152"/>
      <c r="N148" s="1152"/>
      <c r="O148" s="1152"/>
      <c r="P148" s="1152"/>
      <c r="Q148" s="1152"/>
      <c r="R148" s="1152"/>
      <c r="S148" s="1153"/>
    </row>
    <row r="149" spans="2:19" ht="15.5" x14ac:dyDescent="0.35">
      <c r="B149" s="1128"/>
      <c r="C149" s="1154" t="s">
        <v>1037</v>
      </c>
      <c r="D149" s="1155">
        <v>1</v>
      </c>
      <c r="E149" s="1156">
        <v>25713.514999999999</v>
      </c>
      <c r="F149" s="1157"/>
      <c r="G149" s="1158">
        <f t="shared" ref="G149:G154" si="47">IF($M149&gt;$U$11,($E149-$U$11)*$W$11,"ERROR")</f>
        <v>2335.7210700000001</v>
      </c>
      <c r="H149" s="1157"/>
      <c r="I149" s="1158">
        <f t="shared" ref="I149:I154" si="48">$E149*$V$13</f>
        <v>6088.9603520000001</v>
      </c>
      <c r="J149" s="1157"/>
      <c r="K149" s="1158">
        <f t="shared" ref="K149:K154" si="49">E149+ROUND(G149,0)+ROUND(I149,0)</f>
        <v>34138.514999999999</v>
      </c>
      <c r="L149" s="1159"/>
      <c r="M149" s="1157">
        <f t="shared" ref="M149:M154" si="50">E149</f>
        <v>25713.514999999999</v>
      </c>
      <c r="N149" s="1157"/>
      <c r="O149" s="1157"/>
      <c r="P149" s="1158">
        <f t="shared" ref="P149:P154" si="51">IF($M149&gt;$U$11,($M149-$U$11)*$W$11,"ERROR")</f>
        <v>2335.7210700000001</v>
      </c>
      <c r="Q149" s="1157"/>
      <c r="R149" s="1158">
        <f t="shared" ref="R149:R154" si="52">SUM(M149:P149)</f>
        <v>28049.236069999999</v>
      </c>
      <c r="S149" s="1135"/>
    </row>
    <row r="150" spans="2:19" ht="15.5" x14ac:dyDescent="0.35">
      <c r="B150" s="1162"/>
      <c r="C150" s="1163"/>
      <c r="D150" s="1155">
        <v>2</v>
      </c>
      <c r="E150" s="1156">
        <v>27599.751000000004</v>
      </c>
      <c r="F150" s="1157"/>
      <c r="G150" s="1158">
        <f t="shared" si="47"/>
        <v>2596.0216380000006</v>
      </c>
      <c r="H150" s="1157"/>
      <c r="I150" s="1158">
        <f t="shared" si="48"/>
        <v>6535.6210368000011</v>
      </c>
      <c r="J150" s="1157"/>
      <c r="K150" s="1158">
        <f t="shared" si="49"/>
        <v>36731.751000000004</v>
      </c>
      <c r="L150" s="1159"/>
      <c r="M150" s="1157">
        <f t="shared" si="50"/>
        <v>27599.751000000004</v>
      </c>
      <c r="N150" s="1157"/>
      <c r="O150" s="1157"/>
      <c r="P150" s="1158">
        <f t="shared" si="51"/>
        <v>2596.0216380000006</v>
      </c>
      <c r="Q150" s="1157"/>
      <c r="R150" s="1158">
        <f t="shared" si="52"/>
        <v>30195.772638000006</v>
      </c>
      <c r="S150" s="1135"/>
    </row>
    <row r="151" spans="2:19" ht="15.5" x14ac:dyDescent="0.35">
      <c r="B151" s="1162"/>
      <c r="C151" s="1163"/>
      <c r="D151" s="1155">
        <v>3</v>
      </c>
      <c r="E151" s="1156">
        <v>29663.172000000002</v>
      </c>
      <c r="F151" s="1157"/>
      <c r="G151" s="1158">
        <f>IF($M151&gt;$U$11,($E151-$U$11)*$W$11,"ERROR")</f>
        <v>2880.7737360000006</v>
      </c>
      <c r="H151" s="1157"/>
      <c r="I151" s="1158">
        <f t="shared" si="48"/>
        <v>7024.2391296000005</v>
      </c>
      <c r="J151" s="1157"/>
      <c r="K151" s="1158">
        <f t="shared" si="49"/>
        <v>39568.172000000006</v>
      </c>
      <c r="L151" s="1159"/>
      <c r="M151" s="1157">
        <f t="shared" si="50"/>
        <v>29663.172000000002</v>
      </c>
      <c r="N151" s="1157"/>
      <c r="O151" s="1157"/>
      <c r="P151" s="1158">
        <f t="shared" si="51"/>
        <v>2880.7737360000006</v>
      </c>
      <c r="Q151" s="1157"/>
      <c r="R151" s="1158">
        <f t="shared" si="52"/>
        <v>32543.945736000001</v>
      </c>
      <c r="S151" s="1135"/>
    </row>
    <row r="152" spans="2:19" ht="15.5" x14ac:dyDescent="0.35">
      <c r="B152" s="1162"/>
      <c r="C152" s="1163"/>
      <c r="D152" s="1155">
        <v>4</v>
      </c>
      <c r="E152" s="1156">
        <v>31777.0615</v>
      </c>
      <c r="F152" s="1157"/>
      <c r="G152" s="1158">
        <f t="shared" si="47"/>
        <v>3172.490487</v>
      </c>
      <c r="H152" s="1157"/>
      <c r="I152" s="1158">
        <f t="shared" si="48"/>
        <v>7524.8081632000003</v>
      </c>
      <c r="J152" s="1157"/>
      <c r="K152" s="1158">
        <f t="shared" si="49"/>
        <v>42474.061499999996</v>
      </c>
      <c r="L152" s="1159"/>
      <c r="M152" s="1157">
        <f t="shared" si="50"/>
        <v>31777.0615</v>
      </c>
      <c r="N152" s="1157"/>
      <c r="O152" s="1157"/>
      <c r="P152" s="1158">
        <f t="shared" si="51"/>
        <v>3172.490487</v>
      </c>
      <c r="Q152" s="1157"/>
      <c r="R152" s="1158">
        <f t="shared" si="52"/>
        <v>34949.551986999999</v>
      </c>
      <c r="S152" s="1135"/>
    </row>
    <row r="153" spans="2:19" ht="15.5" x14ac:dyDescent="0.35">
      <c r="B153" s="1162"/>
      <c r="C153" s="1163"/>
      <c r="D153" s="1155">
        <v>5</v>
      </c>
      <c r="E153" s="1455">
        <f>34099.33-((34099.33-E152)*0.29)</f>
        <v>33425.872134999998</v>
      </c>
      <c r="F153" s="1157"/>
      <c r="G153" s="1158">
        <f t="shared" si="47"/>
        <v>3400.0263546299998</v>
      </c>
      <c r="H153" s="1157"/>
      <c r="I153" s="1158">
        <f t="shared" si="48"/>
        <v>7915.2465215679995</v>
      </c>
      <c r="J153" s="1157"/>
      <c r="K153" s="1158">
        <f t="shared" si="49"/>
        <v>44740.872134999998</v>
      </c>
      <c r="L153" s="1159"/>
      <c r="M153" s="1157">
        <f t="shared" si="50"/>
        <v>33425.872134999998</v>
      </c>
      <c r="N153" s="1157"/>
      <c r="O153" s="1157"/>
      <c r="P153" s="1158">
        <f t="shared" si="51"/>
        <v>3400.0263546299998</v>
      </c>
      <c r="Q153" s="1157"/>
      <c r="R153" s="1158">
        <f t="shared" si="52"/>
        <v>36825.898489629995</v>
      </c>
      <c r="S153" s="1135"/>
    </row>
    <row r="154" spans="2:19" ht="15.5" x14ac:dyDescent="0.35">
      <c r="B154" s="1162"/>
      <c r="C154" s="1163"/>
      <c r="D154" s="1155">
        <v>6</v>
      </c>
      <c r="E154" s="1156">
        <v>36960.202499999999</v>
      </c>
      <c r="F154" s="1157"/>
      <c r="G154" s="1158">
        <f t="shared" si="47"/>
        <v>3887.7639450000001</v>
      </c>
      <c r="H154" s="1157"/>
      <c r="I154" s="1158">
        <f t="shared" si="48"/>
        <v>8752.1759519999996</v>
      </c>
      <c r="J154" s="1157"/>
      <c r="K154" s="1158">
        <f t="shared" si="49"/>
        <v>49600.202499999999</v>
      </c>
      <c r="L154" s="1159"/>
      <c r="M154" s="1157">
        <f t="shared" si="50"/>
        <v>36960.202499999999</v>
      </c>
      <c r="N154" s="1157"/>
      <c r="O154" s="1157"/>
      <c r="P154" s="1158">
        <f t="shared" si="51"/>
        <v>3887.7639450000001</v>
      </c>
      <c r="Q154" s="1157"/>
      <c r="R154" s="1158">
        <f t="shared" si="52"/>
        <v>40847.966444999998</v>
      </c>
      <c r="S154" s="1135"/>
    </row>
    <row r="155" spans="2:19" ht="15.5" x14ac:dyDescent="0.35">
      <c r="B155" s="1166" t="s">
        <v>1042</v>
      </c>
      <c r="C155" s="1163"/>
      <c r="D155" s="1155"/>
      <c r="E155" s="1156"/>
      <c r="F155" s="1157"/>
      <c r="G155" s="1158"/>
      <c r="H155" s="1157"/>
      <c r="I155" s="1158"/>
      <c r="J155" s="1157"/>
      <c r="K155" s="1158"/>
      <c r="L155" s="1159"/>
      <c r="M155" s="1167" t="s">
        <v>1043</v>
      </c>
      <c r="N155" s="1157"/>
      <c r="O155" s="1157"/>
      <c r="P155" s="1158"/>
      <c r="Q155" s="1157"/>
      <c r="R155" s="1158"/>
      <c r="S155" s="1135"/>
    </row>
    <row r="156" spans="2:19" ht="15.5" x14ac:dyDescent="0.35">
      <c r="B156" s="1162"/>
      <c r="C156" s="1163" t="s">
        <v>1044</v>
      </c>
      <c r="D156" s="1155">
        <v>1</v>
      </c>
      <c r="E156" s="1156">
        <v>38689.485000000001</v>
      </c>
      <c r="F156" s="1157"/>
      <c r="G156" s="1158">
        <f>IF($M156&gt;$U$11,($E156-$U$11)*$W$11,"ERROR")</f>
        <v>4126.4049300000006</v>
      </c>
      <c r="H156" s="1157"/>
      <c r="I156" s="1158">
        <f>$E156*$V$13</f>
        <v>9161.670048</v>
      </c>
      <c r="J156" s="1157"/>
      <c r="K156" s="1158">
        <f>E156+ROUND(G156,0)+ROUND(I156,0)</f>
        <v>51977.485000000001</v>
      </c>
      <c r="L156" s="1159"/>
      <c r="M156" s="1157">
        <f>E156</f>
        <v>38689.485000000001</v>
      </c>
      <c r="N156" s="1157"/>
      <c r="O156" s="1157"/>
      <c r="P156" s="1158">
        <f>IF($M156&gt;$U$11,($M156-$U$11)*$W$11,"ERROR")</f>
        <v>4126.4049300000006</v>
      </c>
      <c r="Q156" s="1157"/>
      <c r="R156" s="1158">
        <f>SUM(M156:P156)</f>
        <v>42815.889930000005</v>
      </c>
      <c r="S156" s="1135"/>
    </row>
    <row r="157" spans="2:19" ht="15.5" x14ac:dyDescent="0.35">
      <c r="B157" s="1162"/>
      <c r="C157" s="1163" t="s">
        <v>1046</v>
      </c>
      <c r="D157" s="1155">
        <v>2</v>
      </c>
      <c r="E157" s="1156">
        <v>40123.875</v>
      </c>
      <c r="F157" s="1157"/>
      <c r="G157" s="1158">
        <f>IF($M157&gt;$U$11,($E157-$U$11)*$W$11,"ERROR")</f>
        <v>4324.3507500000005</v>
      </c>
      <c r="H157" s="1157"/>
      <c r="I157" s="1158">
        <f>$E157*$V$13</f>
        <v>9501.3335999999999</v>
      </c>
      <c r="J157" s="1157"/>
      <c r="K157" s="1158">
        <f>E157+ROUND(G157,0)+ROUND(I157,0)</f>
        <v>53948.875</v>
      </c>
      <c r="L157" s="1159"/>
      <c r="M157" s="1157">
        <f>E157</f>
        <v>40123.875</v>
      </c>
      <c r="N157" s="1157"/>
      <c r="O157" s="1157"/>
      <c r="P157" s="1158">
        <f>IF($M157&gt;$U$11,($M157-$U$11)*$W$11,"ERROR")</f>
        <v>4324.3507500000005</v>
      </c>
      <c r="Q157" s="1157"/>
      <c r="R157" s="1158">
        <f>SUM(M157:P157)</f>
        <v>44448.225749999998</v>
      </c>
      <c r="S157" s="1135"/>
    </row>
    <row r="158" spans="2:19" ht="15.5" x14ac:dyDescent="0.35">
      <c r="B158" s="1162"/>
      <c r="C158" s="1163"/>
      <c r="D158" s="1155">
        <v>3</v>
      </c>
      <c r="E158" s="1156">
        <v>41603.474999999999</v>
      </c>
      <c r="F158" s="1157"/>
      <c r="G158" s="1158">
        <f>IF($M158&gt;$U$11,($E158-$U$11)*$W$11,"ERROR")</f>
        <v>4528.5355500000005</v>
      </c>
      <c r="H158" s="1157"/>
      <c r="I158" s="1158">
        <f>$E158*$V$13</f>
        <v>9851.7028800000007</v>
      </c>
      <c r="J158" s="1157"/>
      <c r="K158" s="1158">
        <f>E158+ROUND(G158,0)+ROUND(I158,0)</f>
        <v>55984.474999999999</v>
      </c>
      <c r="L158" s="1159"/>
      <c r="M158" s="1157">
        <f>E158</f>
        <v>41603.474999999999</v>
      </c>
      <c r="N158" s="1157"/>
      <c r="O158" s="1157"/>
      <c r="P158" s="1158">
        <f>IF($M158&gt;$U$11,($M158-$U$11)*$W$11,"ERROR")</f>
        <v>4528.5355500000005</v>
      </c>
      <c r="Q158" s="1157"/>
      <c r="R158" s="1158">
        <f>SUM(M158:P158)</f>
        <v>46132.010549999999</v>
      </c>
      <c r="S158" s="1135"/>
    </row>
    <row r="159" spans="2:19" ht="15.5" x14ac:dyDescent="0.35">
      <c r="B159" s="1162"/>
      <c r="C159" s="1163"/>
      <c r="D159" s="1155"/>
      <c r="E159" s="1156"/>
      <c r="F159" s="1157"/>
      <c r="G159" s="1158"/>
      <c r="H159" s="1157"/>
      <c r="I159" s="1158"/>
      <c r="J159" s="1157"/>
      <c r="K159" s="1158"/>
      <c r="L159" s="1159"/>
      <c r="M159" s="1157"/>
      <c r="N159" s="1157"/>
      <c r="O159" s="1157"/>
      <c r="P159" s="1158"/>
      <c r="Q159" s="1157"/>
      <c r="R159" s="1158"/>
      <c r="S159" s="1135"/>
    </row>
    <row r="160" spans="2:19" ht="15.5" x14ac:dyDescent="0.35">
      <c r="B160" s="1166" t="s">
        <v>1049</v>
      </c>
      <c r="C160" s="1163"/>
      <c r="D160" s="1155"/>
      <c r="E160" s="1156"/>
      <c r="F160" s="1157"/>
      <c r="G160" s="1158"/>
      <c r="H160" s="1157"/>
      <c r="I160" s="1158"/>
      <c r="J160" s="1157"/>
      <c r="K160" s="1158"/>
      <c r="L160" s="1159"/>
      <c r="M160" s="1167" t="s">
        <v>1043</v>
      </c>
      <c r="N160" s="1157"/>
      <c r="O160" s="1157"/>
      <c r="P160" s="1158"/>
      <c r="Q160" s="1157"/>
      <c r="R160" s="1158"/>
      <c r="S160" s="1135"/>
    </row>
    <row r="161" spans="2:19" ht="15.5" x14ac:dyDescent="0.35">
      <c r="B161" s="1168"/>
      <c r="C161" s="1163"/>
      <c r="D161" s="1132"/>
      <c r="E161" s="1156"/>
      <c r="F161" s="1157"/>
      <c r="G161" s="1158"/>
      <c r="H161" s="1157"/>
      <c r="I161" s="1158"/>
      <c r="J161" s="1157"/>
      <c r="K161" s="1158"/>
      <c r="L161" s="1159"/>
      <c r="M161" s="1157"/>
      <c r="N161" s="1157"/>
      <c r="O161" s="1157"/>
      <c r="P161" s="1158"/>
      <c r="Q161" s="1157"/>
      <c r="R161" s="1158"/>
      <c r="S161" s="1135"/>
    </row>
    <row r="162" spans="2:19" ht="15.5" x14ac:dyDescent="0.35">
      <c r="B162" s="1169" t="s">
        <v>1052</v>
      </c>
      <c r="C162" s="1163" t="s">
        <v>1053</v>
      </c>
      <c r="D162" s="1170">
        <v>1</v>
      </c>
      <c r="E162" s="1156">
        <v>18168.255000000001</v>
      </c>
      <c r="F162" s="1157"/>
      <c r="G162" s="1158">
        <f t="shared" ref="G162:G167" si="53">IF($M162&gt;$U$11,($E162-$U$11)*$W$11,"ERROR")</f>
        <v>1294.4751900000003</v>
      </c>
      <c r="H162" s="1157"/>
      <c r="I162" s="1158">
        <f t="shared" ref="I162:I167" si="54">$E162*$V$13</f>
        <v>4302.242784</v>
      </c>
      <c r="J162" s="1157"/>
      <c r="K162" s="1158">
        <f t="shared" ref="K162:K167" si="55">E162+ROUND(G162,0)+ROUND(I162,0)</f>
        <v>23764.255000000001</v>
      </c>
      <c r="L162" s="1159"/>
      <c r="M162" s="1157">
        <f t="shared" ref="M162:M167" si="56">E162</f>
        <v>18168.255000000001</v>
      </c>
      <c r="N162" s="1157"/>
      <c r="O162" s="1157"/>
      <c r="P162" s="1158">
        <f t="shared" ref="P162:P167" si="57">IF($M162&gt;$U$11,($M162-$U$11)*$W$11,"ERROR")</f>
        <v>1294.4751900000003</v>
      </c>
      <c r="Q162" s="1157"/>
      <c r="R162" s="1158">
        <f t="shared" ref="R162:R167" si="58">SUM(M162:P162)</f>
        <v>19462.730190000002</v>
      </c>
      <c r="S162" s="1135"/>
    </row>
    <row r="163" spans="2:19" ht="15.5" x14ac:dyDescent="0.35">
      <c r="B163" s="1169" t="s">
        <v>1054</v>
      </c>
      <c r="C163" s="1163" t="s">
        <v>1055</v>
      </c>
      <c r="D163" s="1170">
        <v>2</v>
      </c>
      <c r="E163" s="1156">
        <v>20281.822499999998</v>
      </c>
      <c r="F163" s="1157"/>
      <c r="G163" s="1158">
        <f t="shared" si="53"/>
        <v>1586.1475049999999</v>
      </c>
      <c r="H163" s="1157"/>
      <c r="I163" s="1158">
        <f t="shared" si="54"/>
        <v>4802.7355680000001</v>
      </c>
      <c r="J163" s="1157"/>
      <c r="K163" s="1158">
        <f t="shared" si="55"/>
        <v>26670.822499999998</v>
      </c>
      <c r="L163" s="1159"/>
      <c r="M163" s="1157">
        <f t="shared" si="56"/>
        <v>20281.822499999998</v>
      </c>
      <c r="N163" s="1157"/>
      <c r="O163" s="1157"/>
      <c r="P163" s="1158">
        <f t="shared" si="57"/>
        <v>1586.1475049999999</v>
      </c>
      <c r="Q163" s="1157"/>
      <c r="R163" s="1158">
        <f t="shared" si="58"/>
        <v>21867.970004999999</v>
      </c>
      <c r="S163" s="1135"/>
    </row>
    <row r="164" spans="2:19" ht="15.5" x14ac:dyDescent="0.35">
      <c r="B164" s="1171"/>
      <c r="C164" s="1163"/>
      <c r="D164" s="1170">
        <v>3</v>
      </c>
      <c r="E164" s="1156">
        <v>22393.334999999999</v>
      </c>
      <c r="F164" s="1157"/>
      <c r="G164" s="1158">
        <f t="shared" si="53"/>
        <v>1877.5362299999999</v>
      </c>
      <c r="H164" s="1157"/>
      <c r="I164" s="1158">
        <f t="shared" si="54"/>
        <v>5302.741728</v>
      </c>
      <c r="J164" s="1157"/>
      <c r="K164" s="1158">
        <f t="shared" si="55"/>
        <v>29574.334999999999</v>
      </c>
      <c r="L164" s="1159"/>
      <c r="M164" s="1157">
        <f t="shared" si="56"/>
        <v>22393.334999999999</v>
      </c>
      <c r="N164" s="1157"/>
      <c r="O164" s="1157"/>
      <c r="P164" s="1158">
        <f t="shared" si="57"/>
        <v>1877.5362299999999</v>
      </c>
      <c r="Q164" s="1157"/>
      <c r="R164" s="1158">
        <f t="shared" si="58"/>
        <v>24270.871230000001</v>
      </c>
      <c r="S164" s="1135"/>
    </row>
    <row r="165" spans="2:19" ht="15.5" x14ac:dyDescent="0.35">
      <c r="B165" s="1171"/>
      <c r="C165" s="1163"/>
      <c r="D165" s="1170">
        <v>4</v>
      </c>
      <c r="E165" s="1156">
        <v>24506.9025</v>
      </c>
      <c r="F165" s="1157"/>
      <c r="G165" s="1158">
        <f t="shared" si="53"/>
        <v>2169.2085450000004</v>
      </c>
      <c r="H165" s="1157"/>
      <c r="I165" s="1158">
        <f t="shared" si="54"/>
        <v>5803.234512</v>
      </c>
      <c r="J165" s="1157"/>
      <c r="K165" s="1158">
        <f t="shared" si="55"/>
        <v>32478.9025</v>
      </c>
      <c r="L165" s="1159"/>
      <c r="M165" s="1157">
        <f t="shared" si="56"/>
        <v>24506.9025</v>
      </c>
      <c r="N165" s="1157"/>
      <c r="O165" s="1157"/>
      <c r="P165" s="1158">
        <f t="shared" si="57"/>
        <v>2169.2085450000004</v>
      </c>
      <c r="Q165" s="1157"/>
      <c r="R165" s="1158">
        <f t="shared" si="58"/>
        <v>26676.111045000001</v>
      </c>
      <c r="S165" s="1135"/>
    </row>
    <row r="166" spans="2:19" ht="15.5" x14ac:dyDescent="0.35">
      <c r="B166" s="1168"/>
      <c r="C166" s="1163"/>
      <c r="D166" s="1170">
        <v>5</v>
      </c>
      <c r="E166" s="1156">
        <v>26621.497499999998</v>
      </c>
      <c r="F166" s="1157"/>
      <c r="G166" s="1158">
        <f t="shared" si="53"/>
        <v>2461.0226549999998</v>
      </c>
      <c r="H166" s="1157"/>
      <c r="I166" s="1158">
        <f t="shared" si="54"/>
        <v>6303.9706079999996</v>
      </c>
      <c r="J166" s="1157"/>
      <c r="K166" s="1158">
        <f t="shared" si="55"/>
        <v>35386.497499999998</v>
      </c>
      <c r="L166" s="1159"/>
      <c r="M166" s="1157">
        <f t="shared" si="56"/>
        <v>26621.497499999998</v>
      </c>
      <c r="N166" s="1157"/>
      <c r="O166" s="1157"/>
      <c r="P166" s="1158">
        <f t="shared" si="57"/>
        <v>2461.0226549999998</v>
      </c>
      <c r="Q166" s="1157"/>
      <c r="R166" s="1158">
        <f t="shared" si="58"/>
        <v>29082.520154999998</v>
      </c>
      <c r="S166" s="1135"/>
    </row>
    <row r="167" spans="2:19" ht="15.5" x14ac:dyDescent="0.35">
      <c r="B167" s="1168"/>
      <c r="C167" s="1163"/>
      <c r="D167" s="1170">
        <v>6</v>
      </c>
      <c r="E167" s="1156">
        <v>28734.037499999999</v>
      </c>
      <c r="F167" s="1157"/>
      <c r="G167" s="1158">
        <f t="shared" si="53"/>
        <v>2752.553175</v>
      </c>
      <c r="H167" s="1157"/>
      <c r="I167" s="1158">
        <f t="shared" si="54"/>
        <v>6804.2200800000001</v>
      </c>
      <c r="J167" s="1157"/>
      <c r="K167" s="1158">
        <f t="shared" si="55"/>
        <v>38291.037499999999</v>
      </c>
      <c r="L167" s="1159"/>
      <c r="M167" s="1157">
        <f t="shared" si="56"/>
        <v>28734.037499999999</v>
      </c>
      <c r="N167" s="1157"/>
      <c r="O167" s="1157"/>
      <c r="P167" s="1158">
        <f t="shared" si="57"/>
        <v>2752.553175</v>
      </c>
      <c r="Q167" s="1157"/>
      <c r="R167" s="1158">
        <f t="shared" si="58"/>
        <v>31486.590674999999</v>
      </c>
      <c r="S167" s="1135"/>
    </row>
    <row r="168" spans="2:19" ht="15.5" x14ac:dyDescent="0.35">
      <c r="B168" s="1168"/>
      <c r="C168" s="1163"/>
      <c r="D168" s="1170"/>
      <c r="E168" s="1172"/>
      <c r="F168" s="1173"/>
      <c r="G168" s="1172"/>
      <c r="H168" s="1173"/>
      <c r="I168" s="1172"/>
      <c r="J168" s="1173"/>
      <c r="K168" s="1172"/>
      <c r="L168" s="1174"/>
      <c r="M168" s="1173"/>
      <c r="N168" s="1173"/>
      <c r="O168" s="1173"/>
      <c r="P168" s="1172"/>
      <c r="Q168" s="1173"/>
      <c r="R168" s="1172"/>
      <c r="S168" s="1135"/>
    </row>
    <row r="169" spans="2:19" ht="15.5" x14ac:dyDescent="0.35">
      <c r="B169" s="1168"/>
      <c r="C169" s="1163"/>
      <c r="D169" s="1170"/>
      <c r="E169" s="1172"/>
      <c r="F169" s="1173"/>
      <c r="G169" s="1172"/>
      <c r="H169" s="1173"/>
      <c r="I169" s="1172"/>
      <c r="J169" s="1173"/>
      <c r="K169" s="1172"/>
      <c r="L169" s="1174"/>
      <c r="M169" s="1173"/>
      <c r="N169" s="1173"/>
      <c r="O169" s="1173"/>
      <c r="P169" s="1172"/>
      <c r="Q169" s="1173"/>
      <c r="R169" s="1172"/>
      <c r="S169" s="1135"/>
    </row>
    <row r="170" spans="2:19" ht="16" thickBot="1" x14ac:dyDescent="0.4">
      <c r="B170" s="1175"/>
      <c r="C170" s="1176"/>
      <c r="D170" s="1177"/>
      <c r="E170" s="1178"/>
      <c r="F170" s="1179"/>
      <c r="G170" s="1178"/>
      <c r="H170" s="1179"/>
      <c r="I170" s="1178"/>
      <c r="J170" s="1179"/>
      <c r="K170" s="1178"/>
      <c r="L170" s="1180"/>
      <c r="M170" s="1181"/>
      <c r="N170" s="1179"/>
      <c r="O170" s="1179"/>
      <c r="P170" s="1178"/>
      <c r="Q170" s="1179"/>
      <c r="R170" s="1178"/>
      <c r="S170" s="1148"/>
    </row>
  </sheetData>
  <mergeCells count="3">
    <mergeCell ref="B3:S4"/>
    <mergeCell ref="B5:S5"/>
    <mergeCell ref="B6:S6"/>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G72"/>
  <sheetViews>
    <sheetView topLeftCell="A13" workbookViewId="0">
      <selection activeCell="F42" sqref="F42"/>
    </sheetView>
  </sheetViews>
  <sheetFormatPr defaultColWidth="8.54296875" defaultRowHeight="15.5" x14ac:dyDescent="0.35"/>
  <cols>
    <col min="1" max="1" width="9.453125" style="1087" customWidth="1"/>
    <col min="2" max="2" width="4.81640625" style="1087" customWidth="1"/>
    <col min="3" max="3" width="16.54296875" style="1087" customWidth="1"/>
    <col min="4" max="4" width="8.453125" style="1087" customWidth="1"/>
    <col min="5" max="5" width="7.453125" style="1087" customWidth="1"/>
    <col min="6" max="6" width="10.453125" style="1087" customWidth="1"/>
    <col min="7" max="7" width="3.1796875" style="1087" customWidth="1"/>
    <col min="8" max="8" width="8.54296875" style="1087" bestFit="1" customWidth="1"/>
    <col min="9" max="9" width="3.1796875" style="1087" customWidth="1"/>
    <col min="10" max="10" width="9.26953125" style="1087" bestFit="1" customWidth="1"/>
    <col min="11" max="11" width="3.1796875" style="1087" customWidth="1"/>
    <col min="12" max="12" width="12.7265625" style="1087" bestFit="1" customWidth="1"/>
    <col min="13" max="13" width="3.1796875" style="1087" customWidth="1"/>
    <col min="14" max="14" width="10.54296875" style="1087" customWidth="1"/>
    <col min="15" max="17" width="3.1796875" style="1087" customWidth="1"/>
    <col min="18" max="18" width="8.453125" style="1087" customWidth="1"/>
    <col min="19" max="19" width="3.1796875" style="1087" customWidth="1"/>
    <col min="20" max="20" width="11.453125" style="1087" customWidth="1"/>
    <col min="21" max="21" width="3.1796875" style="1087" customWidth="1"/>
    <col min="22" max="22" width="20.54296875" style="1087" customWidth="1"/>
    <col min="23" max="25" width="9.81640625" style="1087" customWidth="1"/>
    <col min="26" max="16384" width="8.54296875" style="1087"/>
  </cols>
  <sheetData>
    <row r="1" spans="1:59" s="1217" customFormat="1" ht="21.5" thickTop="1" x14ac:dyDescent="0.5">
      <c r="A1" s="1208"/>
      <c r="B1" s="1209" t="s">
        <v>1068</v>
      </c>
      <c r="C1" s="1210"/>
      <c r="D1" s="1211"/>
      <c r="E1" s="1210"/>
      <c r="F1" s="1210"/>
      <c r="G1" s="1212"/>
      <c r="H1" s="1210"/>
      <c r="I1" s="1210"/>
      <c r="J1" s="1210"/>
      <c r="K1" s="1210"/>
      <c r="L1" s="1210"/>
      <c r="M1" s="1210"/>
      <c r="N1" s="1210"/>
      <c r="O1" s="1210"/>
      <c r="P1" s="1210"/>
      <c r="Q1" s="1210"/>
      <c r="R1" s="1210"/>
      <c r="S1" s="1210"/>
      <c r="T1" s="1210"/>
      <c r="U1" s="1213"/>
      <c r="V1" s="1208"/>
      <c r="W1" s="1214"/>
      <c r="X1" s="1215"/>
      <c r="Y1" s="1215"/>
      <c r="Z1" s="1208"/>
      <c r="AA1" s="1208"/>
      <c r="AB1" s="1216"/>
      <c r="AC1" s="1216"/>
      <c r="AD1" s="1216"/>
      <c r="AE1" s="1216"/>
      <c r="AF1" s="1216"/>
      <c r="AG1" s="1216"/>
      <c r="AH1" s="1216"/>
      <c r="AI1" s="1216"/>
      <c r="AJ1" s="1216"/>
      <c r="AK1" s="1216"/>
      <c r="AL1" s="1216"/>
      <c r="AM1" s="1216"/>
      <c r="AN1" s="1216"/>
      <c r="AO1" s="1216"/>
      <c r="AP1" s="1216"/>
      <c r="AQ1" s="1216"/>
      <c r="AR1" s="1216"/>
      <c r="AS1" s="1216"/>
      <c r="AT1" s="1216"/>
      <c r="AU1" s="1216"/>
      <c r="AV1" s="1216"/>
      <c r="AW1" s="1216"/>
      <c r="AX1" s="1216"/>
      <c r="AY1" s="1216"/>
      <c r="AZ1" s="1216"/>
      <c r="BA1" s="1216"/>
      <c r="BB1" s="1216"/>
      <c r="BC1" s="1216"/>
      <c r="BD1" s="1216"/>
      <c r="BE1" s="1216"/>
      <c r="BF1" s="1216"/>
      <c r="BG1" s="1216"/>
    </row>
    <row r="2" spans="1:59" s="1217" customFormat="1" ht="21.5" thickBot="1" x14ac:dyDescent="0.55000000000000004">
      <c r="A2" s="1218" t="s">
        <v>1010</v>
      </c>
      <c r="B2" s="1219" t="s">
        <v>1069</v>
      </c>
      <c r="C2" s="1220"/>
      <c r="D2" s="1221"/>
      <c r="E2" s="1220"/>
      <c r="F2" s="1220"/>
      <c r="G2" s="1222"/>
      <c r="H2" s="1220"/>
      <c r="I2" s="1220"/>
      <c r="J2" s="1220"/>
      <c r="K2" s="1220"/>
      <c r="L2" s="1220"/>
      <c r="M2" s="1220"/>
      <c r="N2" s="1220"/>
      <c r="O2" s="1220"/>
      <c r="P2" s="1220"/>
      <c r="Q2" s="1220"/>
      <c r="R2" s="1220"/>
      <c r="S2" s="1220"/>
      <c r="T2" s="1220"/>
      <c r="U2" s="1223"/>
      <c r="V2" s="1208"/>
      <c r="W2" s="1214"/>
      <c r="X2" s="1215"/>
      <c r="Y2" s="1215"/>
      <c r="Z2" s="1208"/>
      <c r="AA2" s="1208"/>
      <c r="AB2" s="1216"/>
      <c r="AC2" s="1216"/>
      <c r="AD2" s="1216"/>
      <c r="AE2" s="1216"/>
      <c r="AF2" s="1216"/>
      <c r="AG2" s="1216"/>
      <c r="AH2" s="1216"/>
      <c r="AI2" s="1216"/>
      <c r="AJ2" s="1216"/>
      <c r="AK2" s="1216"/>
      <c r="AL2" s="1216"/>
      <c r="AM2" s="1216"/>
      <c r="AN2" s="1216"/>
      <c r="AO2" s="1216"/>
      <c r="AP2" s="1216"/>
      <c r="AQ2" s="1216"/>
      <c r="AR2" s="1216"/>
      <c r="AS2" s="1216"/>
      <c r="AT2" s="1216"/>
      <c r="AU2" s="1216"/>
      <c r="AV2" s="1216"/>
      <c r="AW2" s="1216"/>
      <c r="AX2" s="1216"/>
      <c r="AY2" s="1216"/>
      <c r="AZ2" s="1216"/>
      <c r="BA2" s="1216"/>
      <c r="BB2" s="1216"/>
      <c r="BC2" s="1216"/>
      <c r="BD2" s="1216"/>
      <c r="BE2" s="1216"/>
      <c r="BF2" s="1216"/>
      <c r="BG2" s="1216"/>
    </row>
    <row r="3" spans="1:59" s="1217" customFormat="1" ht="21.75" customHeight="1" x14ac:dyDescent="0.5">
      <c r="A3" s="1218" t="s">
        <v>1012</v>
      </c>
      <c r="B3" s="1224" t="s">
        <v>1070</v>
      </c>
      <c r="C3" s="1225"/>
      <c r="D3" s="1226"/>
      <c r="E3" s="1225"/>
      <c r="F3" s="1225"/>
      <c r="G3" s="1227"/>
      <c r="H3" s="1225"/>
      <c r="I3" s="1225"/>
      <c r="J3" s="1225"/>
      <c r="K3" s="1225"/>
      <c r="L3" s="1225"/>
      <c r="M3" s="1225"/>
      <c r="N3" s="1225"/>
      <c r="O3" s="1225"/>
      <c r="P3" s="1225"/>
      <c r="Q3" s="1225"/>
      <c r="R3" s="1225"/>
      <c r="S3" s="1225"/>
      <c r="T3" s="1225"/>
      <c r="U3" s="1228"/>
      <c r="V3" s="1208"/>
      <c r="W3" s="1214"/>
      <c r="X3" s="1215"/>
      <c r="Y3" s="1215"/>
      <c r="Z3" s="1208"/>
      <c r="AA3" s="1208"/>
      <c r="AB3" s="1216"/>
      <c r="AC3" s="1216"/>
      <c r="AD3" s="1216"/>
      <c r="AE3" s="1216"/>
      <c r="AF3" s="1216"/>
      <c r="AG3" s="1216"/>
      <c r="AH3" s="1216"/>
      <c r="AI3" s="1216"/>
      <c r="AJ3" s="1216"/>
      <c r="AK3" s="1216"/>
      <c r="AL3" s="1216"/>
      <c r="AM3" s="1216"/>
      <c r="AN3" s="1216"/>
      <c r="AO3" s="1216"/>
      <c r="AP3" s="1216"/>
      <c r="AQ3" s="1216"/>
      <c r="AR3" s="1216"/>
      <c r="AS3" s="1216"/>
      <c r="AT3" s="1216"/>
      <c r="AU3" s="1216"/>
      <c r="AV3" s="1216"/>
      <c r="AW3" s="1216"/>
      <c r="AX3" s="1216"/>
      <c r="AY3" s="1216"/>
      <c r="AZ3" s="1216"/>
      <c r="BA3" s="1216"/>
      <c r="BB3" s="1216"/>
      <c r="BC3" s="1216"/>
      <c r="BD3" s="1216"/>
      <c r="BE3" s="1216"/>
      <c r="BF3" s="1216"/>
      <c r="BG3" s="1216"/>
    </row>
    <row r="4" spans="1:59" s="1217" customFormat="1" ht="21.75" customHeight="1" x14ac:dyDescent="0.5">
      <c r="A4" s="1218"/>
      <c r="B4" s="1229"/>
      <c r="C4" s="1230"/>
      <c r="D4" s="1231"/>
      <c r="E4" s="1230"/>
      <c r="F4" s="1230"/>
      <c r="G4" s="1232"/>
      <c r="H4" s="1230"/>
      <c r="I4" s="1230"/>
      <c r="J4" s="1230"/>
      <c r="K4" s="1230"/>
      <c r="L4" s="1230"/>
      <c r="M4" s="1230"/>
      <c r="N4" s="1230"/>
      <c r="O4" s="1230"/>
      <c r="P4" s="1230"/>
      <c r="Q4" s="1230"/>
      <c r="R4" s="1230"/>
      <c r="S4" s="1230"/>
      <c r="T4" s="1230"/>
      <c r="U4" s="1233"/>
      <c r="V4" s="1208"/>
      <c r="W4" s="1214"/>
      <c r="X4" s="1215"/>
      <c r="Y4" s="1215"/>
      <c r="Z4" s="1208"/>
      <c r="AA4" s="1208"/>
      <c r="AB4" s="1216"/>
      <c r="AC4" s="1216"/>
      <c r="AD4" s="1216"/>
      <c r="AE4" s="1216"/>
      <c r="AF4" s="1216"/>
      <c r="AG4" s="1216"/>
      <c r="AH4" s="1216"/>
      <c r="AI4" s="1216"/>
      <c r="AJ4" s="1216"/>
      <c r="AK4" s="1216"/>
      <c r="AL4" s="1216"/>
      <c r="AM4" s="1216"/>
      <c r="AN4" s="1216"/>
      <c r="AO4" s="1216"/>
      <c r="AP4" s="1216"/>
      <c r="AQ4" s="1216"/>
      <c r="AR4" s="1216"/>
      <c r="AS4" s="1216"/>
      <c r="AT4" s="1216"/>
      <c r="AU4" s="1216"/>
      <c r="AV4" s="1216"/>
      <c r="AW4" s="1216"/>
      <c r="AX4" s="1216"/>
      <c r="AY4" s="1216"/>
      <c r="AZ4" s="1216"/>
      <c r="BA4" s="1216"/>
      <c r="BB4" s="1216"/>
      <c r="BC4" s="1216"/>
      <c r="BD4" s="1216"/>
      <c r="BE4" s="1216"/>
      <c r="BF4" s="1216"/>
      <c r="BG4" s="1216"/>
    </row>
    <row r="5" spans="1:59" s="1217" customFormat="1" ht="21.75" customHeight="1" x14ac:dyDescent="0.5">
      <c r="A5" s="1218"/>
      <c r="B5" s="1234" t="s">
        <v>1071</v>
      </c>
      <c r="C5" s="1230"/>
      <c r="D5" s="1231"/>
      <c r="E5" s="1230"/>
      <c r="F5" s="1230"/>
      <c r="G5" s="1232"/>
      <c r="H5" s="1230"/>
      <c r="I5" s="1230"/>
      <c r="J5" s="1230"/>
      <c r="K5" s="1230"/>
      <c r="L5" s="1230"/>
      <c r="M5" s="1230"/>
      <c r="N5" s="1230"/>
      <c r="O5" s="1230"/>
      <c r="P5" s="1230"/>
      <c r="Q5" s="1230"/>
      <c r="R5" s="1230"/>
      <c r="S5" s="1230"/>
      <c r="T5" s="1230"/>
      <c r="U5" s="1233"/>
      <c r="V5" s="1208" t="s">
        <v>818</v>
      </c>
      <c r="W5" s="1214"/>
      <c r="X5" s="1215"/>
      <c r="Y5" s="1215"/>
      <c r="Z5" s="1208"/>
      <c r="AA5" s="1208"/>
      <c r="AB5" s="1216"/>
      <c r="AC5" s="1216"/>
      <c r="AD5" s="1216"/>
      <c r="AE5" s="1216"/>
      <c r="AF5" s="1216"/>
      <c r="AG5" s="1216"/>
      <c r="AH5" s="1216"/>
      <c r="AI5" s="1216"/>
      <c r="AJ5" s="1216"/>
      <c r="AK5" s="1216"/>
      <c r="AL5" s="1216"/>
      <c r="AM5" s="1216"/>
      <c r="AN5" s="1216"/>
      <c r="AO5" s="1216"/>
      <c r="AP5" s="1216"/>
      <c r="AQ5" s="1216"/>
      <c r="AR5" s="1216"/>
      <c r="AS5" s="1216"/>
      <c r="AT5" s="1216"/>
      <c r="AU5" s="1216"/>
      <c r="AV5" s="1216"/>
      <c r="AW5" s="1216"/>
      <c r="AX5" s="1216"/>
      <c r="AY5" s="1216"/>
      <c r="AZ5" s="1216"/>
      <c r="BA5" s="1216"/>
      <c r="BB5" s="1216"/>
      <c r="BC5" s="1216"/>
      <c r="BD5" s="1216"/>
      <c r="BE5" s="1216"/>
      <c r="BF5" s="1216"/>
      <c r="BG5" s="1216"/>
    </row>
    <row r="6" spans="1:59" s="1217" customFormat="1" ht="21.75" customHeight="1" x14ac:dyDescent="0.5">
      <c r="A6" s="1218"/>
      <c r="B6" s="1235" t="s">
        <v>1072</v>
      </c>
      <c r="C6" s="1236"/>
      <c r="D6" s="1236"/>
      <c r="E6" s="1236"/>
      <c r="F6" s="1236"/>
      <c r="G6" s="1236"/>
      <c r="H6" s="1236"/>
      <c r="I6" s="1236"/>
      <c r="J6" s="1236"/>
      <c r="K6" s="1236"/>
      <c r="L6" s="1236"/>
      <c r="M6" s="1236"/>
      <c r="N6" s="1236"/>
      <c r="O6" s="1236"/>
      <c r="P6" s="1236"/>
      <c r="Q6" s="1236"/>
      <c r="R6" s="1236"/>
      <c r="S6" s="1236"/>
      <c r="T6" s="1236"/>
      <c r="U6" s="1237"/>
      <c r="V6" s="1208"/>
      <c r="W6" s="1208"/>
      <c r="X6" s="1208"/>
      <c r="Y6" s="1208"/>
      <c r="Z6" s="1208"/>
      <c r="AA6" s="1208"/>
      <c r="AB6" s="1216"/>
      <c r="AC6" s="1216"/>
      <c r="AD6" s="1216"/>
      <c r="AE6" s="1216"/>
      <c r="AF6" s="1216"/>
      <c r="AG6" s="1216"/>
      <c r="AH6" s="1216"/>
      <c r="AI6" s="1216"/>
      <c r="AJ6" s="1216"/>
      <c r="AK6" s="1216"/>
      <c r="AL6" s="1216"/>
      <c r="AM6" s="1216"/>
      <c r="AN6" s="1216"/>
      <c r="AO6" s="1216"/>
      <c r="AP6" s="1216"/>
      <c r="AQ6" s="1216"/>
      <c r="AR6" s="1216"/>
      <c r="AS6" s="1216"/>
      <c r="AT6" s="1216"/>
      <c r="AU6" s="1216"/>
      <c r="AV6" s="1216"/>
      <c r="AW6" s="1216"/>
      <c r="AX6" s="1216"/>
      <c r="AY6" s="1216"/>
      <c r="AZ6" s="1216"/>
      <c r="BA6" s="1216"/>
      <c r="BB6" s="1216"/>
      <c r="BC6" s="1216"/>
      <c r="BD6" s="1216"/>
      <c r="BE6" s="1216"/>
      <c r="BF6" s="1216"/>
      <c r="BG6" s="1216"/>
    </row>
    <row r="7" spans="1:59" s="1217" customFormat="1" ht="21.75" customHeight="1" x14ac:dyDescent="0.5">
      <c r="A7" s="1218"/>
      <c r="B7" s="1235" t="s">
        <v>1073</v>
      </c>
      <c r="C7" s="1236"/>
      <c r="D7" s="1236"/>
      <c r="E7" s="1236"/>
      <c r="F7" s="1236"/>
      <c r="G7" s="1236"/>
      <c r="H7" s="1236"/>
      <c r="I7" s="1236"/>
      <c r="J7" s="1236"/>
      <c r="K7" s="1236"/>
      <c r="L7" s="1236"/>
      <c r="M7" s="1236"/>
      <c r="N7" s="1236"/>
      <c r="O7" s="1236"/>
      <c r="P7" s="1236"/>
      <c r="Q7" s="1236"/>
      <c r="R7" s="1236"/>
      <c r="S7" s="1236"/>
      <c r="T7" s="1236"/>
      <c r="U7" s="1237"/>
      <c r="V7" s="1208"/>
      <c r="W7" s="1238"/>
      <c r="X7" s="1238"/>
      <c r="Y7" s="1238"/>
      <c r="Z7" s="1208"/>
      <c r="AA7" s="1208"/>
      <c r="AB7" s="1216"/>
      <c r="AC7" s="1216"/>
      <c r="AD7" s="1216"/>
      <c r="AE7" s="1216"/>
      <c r="AF7" s="1216"/>
      <c r="AG7" s="1216"/>
      <c r="AH7" s="1216"/>
      <c r="AI7" s="1216"/>
      <c r="AJ7" s="1216"/>
      <c r="AK7" s="1216"/>
      <c r="AL7" s="1216"/>
      <c r="AM7" s="1216"/>
      <c r="AN7" s="1216"/>
      <c r="AO7" s="1216"/>
      <c r="AP7" s="1216"/>
      <c r="AQ7" s="1216"/>
      <c r="AR7" s="1216"/>
      <c r="AS7" s="1216"/>
      <c r="AT7" s="1216"/>
      <c r="AU7" s="1216"/>
      <c r="AV7" s="1216"/>
      <c r="AW7" s="1216"/>
      <c r="AX7" s="1216"/>
      <c r="AY7" s="1216"/>
      <c r="AZ7" s="1216"/>
      <c r="BA7" s="1216"/>
      <c r="BB7" s="1216"/>
      <c r="BC7" s="1216"/>
      <c r="BD7" s="1216"/>
      <c r="BE7" s="1216"/>
      <c r="BF7" s="1216"/>
      <c r="BG7" s="1216"/>
    </row>
    <row r="8" spans="1:59" s="1217" customFormat="1" ht="21.75" customHeight="1" thickBot="1" x14ac:dyDescent="0.55000000000000004">
      <c r="A8" s="1218"/>
      <c r="B8" s="1239" t="s">
        <v>1074</v>
      </c>
      <c r="C8" s="1240"/>
      <c r="D8" s="1240"/>
      <c r="E8" s="1240"/>
      <c r="F8" s="1240"/>
      <c r="G8" s="1240"/>
      <c r="H8" s="1240"/>
      <c r="I8" s="1240"/>
      <c r="J8" s="1240"/>
      <c r="K8" s="1240"/>
      <c r="L8" s="1240"/>
      <c r="M8" s="1240"/>
      <c r="N8" s="1240"/>
      <c r="O8" s="1240"/>
      <c r="P8" s="1240"/>
      <c r="Q8" s="1240"/>
      <c r="R8" s="1240"/>
      <c r="S8" s="1240"/>
      <c r="T8" s="1240"/>
      <c r="U8" s="1241"/>
      <c r="V8" s="1208"/>
      <c r="W8" s="1238"/>
      <c r="X8" s="1238"/>
      <c r="Y8" s="1238"/>
      <c r="Z8" s="1208"/>
      <c r="AA8" s="1208"/>
      <c r="AB8" s="1216"/>
      <c r="AC8" s="1216"/>
      <c r="AD8" s="1216"/>
      <c r="AE8" s="1216"/>
      <c r="AF8" s="1216"/>
      <c r="AG8" s="1216"/>
      <c r="AH8" s="1216"/>
      <c r="AI8" s="1216"/>
      <c r="AJ8" s="1216"/>
      <c r="AK8" s="1216"/>
      <c r="AL8" s="1216"/>
      <c r="AM8" s="1216"/>
      <c r="AN8" s="1216"/>
      <c r="AO8" s="1216"/>
      <c r="AP8" s="1216"/>
      <c r="AQ8" s="1216"/>
      <c r="AR8" s="1216"/>
      <c r="AS8" s="1216"/>
      <c r="AT8" s="1216"/>
      <c r="AU8" s="1216"/>
      <c r="AV8" s="1216"/>
      <c r="AW8" s="1216"/>
      <c r="AX8" s="1216"/>
      <c r="AY8" s="1216"/>
      <c r="AZ8" s="1216"/>
      <c r="BA8" s="1216"/>
      <c r="BB8" s="1216"/>
      <c r="BC8" s="1216"/>
      <c r="BD8" s="1216"/>
      <c r="BE8" s="1216"/>
      <c r="BF8" s="1216"/>
      <c r="BG8" s="1216"/>
    </row>
    <row r="9" spans="1:59" s="1217" customFormat="1" ht="21.75" customHeight="1" x14ac:dyDescent="0.5">
      <c r="A9" s="1218" t="s">
        <v>1014</v>
      </c>
      <c r="B9" s="1187"/>
      <c r="C9" s="2030" t="s">
        <v>1022</v>
      </c>
      <c r="D9" s="2030"/>
      <c r="E9" s="1105"/>
      <c r="F9" s="1188" t="s">
        <v>1075</v>
      </c>
      <c r="G9" s="1105"/>
      <c r="H9" s="1105"/>
      <c r="I9" s="1105"/>
      <c r="J9" s="1105"/>
      <c r="K9" s="1105"/>
      <c r="L9" s="1105"/>
      <c r="M9" s="1105"/>
      <c r="N9" s="1105"/>
      <c r="O9" s="1242" t="s">
        <v>1076</v>
      </c>
      <c r="P9" s="1243"/>
      <c r="Q9" s="1243"/>
      <c r="R9" s="1244"/>
      <c r="S9" s="1244"/>
      <c r="T9" s="1244"/>
      <c r="U9" s="1245"/>
      <c r="V9" s="1218" t="s">
        <v>1018</v>
      </c>
      <c r="W9" s="1246" t="s">
        <v>1017</v>
      </c>
      <c r="X9" s="1247">
        <v>1</v>
      </c>
      <c r="Y9" s="1248">
        <v>2</v>
      </c>
      <c r="Z9" s="1208"/>
      <c r="AA9" s="1208"/>
      <c r="AB9" s="1216"/>
      <c r="AC9" s="1216"/>
      <c r="AD9" s="1216"/>
      <c r="AE9" s="1216"/>
      <c r="AF9" s="1216"/>
      <c r="AG9" s="1216"/>
      <c r="AH9" s="1216"/>
      <c r="AI9" s="1216"/>
      <c r="AJ9" s="1216"/>
      <c r="AK9" s="1216"/>
      <c r="AL9" s="1216"/>
      <c r="AM9" s="1216"/>
      <c r="AN9" s="1216"/>
      <c r="AO9" s="1216"/>
      <c r="AP9" s="1216"/>
      <c r="AQ9" s="1216"/>
      <c r="AR9" s="1216"/>
      <c r="AS9" s="1216"/>
      <c r="AT9" s="1216"/>
      <c r="AU9" s="1216"/>
      <c r="AV9" s="1216"/>
      <c r="AW9" s="1216"/>
      <c r="AX9" s="1216"/>
      <c r="AY9" s="1216"/>
      <c r="AZ9" s="1216"/>
      <c r="BA9" s="1216"/>
      <c r="BB9" s="1216"/>
      <c r="BC9" s="1216"/>
      <c r="BD9" s="1216"/>
      <c r="BE9" s="1216"/>
      <c r="BF9" s="1216"/>
      <c r="BG9" s="1216"/>
    </row>
    <row r="10" spans="1:59" s="1253" customFormat="1" x14ac:dyDescent="0.45">
      <c r="A10" s="1249"/>
      <c r="B10" s="1107"/>
      <c r="C10" s="1093">
        <f>$W$10</f>
        <v>0</v>
      </c>
      <c r="D10" s="1093">
        <f>W12</f>
        <v>8788</v>
      </c>
      <c r="E10" s="1108"/>
      <c r="F10" s="1250" t="s">
        <v>1077</v>
      </c>
      <c r="G10" s="1108"/>
      <c r="H10" s="1108"/>
      <c r="I10" s="1108"/>
      <c r="J10" s="1108"/>
      <c r="K10" s="1108"/>
      <c r="L10" s="1108"/>
      <c r="M10" s="1108"/>
      <c r="N10" s="1108"/>
      <c r="O10" s="1108"/>
      <c r="P10" s="1108"/>
      <c r="Q10" s="1108"/>
      <c r="R10" s="1108"/>
      <c r="S10" s="1108"/>
      <c r="T10" s="1108"/>
      <c r="U10" s="1109"/>
      <c r="V10" s="1251"/>
      <c r="W10" s="1107">
        <v>0</v>
      </c>
      <c r="X10" s="1108">
        <v>0</v>
      </c>
      <c r="Y10" s="1109">
        <v>0</v>
      </c>
      <c r="Z10" s="1251"/>
      <c r="AA10" s="1251"/>
      <c r="AB10" s="1252"/>
      <c r="AC10" s="1252"/>
      <c r="AD10" s="1252"/>
      <c r="AE10" s="1252"/>
      <c r="AF10" s="1252"/>
      <c r="AG10" s="1252"/>
      <c r="AH10" s="1252"/>
      <c r="AI10" s="1252"/>
      <c r="AJ10" s="1252"/>
      <c r="AK10" s="1252"/>
      <c r="AL10" s="1252"/>
      <c r="AM10" s="1252"/>
      <c r="AN10" s="1252"/>
      <c r="AO10" s="1252"/>
      <c r="AP10" s="1252"/>
      <c r="AQ10" s="1252"/>
      <c r="AR10" s="1252"/>
      <c r="AS10" s="1252"/>
      <c r="AT10" s="1252"/>
      <c r="AU10" s="1252"/>
      <c r="AV10" s="1252"/>
      <c r="AW10" s="1252"/>
      <c r="AX10" s="1252"/>
      <c r="AY10" s="1252"/>
      <c r="AZ10" s="1252"/>
      <c r="BA10" s="1252"/>
      <c r="BB10" s="1252"/>
      <c r="BC10" s="1252"/>
      <c r="BD10" s="1252"/>
      <c r="BE10" s="1252"/>
      <c r="BF10" s="1252"/>
      <c r="BG10" s="1252"/>
    </row>
    <row r="11" spans="1:59" s="1253" customFormat="1" x14ac:dyDescent="0.45">
      <c r="A11" s="1249"/>
      <c r="B11" s="1107"/>
      <c r="C11" s="1093">
        <f>W12</f>
        <v>8788</v>
      </c>
      <c r="D11" s="1093" t="s">
        <v>1078</v>
      </c>
      <c r="E11" s="1093"/>
      <c r="F11" s="1250" t="s">
        <v>1079</v>
      </c>
      <c r="G11" s="1108"/>
      <c r="H11" s="1254">
        <f>$Y$12*100</f>
        <v>13.8</v>
      </c>
      <c r="I11" s="1254" t="s">
        <v>1080</v>
      </c>
      <c r="J11" s="1108"/>
      <c r="K11" s="1108"/>
      <c r="L11" s="1254"/>
      <c r="M11" s="1255"/>
      <c r="N11" s="1108"/>
      <c r="O11" s="1108"/>
      <c r="P11" s="1108"/>
      <c r="Q11" s="1108"/>
      <c r="R11" s="1256"/>
      <c r="S11" s="1108"/>
      <c r="T11" s="1257"/>
      <c r="U11" s="1258"/>
      <c r="V11" s="1259" t="s">
        <v>1020</v>
      </c>
      <c r="W11" s="1092">
        <v>6240</v>
      </c>
      <c r="X11" s="1116">
        <v>0</v>
      </c>
      <c r="Y11" s="1117"/>
      <c r="Z11" s="1251"/>
      <c r="AA11" s="1251"/>
      <c r="AB11" s="1252"/>
      <c r="AC11" s="1252"/>
      <c r="AD11" s="1252"/>
      <c r="AE11" s="1252"/>
      <c r="AF11" s="1252"/>
      <c r="AG11" s="1252"/>
      <c r="AH11" s="1252"/>
      <c r="AI11" s="1252"/>
      <c r="AJ11" s="1252"/>
      <c r="AK11" s="1252"/>
      <c r="AL11" s="1252"/>
      <c r="AM11" s="1252"/>
      <c r="AN11" s="1252"/>
      <c r="AO11" s="1252"/>
      <c r="AP11" s="1252"/>
      <c r="AQ11" s="1252"/>
      <c r="AR11" s="1252"/>
      <c r="AS11" s="1252"/>
      <c r="AT11" s="1252"/>
      <c r="AU11" s="1252"/>
      <c r="AV11" s="1252"/>
      <c r="AW11" s="1252"/>
      <c r="AX11" s="1252"/>
      <c r="AY11" s="1252"/>
      <c r="AZ11" s="1252"/>
      <c r="BA11" s="1252"/>
      <c r="BB11" s="1252"/>
      <c r="BC11" s="1252"/>
      <c r="BD11" s="1252"/>
      <c r="BE11" s="1252"/>
      <c r="BF11" s="1252"/>
      <c r="BG11" s="1252"/>
    </row>
    <row r="12" spans="1:59" s="1253" customFormat="1" ht="16" thickBot="1" x14ac:dyDescent="0.5">
      <c r="A12" s="1249"/>
      <c r="B12" s="1260"/>
      <c r="C12" s="1261"/>
      <c r="D12" s="1203"/>
      <c r="E12" s="1203"/>
      <c r="F12" s="1261"/>
      <c r="G12" s="1262"/>
      <c r="H12" s="1263"/>
      <c r="I12" s="1262"/>
      <c r="J12" s="1203"/>
      <c r="K12" s="1264"/>
      <c r="L12" s="1265"/>
      <c r="M12" s="1264"/>
      <c r="N12" s="1203"/>
      <c r="O12" s="1203"/>
      <c r="P12" s="1266"/>
      <c r="Q12" s="1203"/>
      <c r="R12" s="1267"/>
      <c r="S12" s="1203"/>
      <c r="T12" s="1203"/>
      <c r="U12" s="1144"/>
      <c r="V12" s="1259" t="s">
        <v>1025</v>
      </c>
      <c r="W12" s="1092">
        <v>8788</v>
      </c>
      <c r="X12" s="1116">
        <v>0</v>
      </c>
      <c r="Y12" s="1117">
        <v>0.13800000000000001</v>
      </c>
      <c r="Z12" s="1251"/>
      <c r="AA12" s="1251"/>
      <c r="AB12" s="1252"/>
      <c r="AC12" s="1252"/>
      <c r="AD12" s="1252"/>
      <c r="AE12" s="1252"/>
      <c r="AF12" s="1252"/>
      <c r="AG12" s="1252"/>
      <c r="AH12" s="1252"/>
      <c r="AI12" s="1252"/>
      <c r="AJ12" s="1252"/>
      <c r="AK12" s="1252"/>
      <c r="AL12" s="1252"/>
      <c r="AM12" s="1252"/>
      <c r="AN12" s="1252"/>
      <c r="AO12" s="1252"/>
      <c r="AP12" s="1252"/>
      <c r="AQ12" s="1252"/>
      <c r="AR12" s="1252"/>
      <c r="AS12" s="1252"/>
      <c r="AT12" s="1252"/>
      <c r="AU12" s="1252"/>
      <c r="AV12" s="1252"/>
      <c r="AW12" s="1252"/>
      <c r="AX12" s="1252"/>
      <c r="AY12" s="1252"/>
      <c r="AZ12" s="1252"/>
      <c r="BA12" s="1252"/>
      <c r="BB12" s="1252"/>
      <c r="BC12" s="1252"/>
      <c r="BD12" s="1252"/>
      <c r="BE12" s="1252"/>
      <c r="BF12" s="1252"/>
      <c r="BG12" s="1252"/>
    </row>
    <row r="13" spans="1:59" s="1253" customFormat="1" ht="17" thickBot="1" x14ac:dyDescent="0.5">
      <c r="A13" s="1218"/>
      <c r="B13" s="1268"/>
      <c r="C13" s="1269"/>
      <c r="D13" s="1269"/>
      <c r="E13" s="1270"/>
      <c r="F13" s="1269"/>
      <c r="G13" s="1270"/>
      <c r="H13" s="1269"/>
      <c r="I13" s="1270"/>
      <c r="J13" s="1269"/>
      <c r="K13" s="1270"/>
      <c r="L13" s="1269"/>
      <c r="M13" s="1270"/>
      <c r="N13" s="1270"/>
      <c r="O13" s="1270"/>
      <c r="P13" s="1270"/>
      <c r="Q13" s="1270"/>
      <c r="R13" s="1270"/>
      <c r="S13" s="1270"/>
      <c r="T13" s="1270"/>
      <c r="U13" s="1270"/>
      <c r="V13" s="1259" t="s">
        <v>1081</v>
      </c>
      <c r="W13" s="1092">
        <v>50000</v>
      </c>
      <c r="X13" s="1116">
        <v>0</v>
      </c>
      <c r="Y13" s="1109"/>
      <c r="Z13" s="1251"/>
      <c r="AA13" s="1251"/>
      <c r="AB13" s="1252"/>
      <c r="AC13" s="1252"/>
      <c r="AD13" s="1252"/>
      <c r="AE13" s="1252"/>
      <c r="AF13" s="1252"/>
      <c r="AG13" s="1252"/>
      <c r="AH13" s="1252"/>
      <c r="AI13" s="1252"/>
      <c r="AJ13" s="1252"/>
      <c r="AK13" s="1252"/>
      <c r="AL13" s="1252"/>
      <c r="AM13" s="1252"/>
      <c r="AN13" s="1252"/>
      <c r="AO13" s="1252"/>
      <c r="AP13" s="1252"/>
      <c r="AQ13" s="1252"/>
      <c r="AR13" s="1252"/>
      <c r="AS13" s="1252"/>
      <c r="AT13" s="1252"/>
      <c r="AU13" s="1252"/>
      <c r="AV13" s="1252"/>
      <c r="AW13" s="1252"/>
      <c r="AX13" s="1252"/>
      <c r="AY13" s="1252"/>
      <c r="AZ13" s="1252"/>
      <c r="BA13" s="1252"/>
      <c r="BB13" s="1252"/>
      <c r="BC13" s="1252"/>
      <c r="BD13" s="1252"/>
      <c r="BE13" s="1252"/>
      <c r="BF13" s="1252"/>
      <c r="BG13" s="1252"/>
    </row>
    <row r="14" spans="1:59" s="1253" customFormat="1" ht="17.5" thickTop="1" thickBot="1" x14ac:dyDescent="0.5">
      <c r="A14" s="420"/>
      <c r="B14" s="1271"/>
      <c r="C14" s="1271"/>
      <c r="D14" s="1271"/>
      <c r="E14" s="1271"/>
      <c r="F14" s="1272"/>
      <c r="G14" s="1271"/>
      <c r="H14" s="1271"/>
      <c r="I14" s="1271"/>
      <c r="J14" s="1271"/>
      <c r="K14" s="1271"/>
      <c r="L14" s="1271"/>
      <c r="M14" s="1271"/>
      <c r="N14" s="1271"/>
      <c r="O14" s="1271"/>
      <c r="P14" s="1271"/>
      <c r="Q14" s="1271"/>
      <c r="R14" s="1271"/>
      <c r="S14" s="1271"/>
      <c r="T14" s="1271"/>
      <c r="U14" s="1271"/>
      <c r="V14" s="1251"/>
      <c r="W14" s="1092"/>
      <c r="X14" s="1116"/>
      <c r="Y14" s="1117"/>
      <c r="Z14" s="1251"/>
      <c r="AA14" s="1251"/>
      <c r="AB14" s="1252"/>
      <c r="AC14" s="1252"/>
      <c r="AD14" s="1252"/>
      <c r="AE14" s="1252"/>
      <c r="AF14" s="1252"/>
      <c r="AG14" s="1252"/>
      <c r="AH14" s="1252"/>
      <c r="AI14" s="1252"/>
      <c r="AJ14" s="1252"/>
      <c r="AK14" s="1252"/>
      <c r="AL14" s="1252"/>
      <c r="AM14" s="1252"/>
      <c r="AN14" s="1252"/>
      <c r="AO14" s="1252"/>
      <c r="AP14" s="1252"/>
      <c r="AQ14" s="1252"/>
      <c r="AR14" s="1252"/>
      <c r="AS14" s="1252"/>
      <c r="AT14" s="1252"/>
      <c r="AU14" s="1252"/>
      <c r="AV14" s="1252"/>
      <c r="AW14" s="1252"/>
      <c r="AX14" s="1252"/>
      <c r="AY14" s="1252"/>
      <c r="AZ14" s="1252"/>
      <c r="BA14" s="1252"/>
      <c r="BB14" s="1252"/>
      <c r="BC14" s="1252"/>
      <c r="BD14" s="1252"/>
      <c r="BE14" s="1252"/>
      <c r="BF14" s="1252"/>
      <c r="BG14" s="1252"/>
    </row>
    <row r="15" spans="1:59" s="1253" customFormat="1" ht="18.75" customHeight="1" thickTop="1" thickBot="1" x14ac:dyDescent="0.5">
      <c r="A15" s="1218" t="s">
        <v>1016</v>
      </c>
      <c r="B15" s="2031" t="s">
        <v>1082</v>
      </c>
      <c r="C15" s="2032"/>
      <c r="D15" s="2032"/>
      <c r="E15" s="2032"/>
      <c r="F15" s="2032"/>
      <c r="G15" s="2032"/>
      <c r="H15" s="2032"/>
      <c r="I15" s="2032"/>
      <c r="J15" s="2032"/>
      <c r="K15" s="2032"/>
      <c r="L15" s="2032"/>
      <c r="M15" s="2033"/>
      <c r="N15" s="2034" t="s">
        <v>1083</v>
      </c>
      <c r="O15" s="2035"/>
      <c r="P15" s="2035"/>
      <c r="Q15" s="2035"/>
      <c r="R15" s="2035"/>
      <c r="S15" s="2035"/>
      <c r="T15" s="2035"/>
      <c r="U15" s="2036"/>
      <c r="V15" s="1251"/>
      <c r="W15" s="1273" t="s">
        <v>1028</v>
      </c>
      <c r="X15" s="1143">
        <v>0.249</v>
      </c>
      <c r="Y15" s="1144"/>
      <c r="Z15" s="1251"/>
      <c r="AA15" s="1251"/>
      <c r="AB15" s="1252"/>
      <c r="AC15" s="1252"/>
      <c r="AD15" s="1252"/>
      <c r="AE15" s="1252"/>
      <c r="AF15" s="1252"/>
      <c r="AG15" s="1252"/>
      <c r="AH15" s="1252"/>
      <c r="AI15" s="1252"/>
      <c r="AJ15" s="1252"/>
      <c r="AK15" s="1252"/>
      <c r="AL15" s="1252"/>
      <c r="AM15" s="1252"/>
      <c r="AN15" s="1252"/>
      <c r="AO15" s="1252"/>
      <c r="AP15" s="1252"/>
      <c r="AQ15" s="1252"/>
      <c r="AR15" s="1252"/>
      <c r="AS15" s="1252"/>
      <c r="AT15" s="1252"/>
      <c r="AU15" s="1252"/>
      <c r="AV15" s="1252"/>
      <c r="AW15" s="1252"/>
      <c r="AX15" s="1252"/>
      <c r="AY15" s="1252"/>
      <c r="AZ15" s="1252"/>
      <c r="BA15" s="1252"/>
      <c r="BB15" s="1252"/>
      <c r="BC15" s="1252"/>
      <c r="BD15" s="1252"/>
      <c r="BE15" s="1252"/>
      <c r="BF15" s="1252"/>
      <c r="BG15" s="1252"/>
    </row>
    <row r="16" spans="1:59" x14ac:dyDescent="0.35">
      <c r="A16" s="1208"/>
      <c r="B16" s="1274"/>
      <c r="C16" s="1275" t="s">
        <v>1084</v>
      </c>
      <c r="D16" s="1275" t="s">
        <v>1033</v>
      </c>
      <c r="E16" s="1275"/>
      <c r="F16" s="1276" t="s">
        <v>1085</v>
      </c>
      <c r="G16" s="1275"/>
      <c r="H16" s="1276" t="s">
        <v>1035</v>
      </c>
      <c r="I16" s="1275"/>
      <c r="J16" s="1276" t="s">
        <v>1028</v>
      </c>
      <c r="K16" s="1275"/>
      <c r="L16" s="1276" t="s">
        <v>1086</v>
      </c>
      <c r="M16" s="1277"/>
      <c r="N16" s="1278" t="s">
        <v>1085</v>
      </c>
      <c r="O16" s="1275"/>
      <c r="P16" s="1275"/>
      <c r="Q16" s="1275"/>
      <c r="R16" s="1276" t="s">
        <v>1035</v>
      </c>
      <c r="S16" s="1275"/>
      <c r="T16" s="1279" t="s">
        <v>1086</v>
      </c>
      <c r="U16" s="1280"/>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D16" s="1208"/>
      <c r="BE16" s="1208"/>
      <c r="BF16" s="1208"/>
      <c r="BG16" s="1208"/>
    </row>
    <row r="17" spans="1:59" ht="16" customHeight="1" thickBot="1" x14ac:dyDescent="0.4">
      <c r="A17" s="1208"/>
      <c r="B17" s="1281"/>
      <c r="C17" s="1282"/>
      <c r="D17" s="1282"/>
      <c r="E17" s="1282"/>
      <c r="F17" s="1282"/>
      <c r="G17" s="1282"/>
      <c r="H17" s="1282"/>
      <c r="I17" s="1282"/>
      <c r="J17" s="1282"/>
      <c r="K17" s="1282"/>
      <c r="L17" s="1282"/>
      <c r="M17" s="1282"/>
      <c r="N17" s="1283"/>
      <c r="O17" s="1282"/>
      <c r="P17" s="1282"/>
      <c r="Q17" s="1282"/>
      <c r="R17" s="1282"/>
      <c r="S17" s="1282"/>
      <c r="T17" s="1282"/>
      <c r="U17" s="1284"/>
      <c r="V17" s="1208"/>
      <c r="W17" s="1208"/>
      <c r="X17" s="1285"/>
      <c r="Y17" s="1208"/>
      <c r="Z17" s="120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V17" s="1208"/>
      <c r="AW17" s="1208"/>
      <c r="AX17" s="1208"/>
      <c r="AY17" s="1208"/>
      <c r="AZ17" s="1208"/>
      <c r="BA17" s="1208"/>
      <c r="BB17" s="1208"/>
      <c r="BC17" s="1208"/>
      <c r="BD17" s="1208"/>
      <c r="BE17" s="1208"/>
      <c r="BF17" s="1208"/>
      <c r="BG17" s="1208"/>
    </row>
    <row r="18" spans="1:59" ht="16" customHeight="1" x14ac:dyDescent="0.35">
      <c r="A18" s="1208"/>
      <c r="B18" s="1128"/>
      <c r="C18" s="1286" t="s">
        <v>1087</v>
      </c>
      <c r="D18" s="1287"/>
      <c r="E18" s="1288"/>
      <c r="F18" s="1289"/>
      <c r="G18" s="1290"/>
      <c r="H18" s="1289"/>
      <c r="I18" s="1290"/>
      <c r="J18" s="1289"/>
      <c r="K18" s="1290"/>
      <c r="L18" s="1289"/>
      <c r="M18" s="1290"/>
      <c r="N18" s="1291"/>
      <c r="O18" s="1290"/>
      <c r="P18" s="1290"/>
      <c r="Q18" s="1290"/>
      <c r="R18" s="1289"/>
      <c r="S18" s="1290"/>
      <c r="T18" s="1289"/>
      <c r="U18" s="1135"/>
      <c r="V18" s="1208"/>
      <c r="W18" s="1208"/>
      <c r="X18" s="1285"/>
      <c r="Y18" s="1208"/>
      <c r="Z18" s="1208"/>
      <c r="AA18" s="1208"/>
      <c r="AB18" s="1208"/>
      <c r="AC18" s="1208"/>
      <c r="AD18" s="1208"/>
      <c r="AE18" s="1208"/>
      <c r="AF18" s="1208"/>
      <c r="AG18" s="1208"/>
      <c r="AH18" s="1208"/>
      <c r="AI18" s="1208"/>
      <c r="AJ18" s="1208"/>
      <c r="AK18" s="1208"/>
      <c r="AL18" s="1208"/>
      <c r="AM18" s="1208"/>
      <c r="AN18" s="1208"/>
      <c r="AO18" s="1208"/>
      <c r="AP18" s="1208"/>
      <c r="AQ18" s="1208"/>
      <c r="AR18" s="1208"/>
      <c r="AS18" s="1208"/>
      <c r="AT18" s="1208"/>
      <c r="AU18" s="1208"/>
      <c r="AV18" s="1208"/>
      <c r="AW18" s="1208"/>
      <c r="AX18" s="1208"/>
      <c r="AY18" s="1208"/>
      <c r="AZ18" s="1208"/>
      <c r="BA18" s="1208"/>
      <c r="BB18" s="1208"/>
      <c r="BC18" s="1208"/>
      <c r="BD18" s="1208"/>
      <c r="BE18" s="1208"/>
      <c r="BF18" s="1208"/>
      <c r="BG18" s="1208"/>
    </row>
    <row r="19" spans="1:59" ht="16" customHeight="1" x14ac:dyDescent="0.35">
      <c r="A19" s="1208"/>
      <c r="B19" s="1128"/>
      <c r="C19" s="1292" t="s">
        <v>1088</v>
      </c>
      <c r="D19" s="1287"/>
      <c r="E19" s="1288"/>
      <c r="F19" s="1289"/>
      <c r="G19" s="1290"/>
      <c r="H19" s="1289"/>
      <c r="I19" s="1290"/>
      <c r="J19" s="1289"/>
      <c r="K19" s="1290"/>
      <c r="L19" s="1289"/>
      <c r="M19" s="1290"/>
      <c r="N19" s="1291"/>
      <c r="O19" s="1290"/>
      <c r="P19" s="1290"/>
      <c r="Q19" s="1290"/>
      <c r="R19" s="1289"/>
      <c r="S19" s="1290"/>
      <c r="T19" s="1289"/>
      <c r="U19" s="1135"/>
      <c r="V19" s="1208"/>
      <c r="W19" s="1293" t="s">
        <v>1089</v>
      </c>
      <c r="X19" s="1208"/>
      <c r="Y19" s="1208"/>
      <c r="Z19" s="1208"/>
      <c r="AA19" s="1208"/>
      <c r="AB19" s="1208"/>
      <c r="AC19" s="1208"/>
      <c r="AD19" s="1208"/>
      <c r="AE19" s="1208"/>
      <c r="AF19" s="1208"/>
      <c r="AG19" s="1208"/>
      <c r="AH19" s="1208"/>
      <c r="AI19" s="1208"/>
      <c r="AJ19" s="1208"/>
      <c r="AK19" s="1208"/>
      <c r="AL19" s="1208"/>
      <c r="AM19" s="1208"/>
      <c r="AN19" s="1208"/>
      <c r="AO19" s="1208"/>
      <c r="AP19" s="1208"/>
      <c r="AQ19" s="1208"/>
      <c r="AR19" s="1208"/>
      <c r="AS19" s="1208"/>
      <c r="AT19" s="1208"/>
      <c r="AU19" s="1208"/>
      <c r="AV19" s="1208"/>
      <c r="AW19" s="1208"/>
      <c r="AX19" s="1208"/>
      <c r="AY19" s="1208"/>
      <c r="AZ19" s="1208"/>
      <c r="BA19" s="1208"/>
      <c r="BB19" s="1208"/>
      <c r="BC19" s="1208"/>
      <c r="BD19" s="1208"/>
      <c r="BE19" s="1208"/>
      <c r="BF19" s="1208"/>
      <c r="BG19" s="1208"/>
    </row>
    <row r="20" spans="1:59" ht="16" customHeight="1" x14ac:dyDescent="0.35">
      <c r="A20" s="1208"/>
      <c r="B20" s="1162"/>
      <c r="C20" s="1292" t="s">
        <v>1090</v>
      </c>
      <c r="D20" s="1292">
        <v>6</v>
      </c>
      <c r="E20" s="1288"/>
      <c r="F20" s="1289">
        <f>SUM([20]Sheet2!E21*195/229)</f>
        <v>15693.895906113539</v>
      </c>
      <c r="G20" s="1290"/>
      <c r="H20" s="1289">
        <f t="shared" ref="H20:H38" si="0">IF($F20&gt;$W$12,($F20-$W$12)*$Y$12,"ERROR")</f>
        <v>953.0136350436685</v>
      </c>
      <c r="I20" s="1290"/>
      <c r="J20" s="1289">
        <f t="shared" ref="J20:J41" si="1">$F20*$X$15</f>
        <v>3907.7800806222713</v>
      </c>
      <c r="K20" s="1290"/>
      <c r="L20" s="1289">
        <f t="shared" ref="L20:L39" si="2">F20+ROUND(H20,0)+ROUND(J20,0)</f>
        <v>20554.895906113539</v>
      </c>
      <c r="M20" s="1290"/>
      <c r="N20" s="1291">
        <f t="shared" ref="N20:N39" si="3">F20</f>
        <v>15693.895906113539</v>
      </c>
      <c r="O20" s="1290"/>
      <c r="P20" s="1290"/>
      <c r="Q20" s="1290"/>
      <c r="R20" s="1289">
        <f t="shared" ref="R20:R39" si="4">IF($N20&gt;$W$12,($N20-$W$12)*$Y$12,"ERROR")</f>
        <v>953.0136350436685</v>
      </c>
      <c r="S20" s="1290"/>
      <c r="T20" s="1289">
        <f t="shared" ref="T20:T39" si="5">SUM(N20:R20)</f>
        <v>16646.909541157209</v>
      </c>
      <c r="U20" s="1135"/>
      <c r="V20" s="1294"/>
      <c r="W20" s="1293" t="s">
        <v>1039</v>
      </c>
      <c r="X20" s="1208"/>
      <c r="Y20" s="1208"/>
      <c r="Z20" s="1208"/>
      <c r="AA20" s="1208"/>
      <c r="AB20" s="1208"/>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row>
    <row r="21" spans="1:59" ht="16" customHeight="1" x14ac:dyDescent="0.35">
      <c r="A21" s="1208"/>
      <c r="B21" s="1162"/>
      <c r="C21" s="1292" t="s">
        <v>1087</v>
      </c>
      <c r="D21" s="1292">
        <v>7</v>
      </c>
      <c r="E21" s="1288"/>
      <c r="F21" s="1289">
        <f>SUM([20]Sheet2!E22*195/229)</f>
        <v>15805.888919213976</v>
      </c>
      <c r="G21" s="1290"/>
      <c r="H21" s="1289">
        <f t="shared" si="0"/>
        <v>968.46867085152871</v>
      </c>
      <c r="I21" s="1290"/>
      <c r="J21" s="1289">
        <f t="shared" si="1"/>
        <v>3935.6663408842801</v>
      </c>
      <c r="K21" s="1290"/>
      <c r="L21" s="1289">
        <f t="shared" si="2"/>
        <v>20709.888919213976</v>
      </c>
      <c r="M21" s="1290"/>
      <c r="N21" s="1291">
        <f t="shared" si="3"/>
        <v>15805.888919213976</v>
      </c>
      <c r="O21" s="1290"/>
      <c r="P21" s="1290"/>
      <c r="Q21" s="1290"/>
      <c r="R21" s="1289">
        <f t="shared" si="4"/>
        <v>968.46867085152871</v>
      </c>
      <c r="S21" s="1290"/>
      <c r="T21" s="1289">
        <f t="shared" si="5"/>
        <v>16774.357590065505</v>
      </c>
      <c r="U21" s="1135"/>
      <c r="V21" s="1294"/>
      <c r="W21" s="1293"/>
      <c r="X21" s="1208"/>
      <c r="Y21" s="1208"/>
      <c r="Z21" s="1208"/>
      <c r="AA21" s="1208"/>
      <c r="AB21" s="1208"/>
      <c r="AC21" s="1208"/>
      <c r="AD21" s="1208"/>
      <c r="AE21" s="1208"/>
      <c r="AF21" s="1208"/>
      <c r="AG21" s="1208"/>
      <c r="AH21" s="1208"/>
      <c r="AI21" s="1208"/>
      <c r="AJ21" s="1208"/>
      <c r="AK21" s="1208"/>
      <c r="AL21" s="1208"/>
      <c r="AM21" s="1208"/>
      <c r="AN21" s="1208"/>
      <c r="AO21" s="1208"/>
      <c r="AP21" s="1208"/>
      <c r="AQ21" s="1208"/>
      <c r="AR21" s="1208"/>
      <c r="AS21" s="1208"/>
      <c r="AT21" s="1208"/>
      <c r="AU21" s="1208"/>
      <c r="AV21" s="1208"/>
      <c r="AW21" s="1208"/>
      <c r="AX21" s="1208"/>
      <c r="AY21" s="1208"/>
      <c r="AZ21" s="1208"/>
      <c r="BA21" s="1208"/>
      <c r="BB21" s="1208"/>
      <c r="BC21" s="1208"/>
      <c r="BD21" s="1208"/>
      <c r="BE21" s="1208"/>
      <c r="BF21" s="1208"/>
      <c r="BG21" s="1208"/>
    </row>
    <row r="22" spans="1:59" ht="16" customHeight="1" x14ac:dyDescent="0.35">
      <c r="A22" s="1208"/>
      <c r="B22" s="1162"/>
      <c r="C22" s="1292" t="s">
        <v>1087</v>
      </c>
      <c r="D22" s="1292">
        <v>8</v>
      </c>
      <c r="E22" s="1288"/>
      <c r="F22" s="1289">
        <f>SUM([20]Sheet2!E23*195/229)</f>
        <v>16115.619596069871</v>
      </c>
      <c r="G22" s="1290"/>
      <c r="H22" s="1289">
        <f t="shared" si="0"/>
        <v>1011.2115042576423</v>
      </c>
      <c r="I22" s="1290"/>
      <c r="J22" s="1289">
        <f t="shared" si="1"/>
        <v>4012.7892794213981</v>
      </c>
      <c r="K22" s="1290"/>
      <c r="L22" s="1289">
        <f t="shared" si="2"/>
        <v>21139.619596069871</v>
      </c>
      <c r="M22" s="1290"/>
      <c r="N22" s="1291">
        <f t="shared" si="3"/>
        <v>16115.619596069871</v>
      </c>
      <c r="O22" s="1290"/>
      <c r="P22" s="1290"/>
      <c r="Q22" s="1290"/>
      <c r="R22" s="1289">
        <f t="shared" si="4"/>
        <v>1011.2115042576423</v>
      </c>
      <c r="S22" s="1290"/>
      <c r="T22" s="1289">
        <f t="shared" si="5"/>
        <v>17126.831100327512</v>
      </c>
      <c r="U22" s="1135"/>
      <c r="V22" s="1294"/>
      <c r="W22" s="1293" t="s">
        <v>1040</v>
      </c>
      <c r="X22" s="1208"/>
      <c r="Y22" s="1208"/>
      <c r="Z22" s="1208"/>
      <c r="AA22" s="1208"/>
      <c r="AB22" s="1208"/>
      <c r="AC22" s="1208"/>
      <c r="AD22" s="1208"/>
      <c r="AE22" s="1208"/>
      <c r="AF22" s="1208"/>
      <c r="AG22" s="1208"/>
      <c r="AH22" s="1208"/>
      <c r="AI22" s="1208"/>
      <c r="AJ22" s="1208"/>
      <c r="AK22" s="1208"/>
      <c r="AL22" s="1208"/>
      <c r="AM22" s="1208"/>
      <c r="AN22" s="1208"/>
      <c r="AO22" s="1208"/>
      <c r="AP22" s="1208"/>
      <c r="AQ22" s="1208"/>
      <c r="AR22" s="1208"/>
      <c r="AS22" s="1208"/>
      <c r="AT22" s="1208"/>
      <c r="AU22" s="1208"/>
      <c r="AV22" s="1208"/>
      <c r="AW22" s="1208"/>
      <c r="AX22" s="1208"/>
      <c r="AY22" s="1208"/>
      <c r="AZ22" s="1208"/>
      <c r="BA22" s="1208"/>
      <c r="BB22" s="1208"/>
      <c r="BC22" s="1208"/>
      <c r="BD22" s="1208"/>
      <c r="BE22" s="1208"/>
      <c r="BF22" s="1208"/>
      <c r="BG22" s="1208"/>
    </row>
    <row r="23" spans="1:59" ht="16" customHeight="1" x14ac:dyDescent="0.35">
      <c r="A23" s="1208"/>
      <c r="B23" s="1162"/>
      <c r="C23" s="1295" t="s">
        <v>1087</v>
      </c>
      <c r="D23" s="1295">
        <v>9</v>
      </c>
      <c r="E23" s="1296"/>
      <c r="F23" s="1297">
        <f>SUM([20]Sheet2!E24*195/229)</f>
        <v>16462.972925764192</v>
      </c>
      <c r="G23" s="1298"/>
      <c r="H23" s="1297">
        <f t="shared" si="0"/>
        <v>1059.1462637554587</v>
      </c>
      <c r="I23" s="1298"/>
      <c r="J23" s="1297">
        <f t="shared" si="1"/>
        <v>4099.280258515284</v>
      </c>
      <c r="K23" s="1298"/>
      <c r="L23" s="1297">
        <f t="shared" si="2"/>
        <v>21620.972925764192</v>
      </c>
      <c r="M23" s="1298"/>
      <c r="N23" s="1299">
        <f t="shared" si="3"/>
        <v>16462.972925764192</v>
      </c>
      <c r="O23" s="1298"/>
      <c r="P23" s="1298"/>
      <c r="Q23" s="1298"/>
      <c r="R23" s="1297">
        <f t="shared" si="4"/>
        <v>1059.1462637554587</v>
      </c>
      <c r="S23" s="1298"/>
      <c r="T23" s="1297">
        <f t="shared" si="5"/>
        <v>17522.11918951965</v>
      </c>
      <c r="U23" s="1135"/>
      <c r="V23" s="1208"/>
      <c r="W23" s="1293" t="s">
        <v>1041</v>
      </c>
      <c r="X23" s="1208"/>
      <c r="Y23" s="1208"/>
      <c r="Z23" s="1208"/>
      <c r="AA23" s="1208"/>
      <c r="AB23" s="1208"/>
      <c r="AC23" s="1208"/>
      <c r="AD23" s="1208"/>
      <c r="AE23" s="1208"/>
      <c r="AF23" s="1208"/>
      <c r="AG23" s="1208"/>
      <c r="AH23" s="1208"/>
      <c r="AI23" s="1208"/>
      <c r="AJ23" s="1208"/>
      <c r="AK23" s="1208"/>
      <c r="AL23" s="1208"/>
      <c r="AM23" s="1208"/>
      <c r="AN23" s="1208"/>
      <c r="AO23" s="1208"/>
      <c r="AP23" s="1208"/>
      <c r="AQ23" s="1208"/>
      <c r="AR23" s="1208"/>
      <c r="AS23" s="1208"/>
      <c r="AT23" s="1208"/>
      <c r="AU23" s="1208"/>
      <c r="AV23" s="1208"/>
      <c r="AW23" s="1208"/>
      <c r="AX23" s="1208"/>
      <c r="AY23" s="1208"/>
      <c r="AZ23" s="1208"/>
      <c r="BA23" s="1208"/>
      <c r="BB23" s="1208"/>
      <c r="BC23" s="1208"/>
      <c r="BD23" s="1208"/>
      <c r="BE23" s="1208"/>
      <c r="BF23" s="1208"/>
      <c r="BG23" s="1208"/>
    </row>
    <row r="24" spans="1:59" ht="16" customHeight="1" x14ac:dyDescent="0.35">
      <c r="A24" s="1208"/>
      <c r="B24" s="1162"/>
      <c r="C24" s="1292" t="s">
        <v>1091</v>
      </c>
      <c r="D24" s="1292">
        <v>12</v>
      </c>
      <c r="E24" s="1288"/>
      <c r="F24" s="1289">
        <f>SUM([20]Sheet2!E27*195/229)</f>
        <v>17381.665611353714</v>
      </c>
      <c r="G24" s="1290"/>
      <c r="H24" s="1289">
        <f t="shared" si="0"/>
        <v>1185.9258543668127</v>
      </c>
      <c r="I24" s="1290"/>
      <c r="J24" s="1289">
        <f t="shared" si="1"/>
        <v>4328.0347372270744</v>
      </c>
      <c r="K24" s="1290"/>
      <c r="L24" s="1289">
        <f t="shared" si="2"/>
        <v>22895.665611353714</v>
      </c>
      <c r="M24" s="1290"/>
      <c r="N24" s="1291">
        <f t="shared" si="3"/>
        <v>17381.665611353714</v>
      </c>
      <c r="O24" s="1290"/>
      <c r="P24" s="1290"/>
      <c r="Q24" s="1290"/>
      <c r="R24" s="1289">
        <f t="shared" si="4"/>
        <v>1185.9258543668127</v>
      </c>
      <c r="S24" s="1290"/>
      <c r="T24" s="1289">
        <f t="shared" si="5"/>
        <v>18567.591465720525</v>
      </c>
      <c r="U24" s="1135"/>
      <c r="V24" s="1294"/>
      <c r="W24" s="1293"/>
      <c r="X24" s="1208"/>
      <c r="Y24" s="1208"/>
      <c r="Z24" s="1208"/>
      <c r="AA24" s="1208"/>
      <c r="AB24" s="1208"/>
      <c r="AC24" s="1208"/>
      <c r="AD24" s="1208"/>
      <c r="AE24" s="1208"/>
      <c r="AF24" s="1208"/>
      <c r="AG24" s="1208"/>
      <c r="AH24" s="1208"/>
      <c r="AI24" s="1208"/>
      <c r="AJ24" s="1208"/>
      <c r="AK24" s="1208"/>
      <c r="AL24" s="1208"/>
      <c r="AM24" s="1208"/>
      <c r="AN24" s="1208"/>
      <c r="AO24" s="1208"/>
      <c r="AP24" s="1208"/>
      <c r="AQ24" s="1208"/>
      <c r="AR24" s="1208"/>
      <c r="AS24" s="1208"/>
      <c r="AT24" s="1208"/>
      <c r="AU24" s="1208"/>
      <c r="AV24" s="1208"/>
      <c r="AW24" s="1208"/>
      <c r="AX24" s="1208"/>
      <c r="AY24" s="1208"/>
      <c r="AZ24" s="1208"/>
      <c r="BA24" s="1208"/>
      <c r="BB24" s="1208"/>
      <c r="BC24" s="1208"/>
      <c r="BD24" s="1208"/>
      <c r="BE24" s="1208"/>
      <c r="BF24" s="1208"/>
      <c r="BG24" s="1208"/>
    </row>
    <row r="25" spans="1:59" ht="16" customHeight="1" x14ac:dyDescent="0.35">
      <c r="A25" s="1208"/>
      <c r="B25" s="1162"/>
      <c r="C25" s="1292" t="s">
        <v>1092</v>
      </c>
      <c r="D25" s="1292">
        <v>13</v>
      </c>
      <c r="E25" s="1288"/>
      <c r="F25" s="1289">
        <f>SUM([20]Sheet2!E28*195/229)</f>
        <v>17799.889519650656</v>
      </c>
      <c r="G25" s="1290"/>
      <c r="H25" s="1289">
        <f t="shared" si="0"/>
        <v>1243.6407537117907</v>
      </c>
      <c r="I25" s="1290"/>
      <c r="J25" s="1289">
        <f t="shared" si="1"/>
        <v>4432.1724903930135</v>
      </c>
      <c r="K25" s="1290"/>
      <c r="L25" s="1289">
        <f t="shared" si="2"/>
        <v>23475.889519650656</v>
      </c>
      <c r="M25" s="1290"/>
      <c r="N25" s="1291">
        <f t="shared" si="3"/>
        <v>17799.889519650656</v>
      </c>
      <c r="O25" s="1290"/>
      <c r="P25" s="1290"/>
      <c r="Q25" s="1290"/>
      <c r="R25" s="1289">
        <f t="shared" si="4"/>
        <v>1243.6407537117907</v>
      </c>
      <c r="S25" s="1290"/>
      <c r="T25" s="1289">
        <f t="shared" si="5"/>
        <v>19043.530273362448</v>
      </c>
      <c r="U25" s="1135"/>
      <c r="V25" s="1294"/>
      <c r="W25" s="1293" t="s">
        <v>1045</v>
      </c>
      <c r="X25" s="1208"/>
      <c r="Y25" s="1208"/>
      <c r="Z25" s="1208"/>
      <c r="AA25" s="1208"/>
      <c r="AB25" s="1208"/>
      <c r="AC25" s="1208"/>
      <c r="AD25" s="1208"/>
      <c r="AE25" s="1208"/>
      <c r="AF25" s="1208"/>
      <c r="AG25" s="1208"/>
      <c r="AH25" s="1208"/>
      <c r="AI25" s="1208"/>
      <c r="AJ25" s="1208"/>
      <c r="AK25" s="1208"/>
      <c r="AL25" s="1208"/>
      <c r="AM25" s="1208"/>
      <c r="AN25" s="1208"/>
      <c r="AO25" s="1208"/>
      <c r="AP25" s="1208"/>
      <c r="AQ25" s="1208"/>
      <c r="AR25" s="1208"/>
      <c r="AS25" s="1208"/>
      <c r="AT25" s="1208"/>
      <c r="AU25" s="1208"/>
      <c r="AV25" s="1208"/>
      <c r="AW25" s="1208"/>
      <c r="AX25" s="1208"/>
      <c r="AY25" s="1208"/>
      <c r="AZ25" s="1208"/>
      <c r="BA25" s="1208"/>
      <c r="BB25" s="1208"/>
      <c r="BC25" s="1208"/>
      <c r="BD25" s="1208"/>
      <c r="BE25" s="1208"/>
      <c r="BF25" s="1208"/>
      <c r="BG25" s="1208"/>
    </row>
    <row r="26" spans="1:59" ht="16" customHeight="1" x14ac:dyDescent="0.35">
      <c r="A26" s="1208"/>
      <c r="B26" s="1162"/>
      <c r="C26" s="1292" t="s">
        <v>1087</v>
      </c>
      <c r="D26" s="1292">
        <v>14</v>
      </c>
      <c r="E26" s="1288"/>
      <c r="F26" s="1289">
        <f>SUM([20]Sheet2!E29*195/229)</f>
        <v>18504.220578602624</v>
      </c>
      <c r="G26" s="1290"/>
      <c r="H26" s="1289">
        <f t="shared" si="0"/>
        <v>1340.8384398471624</v>
      </c>
      <c r="I26" s="1290"/>
      <c r="J26" s="1289">
        <f t="shared" si="1"/>
        <v>4607.550924072053</v>
      </c>
      <c r="K26" s="1290"/>
      <c r="L26" s="1289">
        <f t="shared" si="2"/>
        <v>24453.220578602624</v>
      </c>
      <c r="M26" s="1300"/>
      <c r="N26" s="1290">
        <f t="shared" si="3"/>
        <v>18504.220578602624</v>
      </c>
      <c r="O26" s="1290"/>
      <c r="P26" s="1290"/>
      <c r="Q26" s="1290"/>
      <c r="R26" s="1289">
        <f t="shared" si="4"/>
        <v>1340.8384398471624</v>
      </c>
      <c r="S26" s="1290"/>
      <c r="T26" s="1289">
        <f t="shared" si="5"/>
        <v>19845.059018449785</v>
      </c>
      <c r="U26" s="1135"/>
      <c r="V26" s="1294"/>
      <c r="W26" s="1293" t="s">
        <v>1047</v>
      </c>
      <c r="X26" s="1208"/>
      <c r="Y26" s="1208"/>
      <c r="Z26" s="1208"/>
      <c r="AA26" s="1208"/>
      <c r="AB26" s="1208"/>
      <c r="AC26" s="1208"/>
      <c r="AD26" s="1208"/>
      <c r="AE26" s="1208"/>
      <c r="AF26" s="1208"/>
      <c r="AG26" s="1208"/>
      <c r="AH26" s="1208"/>
      <c r="AI26" s="1208"/>
      <c r="AJ26" s="1208"/>
      <c r="AK26" s="1208"/>
      <c r="AL26" s="1208"/>
      <c r="AM26" s="1208"/>
      <c r="AN26" s="1208"/>
      <c r="AO26" s="1208"/>
      <c r="AP26" s="1208"/>
      <c r="AQ26" s="1208"/>
      <c r="AR26" s="1208"/>
      <c r="AS26" s="1208"/>
      <c r="AT26" s="1208"/>
      <c r="AU26" s="1208"/>
      <c r="AV26" s="1208"/>
      <c r="AW26" s="1208"/>
      <c r="AX26" s="1208"/>
      <c r="AY26" s="1208"/>
      <c r="AZ26" s="1208"/>
      <c r="BA26" s="1208"/>
      <c r="BB26" s="1208"/>
      <c r="BC26" s="1208"/>
      <c r="BD26" s="1208"/>
      <c r="BE26" s="1208"/>
      <c r="BF26" s="1208"/>
      <c r="BG26" s="1208"/>
    </row>
    <row r="27" spans="1:59" ht="16" customHeight="1" x14ac:dyDescent="0.35">
      <c r="A27" s="1208"/>
      <c r="B27" s="1162"/>
      <c r="C27" s="1295" t="s">
        <v>1087</v>
      </c>
      <c r="D27" s="1295">
        <v>15</v>
      </c>
      <c r="E27" s="1296"/>
      <c r="F27" s="1297">
        <f>SUM([20]Sheet2!E30*195/229)</f>
        <v>19276.797379912667</v>
      </c>
      <c r="G27" s="1298"/>
      <c r="H27" s="1297">
        <f t="shared" si="0"/>
        <v>1447.454038427948</v>
      </c>
      <c r="I27" s="1298"/>
      <c r="J27" s="1297">
        <f t="shared" si="1"/>
        <v>4799.9225475982539</v>
      </c>
      <c r="K27" s="1298"/>
      <c r="L27" s="1297">
        <f t="shared" si="2"/>
        <v>25523.797379912667</v>
      </c>
      <c r="M27" s="1298"/>
      <c r="N27" s="1299">
        <f t="shared" si="3"/>
        <v>19276.797379912667</v>
      </c>
      <c r="O27" s="1298"/>
      <c r="P27" s="1298"/>
      <c r="Q27" s="1298"/>
      <c r="R27" s="1297">
        <f t="shared" si="4"/>
        <v>1447.454038427948</v>
      </c>
      <c r="S27" s="1298"/>
      <c r="T27" s="1297">
        <f t="shared" si="5"/>
        <v>20724.251418340617</v>
      </c>
      <c r="U27" s="1135"/>
      <c r="V27" s="1294"/>
      <c r="W27" s="1293"/>
      <c r="X27" s="1208"/>
      <c r="Y27" s="1208"/>
      <c r="Z27" s="1208"/>
      <c r="AA27" s="1208"/>
      <c r="AB27" s="1208"/>
      <c r="AC27" s="1208"/>
      <c r="AD27" s="1208"/>
      <c r="AE27" s="1208"/>
      <c r="AF27" s="1208"/>
      <c r="AG27" s="1208"/>
      <c r="AH27" s="1208"/>
      <c r="AI27" s="1208"/>
      <c r="AJ27" s="1208"/>
      <c r="AK27" s="1208"/>
      <c r="AL27" s="1208"/>
      <c r="AM27" s="1208"/>
      <c r="AN27" s="1208"/>
      <c r="AO27" s="1208"/>
      <c r="AP27" s="1208"/>
      <c r="AQ27" s="1208"/>
      <c r="AR27" s="1208"/>
      <c r="AS27" s="1208"/>
      <c r="AT27" s="1208"/>
      <c r="AU27" s="1208"/>
      <c r="AV27" s="1208"/>
      <c r="AW27" s="1208"/>
      <c r="AX27" s="1208"/>
      <c r="AY27" s="1208"/>
      <c r="AZ27" s="1208"/>
      <c r="BA27" s="1208"/>
      <c r="BB27" s="1208"/>
      <c r="BC27" s="1208"/>
      <c r="BD27" s="1208"/>
      <c r="BE27" s="1208"/>
      <c r="BF27" s="1208"/>
      <c r="BG27" s="1208"/>
    </row>
    <row r="28" spans="1:59" ht="16" customHeight="1" x14ac:dyDescent="0.35">
      <c r="A28" s="1208"/>
      <c r="B28" s="1162"/>
      <c r="C28" s="1292" t="s">
        <v>1093</v>
      </c>
      <c r="D28" s="1292">
        <v>15</v>
      </c>
      <c r="E28" s="1288"/>
      <c r="F28" s="1289">
        <f>SUM([20]Sheet2!E30*195/229)</f>
        <v>19276.797379912667</v>
      </c>
      <c r="G28" s="1290"/>
      <c r="H28" s="1289">
        <f t="shared" si="0"/>
        <v>1447.454038427948</v>
      </c>
      <c r="I28" s="1290"/>
      <c r="J28" s="1289">
        <f t="shared" si="1"/>
        <v>4799.9225475982539</v>
      </c>
      <c r="K28" s="1290"/>
      <c r="L28" s="1289">
        <f t="shared" si="2"/>
        <v>25523.797379912667</v>
      </c>
      <c r="M28" s="1290"/>
      <c r="N28" s="1291">
        <f t="shared" si="3"/>
        <v>19276.797379912667</v>
      </c>
      <c r="O28" s="1290"/>
      <c r="P28" s="1290"/>
      <c r="Q28" s="1290"/>
      <c r="R28" s="1289">
        <f t="shared" si="4"/>
        <v>1447.454038427948</v>
      </c>
      <c r="S28" s="1290"/>
      <c r="T28" s="1289">
        <f t="shared" si="5"/>
        <v>20724.251418340617</v>
      </c>
      <c r="U28" s="1135"/>
      <c r="V28" s="1294"/>
      <c r="W28" s="1293" t="s">
        <v>1048</v>
      </c>
      <c r="X28" s="1208"/>
      <c r="Y28" s="1208"/>
      <c r="Z28" s="1208"/>
      <c r="AA28" s="1208"/>
      <c r="AB28" s="1208"/>
      <c r="AC28" s="1208"/>
      <c r="AD28" s="1208"/>
      <c r="AE28" s="1208"/>
      <c r="AF28" s="1208"/>
      <c r="AG28" s="1208"/>
      <c r="AH28" s="1208"/>
      <c r="AI28" s="1208"/>
      <c r="AJ28" s="1208"/>
      <c r="AK28" s="1208"/>
      <c r="AL28" s="1208"/>
      <c r="AM28" s="1208"/>
      <c r="AN28" s="1208"/>
      <c r="AO28" s="1208"/>
      <c r="AP28" s="1208"/>
      <c r="AQ28" s="1208"/>
      <c r="AR28" s="1208"/>
      <c r="AS28" s="1208"/>
      <c r="AT28" s="1208"/>
      <c r="AU28" s="1208"/>
      <c r="AV28" s="1208"/>
      <c r="AW28" s="1208"/>
      <c r="AX28" s="1208"/>
      <c r="AY28" s="1208"/>
      <c r="AZ28" s="1208"/>
      <c r="BA28" s="1208"/>
      <c r="BB28" s="1208"/>
      <c r="BC28" s="1208"/>
      <c r="BD28" s="1208"/>
      <c r="BE28" s="1208"/>
      <c r="BF28" s="1208"/>
      <c r="BG28" s="1208"/>
    </row>
    <row r="29" spans="1:59" ht="16" customHeight="1" x14ac:dyDescent="0.35">
      <c r="A29" s="1208"/>
      <c r="B29" s="1162"/>
      <c r="C29" s="1292" t="s">
        <v>1094</v>
      </c>
      <c r="D29" s="1292">
        <v>16</v>
      </c>
      <c r="E29" s="1288"/>
      <c r="F29" s="1289">
        <f>SUM([20]Sheet2!E31*195/229)</f>
        <v>20045.874399563323</v>
      </c>
      <c r="G29" s="1290"/>
      <c r="H29" s="1289">
        <f t="shared" si="0"/>
        <v>1553.5866671397387</v>
      </c>
      <c r="I29" s="1290"/>
      <c r="J29" s="1289">
        <f t="shared" si="1"/>
        <v>4991.4227254912676</v>
      </c>
      <c r="K29" s="1290"/>
      <c r="L29" s="1289">
        <f t="shared" si="2"/>
        <v>26590.874399563323</v>
      </c>
      <c r="M29" s="1290"/>
      <c r="N29" s="1291">
        <f t="shared" si="3"/>
        <v>20045.874399563323</v>
      </c>
      <c r="O29" s="1290"/>
      <c r="P29" s="1290"/>
      <c r="Q29" s="1290"/>
      <c r="R29" s="1289">
        <f t="shared" si="4"/>
        <v>1553.5866671397387</v>
      </c>
      <c r="S29" s="1290"/>
      <c r="T29" s="1289">
        <f t="shared" si="5"/>
        <v>21599.461066703061</v>
      </c>
      <c r="U29" s="1135"/>
      <c r="V29" s="1294"/>
      <c r="W29" s="1293" t="s">
        <v>1050</v>
      </c>
      <c r="X29" s="1208"/>
      <c r="Y29" s="1208"/>
      <c r="Z29" s="1208"/>
      <c r="AA29" s="1208"/>
      <c r="AB29" s="1208"/>
      <c r="AC29" s="1208"/>
      <c r="AD29" s="1208"/>
      <c r="AE29" s="1208"/>
      <c r="AF29" s="1208"/>
      <c r="AG29" s="1208"/>
      <c r="AH29" s="1208"/>
      <c r="AI29" s="1208"/>
      <c r="AJ29" s="1208"/>
      <c r="AK29" s="1208"/>
      <c r="AL29" s="1208"/>
      <c r="AM29" s="1208"/>
      <c r="AN29" s="1208"/>
      <c r="AO29" s="1208"/>
      <c r="AP29" s="1208"/>
      <c r="AQ29" s="1208"/>
      <c r="AR29" s="1208"/>
      <c r="AS29" s="1208"/>
      <c r="AT29" s="1208"/>
      <c r="AU29" s="1208"/>
      <c r="AV29" s="1208"/>
      <c r="AW29" s="1208"/>
      <c r="AX29" s="1208"/>
      <c r="AY29" s="1208"/>
      <c r="AZ29" s="1208"/>
      <c r="BA29" s="1208"/>
      <c r="BB29" s="1208"/>
      <c r="BC29" s="1208"/>
      <c r="BD29" s="1208"/>
      <c r="BE29" s="1208"/>
      <c r="BF29" s="1208"/>
      <c r="BG29" s="1208"/>
    </row>
    <row r="30" spans="1:59" ht="16" customHeight="1" x14ac:dyDescent="0.35">
      <c r="A30" s="1208"/>
      <c r="B30" s="1162"/>
      <c r="C30" s="1292" t="s">
        <v>1095</v>
      </c>
      <c r="D30" s="1292">
        <v>17</v>
      </c>
      <c r="E30" s="1288"/>
      <c r="F30" s="1289">
        <f>SUM([20]Sheet2!E32*195/229)</f>
        <v>20720.457314410483</v>
      </c>
      <c r="G30" s="1290"/>
      <c r="H30" s="1289">
        <f t="shared" si="0"/>
        <v>1646.6791093886468</v>
      </c>
      <c r="I30" s="1290"/>
      <c r="J30" s="1289">
        <f t="shared" si="1"/>
        <v>5159.39387128821</v>
      </c>
      <c r="K30" s="1290"/>
      <c r="L30" s="1289">
        <f t="shared" si="2"/>
        <v>27526.457314410483</v>
      </c>
      <c r="M30" s="1290"/>
      <c r="N30" s="1291">
        <f t="shared" si="3"/>
        <v>20720.457314410483</v>
      </c>
      <c r="O30" s="1290"/>
      <c r="P30" s="1290"/>
      <c r="Q30" s="1290"/>
      <c r="R30" s="1289">
        <f t="shared" si="4"/>
        <v>1646.6791093886468</v>
      </c>
      <c r="S30" s="1290"/>
      <c r="T30" s="1289">
        <f t="shared" si="5"/>
        <v>22367.136423799129</v>
      </c>
      <c r="U30" s="1135"/>
      <c r="V30" s="1294"/>
      <c r="W30" s="1293" t="s">
        <v>1051</v>
      </c>
      <c r="X30" s="1208"/>
      <c r="Y30" s="1208"/>
      <c r="Z30" s="1208"/>
      <c r="AA30" s="1208"/>
      <c r="AB30" s="1208"/>
      <c r="AC30" s="1208"/>
      <c r="AD30" s="1208"/>
      <c r="AE30" s="1208"/>
      <c r="AF30" s="1208"/>
      <c r="AG30" s="1208"/>
      <c r="AH30" s="1208"/>
      <c r="AI30" s="1208"/>
      <c r="AJ30" s="1208"/>
      <c r="AK30" s="1208"/>
      <c r="AL30" s="1208"/>
      <c r="AM30" s="1208"/>
      <c r="AN30" s="1208"/>
      <c r="AO30" s="1208"/>
      <c r="AP30" s="1208"/>
      <c r="AQ30" s="1208"/>
      <c r="AR30" s="1208"/>
      <c r="AS30" s="1208"/>
      <c r="AT30" s="1208"/>
      <c r="AU30" s="1208"/>
      <c r="AV30" s="1208"/>
      <c r="AW30" s="1208"/>
      <c r="AX30" s="1208"/>
      <c r="AY30" s="1208"/>
      <c r="AZ30" s="1208"/>
      <c r="BA30" s="1208"/>
      <c r="BB30" s="1208"/>
      <c r="BC30" s="1208"/>
      <c r="BD30" s="1208"/>
      <c r="BE30" s="1208"/>
      <c r="BF30" s="1208"/>
      <c r="BG30" s="1208"/>
    </row>
    <row r="31" spans="1:59" ht="16" customHeight="1" x14ac:dyDescent="0.35">
      <c r="A31" s="1208"/>
      <c r="B31" s="1162"/>
      <c r="C31" s="1295" t="s">
        <v>1087</v>
      </c>
      <c r="D31" s="1295">
        <v>18</v>
      </c>
      <c r="E31" s="1296"/>
      <c r="F31" s="1297">
        <f>SUM([20]Sheet2!E33*195/229)</f>
        <v>21393.290338427945</v>
      </c>
      <c r="G31" s="1298"/>
      <c r="H31" s="1297">
        <f t="shared" si="0"/>
        <v>1739.5300667030565</v>
      </c>
      <c r="I31" s="1298"/>
      <c r="J31" s="1297">
        <f t="shared" si="1"/>
        <v>5326.9292942685579</v>
      </c>
      <c r="K31" s="1298"/>
      <c r="L31" s="1297">
        <f t="shared" si="2"/>
        <v>28460.290338427945</v>
      </c>
      <c r="M31" s="1298"/>
      <c r="N31" s="1299">
        <f t="shared" si="3"/>
        <v>21393.290338427945</v>
      </c>
      <c r="O31" s="1298"/>
      <c r="P31" s="1298"/>
      <c r="Q31" s="1298"/>
      <c r="R31" s="1297">
        <f t="shared" si="4"/>
        <v>1739.5300667030565</v>
      </c>
      <c r="S31" s="1298"/>
      <c r="T31" s="1297">
        <f t="shared" si="5"/>
        <v>23132.820405131002</v>
      </c>
      <c r="U31" s="1135"/>
      <c r="V31" s="1294"/>
      <c r="W31" s="1208"/>
      <c r="X31" s="1208"/>
      <c r="Y31" s="1208"/>
      <c r="Z31" s="1208"/>
      <c r="AA31" s="1208"/>
      <c r="AB31" s="1208"/>
      <c r="AC31" s="1208"/>
      <c r="AD31" s="1208"/>
      <c r="AE31" s="1208"/>
      <c r="AF31" s="1208"/>
      <c r="AG31" s="1208"/>
      <c r="AH31" s="1208"/>
      <c r="AI31" s="1208"/>
      <c r="AJ31" s="1208"/>
      <c r="AK31" s="1208"/>
      <c r="AL31" s="1208"/>
      <c r="AM31" s="1208"/>
      <c r="AN31" s="1208"/>
      <c r="AO31" s="1208"/>
      <c r="AP31" s="1208"/>
      <c r="AQ31" s="1208"/>
      <c r="AR31" s="1208"/>
      <c r="AS31" s="1208"/>
      <c r="AT31" s="1208"/>
      <c r="AU31" s="1208"/>
      <c r="AV31" s="1208"/>
      <c r="AW31" s="1208"/>
      <c r="AX31" s="1208"/>
      <c r="AY31" s="1208"/>
      <c r="AZ31" s="1208"/>
      <c r="BA31" s="1208"/>
      <c r="BB31" s="1208"/>
      <c r="BC31" s="1208"/>
      <c r="BD31" s="1208"/>
      <c r="BE31" s="1208"/>
      <c r="BF31" s="1208"/>
      <c r="BG31" s="1208"/>
    </row>
    <row r="32" spans="1:59" ht="16" customHeight="1" x14ac:dyDescent="0.35">
      <c r="A32" s="1208"/>
      <c r="B32" s="1162"/>
      <c r="C32" s="1292" t="s">
        <v>1096</v>
      </c>
      <c r="D32" s="1292">
        <v>18</v>
      </c>
      <c r="E32" s="1288"/>
      <c r="F32" s="1289">
        <f>SUM([20]Sheet2!E33*195/229)</f>
        <v>21393.290338427945</v>
      </c>
      <c r="G32" s="1290"/>
      <c r="H32" s="1289">
        <f t="shared" si="0"/>
        <v>1739.5300667030565</v>
      </c>
      <c r="I32" s="1290"/>
      <c r="J32" s="1289">
        <f t="shared" si="1"/>
        <v>5326.9292942685579</v>
      </c>
      <c r="K32" s="1290"/>
      <c r="L32" s="1289">
        <f>F32+ROUND(H32,0)+ROUND(J32,0)</f>
        <v>28460.290338427945</v>
      </c>
      <c r="M32" s="1290"/>
      <c r="N32" s="1291">
        <f>F32</f>
        <v>21393.290338427945</v>
      </c>
      <c r="O32" s="1290"/>
      <c r="P32" s="1290"/>
      <c r="Q32" s="1290"/>
      <c r="R32" s="1289">
        <f t="shared" si="4"/>
        <v>1739.5300667030565</v>
      </c>
      <c r="S32" s="1290"/>
      <c r="T32" s="1289">
        <f>SUM(N32:R32)</f>
        <v>23132.820405131002</v>
      </c>
      <c r="U32" s="1135"/>
      <c r="V32" s="1294"/>
      <c r="W32" s="1208"/>
      <c r="X32" s="1208"/>
      <c r="Y32" s="1208"/>
      <c r="Z32" s="1208"/>
      <c r="AA32" s="1208"/>
      <c r="AB32" s="1208"/>
      <c r="AC32" s="1208"/>
      <c r="AD32" s="1208"/>
      <c r="AE32" s="1208"/>
      <c r="AF32" s="1208"/>
      <c r="AG32" s="1208"/>
      <c r="AH32" s="1208"/>
      <c r="AI32" s="1208"/>
      <c r="AJ32" s="1208"/>
      <c r="AK32" s="1208"/>
      <c r="AL32" s="1208"/>
      <c r="AM32" s="1208"/>
      <c r="AN32" s="1208"/>
      <c r="AO32" s="1208"/>
      <c r="AP32" s="1208"/>
      <c r="AQ32" s="1208"/>
      <c r="AR32" s="1208"/>
      <c r="AS32" s="1208"/>
      <c r="AT32" s="1208"/>
      <c r="AU32" s="1208"/>
      <c r="AV32" s="1208"/>
      <c r="AW32" s="1208"/>
      <c r="AX32" s="1208"/>
      <c r="AY32" s="1208"/>
      <c r="AZ32" s="1208"/>
      <c r="BA32" s="1208"/>
      <c r="BB32" s="1208"/>
      <c r="BC32" s="1208"/>
      <c r="BD32" s="1208"/>
      <c r="BE32" s="1208"/>
      <c r="BF32" s="1208"/>
      <c r="BG32" s="1208"/>
    </row>
    <row r="33" spans="1:59" ht="16" customHeight="1" x14ac:dyDescent="0.35">
      <c r="A33" s="1208"/>
      <c r="B33" s="1162"/>
      <c r="C33" s="1292" t="s">
        <v>1097</v>
      </c>
      <c r="D33" s="1292">
        <v>19</v>
      </c>
      <c r="E33" s="1288"/>
      <c r="F33" s="1289">
        <f>SUM([20]Sheet2!E34*195/229)</f>
        <v>22131.744268558956</v>
      </c>
      <c r="G33" s="1290"/>
      <c r="H33" s="1289">
        <f t="shared" si="0"/>
        <v>1841.4367090611361</v>
      </c>
      <c r="I33" s="1290"/>
      <c r="J33" s="1289">
        <f t="shared" si="1"/>
        <v>5510.8043228711804</v>
      </c>
      <c r="K33" s="1290"/>
      <c r="L33" s="1289">
        <f>F33+ROUND(H33,0)+ROUND(J33,0)</f>
        <v>29483.744268558956</v>
      </c>
      <c r="M33" s="1290"/>
      <c r="N33" s="1291">
        <f>F33</f>
        <v>22131.744268558956</v>
      </c>
      <c r="O33" s="1290"/>
      <c r="P33" s="1290"/>
      <c r="Q33" s="1290"/>
      <c r="R33" s="1289">
        <f t="shared" si="4"/>
        <v>1841.4367090611361</v>
      </c>
      <c r="S33" s="1290"/>
      <c r="T33" s="1289">
        <f>SUM(N33:R33)</f>
        <v>23973.180977620093</v>
      </c>
      <c r="U33" s="1135"/>
      <c r="V33" s="1294"/>
      <c r="W33" s="1208"/>
      <c r="X33" s="1208"/>
      <c r="Y33" s="1208"/>
      <c r="Z33" s="1208"/>
      <c r="AA33" s="1208"/>
      <c r="AB33" s="1208"/>
      <c r="AC33" s="1208"/>
      <c r="AD33" s="1208"/>
      <c r="AE33" s="1208"/>
      <c r="AF33" s="1208"/>
      <c r="AG33" s="1208"/>
      <c r="AH33" s="1208"/>
      <c r="AI33" s="1208"/>
      <c r="AJ33" s="1208"/>
      <c r="AK33" s="1208"/>
      <c r="AL33" s="1208"/>
      <c r="AM33" s="1208"/>
      <c r="AN33" s="1208"/>
      <c r="AO33" s="1208"/>
      <c r="AP33" s="1208"/>
      <c r="AQ33" s="1208"/>
      <c r="AR33" s="1208"/>
      <c r="AS33" s="1208"/>
      <c r="AT33" s="1208"/>
      <c r="AU33" s="1208"/>
      <c r="AV33" s="1208"/>
      <c r="AW33" s="1208"/>
      <c r="AX33" s="1208"/>
      <c r="AY33" s="1208"/>
      <c r="AZ33" s="1208"/>
      <c r="BA33" s="1208"/>
      <c r="BB33" s="1208"/>
      <c r="BC33" s="1208"/>
      <c r="BD33" s="1208"/>
      <c r="BE33" s="1208"/>
      <c r="BF33" s="1208"/>
      <c r="BG33" s="1208"/>
    </row>
    <row r="34" spans="1:59" ht="16" customHeight="1" x14ac:dyDescent="0.35">
      <c r="A34" s="1208"/>
      <c r="B34" s="1162"/>
      <c r="C34" s="1292" t="s">
        <v>1098</v>
      </c>
      <c r="D34" s="1292">
        <v>20</v>
      </c>
      <c r="E34" s="1288"/>
      <c r="F34" s="1289">
        <f>SUM([20]Sheet2!E35*195/229)</f>
        <v>22808.077074235811</v>
      </c>
      <c r="G34" s="1290"/>
      <c r="H34" s="1289">
        <f t="shared" si="0"/>
        <v>1934.7706362445422</v>
      </c>
      <c r="I34" s="1290"/>
      <c r="J34" s="1289">
        <f t="shared" si="1"/>
        <v>5679.2111914847164</v>
      </c>
      <c r="K34" s="1290"/>
      <c r="L34" s="1289">
        <f>F34+ROUND(H34,0)+ROUND(J34,0)</f>
        <v>30422.077074235811</v>
      </c>
      <c r="M34" s="1290"/>
      <c r="N34" s="1291">
        <f>F34</f>
        <v>22808.077074235811</v>
      </c>
      <c r="O34" s="1290"/>
      <c r="P34" s="1290"/>
      <c r="Q34" s="1290"/>
      <c r="R34" s="1289">
        <f t="shared" si="4"/>
        <v>1934.7706362445422</v>
      </c>
      <c r="S34" s="1290"/>
      <c r="T34" s="1289">
        <f>SUM(N34:R34)</f>
        <v>24742.847710480353</v>
      </c>
      <c r="U34" s="1135"/>
      <c r="V34" s="1294"/>
      <c r="W34" s="1208"/>
      <c r="X34" s="1208"/>
      <c r="Y34" s="1208"/>
      <c r="Z34" s="1208"/>
      <c r="AA34" s="1208"/>
      <c r="AB34" s="1208"/>
      <c r="AC34" s="1208"/>
      <c r="AD34" s="1208"/>
      <c r="AE34" s="1208"/>
      <c r="AF34" s="1208"/>
      <c r="AG34" s="1208"/>
      <c r="AH34" s="1208"/>
      <c r="AI34" s="1208"/>
      <c r="AJ34" s="1208"/>
      <c r="AK34" s="1208"/>
      <c r="AL34" s="1208"/>
      <c r="AM34" s="1208"/>
      <c r="AN34" s="1208"/>
      <c r="AO34" s="1208"/>
      <c r="AP34" s="1208"/>
      <c r="AQ34" s="1208"/>
      <c r="AR34" s="1208"/>
      <c r="AS34" s="1208"/>
      <c r="AT34" s="1208"/>
      <c r="AU34" s="1208"/>
      <c r="AV34" s="1208"/>
      <c r="AW34" s="1208"/>
      <c r="AX34" s="1208"/>
      <c r="AY34" s="1208"/>
      <c r="AZ34" s="1208"/>
      <c r="BA34" s="1208"/>
      <c r="BB34" s="1208"/>
      <c r="BC34" s="1208"/>
      <c r="BD34" s="1208"/>
      <c r="BE34" s="1208"/>
      <c r="BF34" s="1208"/>
      <c r="BG34" s="1208"/>
    </row>
    <row r="35" spans="1:59" ht="16" customHeight="1" x14ac:dyDescent="0.35">
      <c r="A35" s="1208"/>
      <c r="B35" s="1162"/>
      <c r="C35" s="1295" t="s">
        <v>1087</v>
      </c>
      <c r="D35" s="1295">
        <v>21</v>
      </c>
      <c r="E35" s="1296"/>
      <c r="F35" s="1297">
        <f>SUM([20]Sheet2!E36*195/229)</f>
        <v>23612.151910480352</v>
      </c>
      <c r="G35" s="1298"/>
      <c r="H35" s="1297">
        <f t="shared" si="0"/>
        <v>2045.7329636462887</v>
      </c>
      <c r="I35" s="1298"/>
      <c r="J35" s="1297">
        <f t="shared" si="1"/>
        <v>5879.425825709608</v>
      </c>
      <c r="K35" s="1298"/>
      <c r="L35" s="1297">
        <f>F35+ROUND(H35,0)+ROUND(J35,0)</f>
        <v>31537.151910480352</v>
      </c>
      <c r="M35" s="1298"/>
      <c r="N35" s="1299">
        <f>F35</f>
        <v>23612.151910480352</v>
      </c>
      <c r="O35" s="1298"/>
      <c r="P35" s="1298"/>
      <c r="Q35" s="1298"/>
      <c r="R35" s="1297">
        <f t="shared" si="4"/>
        <v>2045.7329636462887</v>
      </c>
      <c r="S35" s="1298"/>
      <c r="T35" s="1297">
        <f>SUM(N35:R35)</f>
        <v>25657.884874126641</v>
      </c>
      <c r="U35" s="1135"/>
      <c r="V35" s="1294"/>
      <c r="W35" s="1208"/>
      <c r="X35" s="1208"/>
      <c r="Y35" s="1208"/>
      <c r="Z35" s="1208"/>
      <c r="AA35" s="1208"/>
      <c r="AB35" s="1208"/>
      <c r="AC35" s="1208"/>
      <c r="AD35" s="1208"/>
      <c r="AE35" s="1208"/>
      <c r="AF35" s="1208"/>
      <c r="AG35" s="1208"/>
      <c r="AH35" s="1208"/>
      <c r="AI35" s="1208"/>
      <c r="AJ35" s="1208"/>
      <c r="AK35" s="1208"/>
      <c r="AL35" s="1208"/>
      <c r="AM35" s="1208"/>
      <c r="AN35" s="1208"/>
      <c r="AO35" s="1208"/>
      <c r="AP35" s="1208"/>
      <c r="AQ35" s="1208"/>
      <c r="AR35" s="1208"/>
      <c r="AS35" s="1208"/>
      <c r="AT35" s="1208"/>
      <c r="AU35" s="1208"/>
      <c r="AV35" s="1208"/>
      <c r="AW35" s="1208"/>
      <c r="AX35" s="1208"/>
      <c r="AY35" s="1208"/>
      <c r="AZ35" s="1208"/>
      <c r="BA35" s="1208"/>
      <c r="BB35" s="1208"/>
      <c r="BC35" s="1208"/>
      <c r="BD35" s="1208"/>
      <c r="BE35" s="1208"/>
      <c r="BF35" s="1208"/>
      <c r="BG35" s="1208"/>
    </row>
    <row r="36" spans="1:59" ht="16" customHeight="1" x14ac:dyDescent="0.35">
      <c r="A36" s="1208"/>
      <c r="B36" s="1162"/>
      <c r="C36" s="1292" t="s">
        <v>1099</v>
      </c>
      <c r="D36" s="1292">
        <v>21</v>
      </c>
      <c r="E36" s="1288"/>
      <c r="F36" s="1289">
        <f>SUM([20]Sheet2!E36*195/226)</f>
        <v>23925.587555309736</v>
      </c>
      <c r="G36" s="1290"/>
      <c r="H36" s="1289">
        <f t="shared" si="0"/>
        <v>2088.9870826327437</v>
      </c>
      <c r="I36" s="1290"/>
      <c r="J36" s="1289">
        <f t="shared" si="1"/>
        <v>5957.471301272124</v>
      </c>
      <c r="K36" s="1290"/>
      <c r="L36" s="1289">
        <f t="shared" si="2"/>
        <v>31971.587555309736</v>
      </c>
      <c r="M36" s="1290"/>
      <c r="N36" s="1291">
        <f t="shared" si="3"/>
        <v>23925.587555309736</v>
      </c>
      <c r="O36" s="1290"/>
      <c r="P36" s="1290"/>
      <c r="Q36" s="1290"/>
      <c r="R36" s="1289">
        <f t="shared" si="4"/>
        <v>2088.9870826327437</v>
      </c>
      <c r="S36" s="1290"/>
      <c r="T36" s="1289">
        <f t="shared" si="5"/>
        <v>26014.574637942478</v>
      </c>
      <c r="U36" s="1135"/>
      <c r="V36" s="1294"/>
      <c r="W36" s="1208"/>
      <c r="X36" s="1208"/>
      <c r="Y36" s="1208"/>
      <c r="Z36" s="1208"/>
      <c r="AA36" s="1208"/>
      <c r="AB36" s="1208"/>
      <c r="AC36" s="1208"/>
      <c r="AD36" s="1208"/>
      <c r="AE36" s="1208"/>
      <c r="AF36" s="1208"/>
      <c r="AG36" s="1208"/>
      <c r="AH36" s="1208"/>
      <c r="AI36" s="1208"/>
      <c r="AJ36" s="1208"/>
      <c r="AK36" s="1208"/>
      <c r="AL36" s="1208"/>
      <c r="AM36" s="1208"/>
      <c r="AN36" s="1208"/>
      <c r="AO36" s="1208"/>
      <c r="AP36" s="1208"/>
      <c r="AQ36" s="1208"/>
      <c r="AR36" s="1208"/>
      <c r="AS36" s="1208"/>
      <c r="AT36" s="1208"/>
      <c r="AU36" s="1208"/>
      <c r="AV36" s="1208"/>
      <c r="AW36" s="1208"/>
      <c r="AX36" s="1208"/>
      <c r="AY36" s="1208"/>
      <c r="AZ36" s="1208"/>
      <c r="BA36" s="1208"/>
      <c r="BB36" s="1208"/>
      <c r="BC36" s="1208"/>
      <c r="BD36" s="1208"/>
      <c r="BE36" s="1208"/>
      <c r="BF36" s="1208"/>
      <c r="BG36" s="1208"/>
    </row>
    <row r="37" spans="1:59" ht="16" customHeight="1" x14ac:dyDescent="0.35">
      <c r="A37" s="1208"/>
      <c r="B37" s="1162"/>
      <c r="C37" s="1292" t="s">
        <v>1100</v>
      </c>
      <c r="D37" s="1292">
        <v>22</v>
      </c>
      <c r="E37" s="1288"/>
      <c r="F37" s="1289">
        <f>SUM([20]Sheet2!E37*195/226)</f>
        <v>24739.44939159292</v>
      </c>
      <c r="G37" s="1290"/>
      <c r="H37" s="1289">
        <f t="shared" si="0"/>
        <v>2201.3000160398233</v>
      </c>
      <c r="I37" s="1290"/>
      <c r="J37" s="1289">
        <f t="shared" si="1"/>
        <v>6160.1228985066373</v>
      </c>
      <c r="K37" s="1290"/>
      <c r="L37" s="1289">
        <f t="shared" si="2"/>
        <v>33100.44939159292</v>
      </c>
      <c r="M37" s="1290"/>
      <c r="N37" s="1291">
        <f t="shared" si="3"/>
        <v>24739.44939159292</v>
      </c>
      <c r="O37" s="1290"/>
      <c r="P37" s="1290"/>
      <c r="Q37" s="1290"/>
      <c r="R37" s="1289">
        <f t="shared" si="4"/>
        <v>2201.3000160398233</v>
      </c>
      <c r="S37" s="1290"/>
      <c r="T37" s="1289">
        <f t="shared" si="5"/>
        <v>26940.749407632742</v>
      </c>
      <c r="U37" s="1135"/>
      <c r="V37" s="1294"/>
      <c r="W37" s="1208"/>
      <c r="X37" s="1208"/>
      <c r="Y37" s="1208"/>
      <c r="Z37" s="1208"/>
      <c r="AA37" s="1208"/>
      <c r="AB37" s="1208"/>
      <c r="AC37" s="1208"/>
      <c r="AD37" s="1208"/>
      <c r="AE37" s="1208"/>
      <c r="AF37" s="1208"/>
      <c r="AG37" s="1208"/>
      <c r="AH37" s="1208"/>
      <c r="AI37" s="1208"/>
      <c r="AJ37" s="1208"/>
      <c r="AK37" s="1208"/>
      <c r="AL37" s="1208"/>
      <c r="AM37" s="1208"/>
      <c r="AN37" s="1208"/>
      <c r="AO37" s="1208"/>
      <c r="AP37" s="1208"/>
      <c r="AQ37" s="1208"/>
      <c r="AR37" s="1208"/>
      <c r="AS37" s="1208"/>
      <c r="AT37" s="1208"/>
      <c r="AU37" s="1208"/>
      <c r="AV37" s="1208"/>
      <c r="AW37" s="1208"/>
      <c r="AX37" s="1208"/>
      <c r="AY37" s="1208"/>
      <c r="AZ37" s="1208"/>
      <c r="BA37" s="1208"/>
      <c r="BB37" s="1208"/>
      <c r="BC37" s="1208"/>
      <c r="BD37" s="1208"/>
      <c r="BE37" s="1208"/>
      <c r="BF37" s="1208"/>
      <c r="BG37" s="1208"/>
    </row>
    <row r="38" spans="1:59" ht="16" customHeight="1" x14ac:dyDescent="0.35">
      <c r="A38" s="1208"/>
      <c r="B38" s="1162"/>
      <c r="C38" s="1292" t="s">
        <v>1101</v>
      </c>
      <c r="D38" s="1292">
        <v>23</v>
      </c>
      <c r="E38" s="1288"/>
      <c r="F38" s="1289">
        <f>SUM([20]Sheet2!E38*195/226)</f>
        <v>25815.732909292037</v>
      </c>
      <c r="G38" s="1290"/>
      <c r="H38" s="1289">
        <f t="shared" si="0"/>
        <v>2349.8271414823012</v>
      </c>
      <c r="I38" s="1290"/>
      <c r="J38" s="1289">
        <f t="shared" si="1"/>
        <v>6428.1174944137174</v>
      </c>
      <c r="K38" s="1290"/>
      <c r="L38" s="1289">
        <f>F38+ROUND(H38,0)+ROUND(J38,0)</f>
        <v>34593.732909292041</v>
      </c>
      <c r="M38" s="1290"/>
      <c r="N38" s="1291">
        <f>F38</f>
        <v>25815.732909292037</v>
      </c>
      <c r="O38" s="1290"/>
      <c r="P38" s="1290"/>
      <c r="Q38" s="1290"/>
      <c r="R38" s="1289">
        <f t="shared" si="4"/>
        <v>2349.8271414823012</v>
      </c>
      <c r="S38" s="1290"/>
      <c r="T38" s="1289">
        <f>SUM(N38:R38)</f>
        <v>28165.560050774337</v>
      </c>
      <c r="U38" s="1135"/>
      <c r="V38" s="1294"/>
      <c r="W38" s="1208"/>
      <c r="X38" s="1208"/>
      <c r="Y38" s="1208"/>
      <c r="Z38" s="1208"/>
      <c r="AA38" s="1208"/>
      <c r="AB38" s="1208"/>
      <c r="AC38" s="1208"/>
      <c r="AD38" s="1208"/>
      <c r="AE38" s="1208"/>
      <c r="AF38" s="1208"/>
      <c r="AG38" s="1208"/>
      <c r="AH38" s="1208"/>
      <c r="AI38" s="1208"/>
      <c r="AJ38" s="1208"/>
      <c r="AK38" s="1208"/>
      <c r="AL38" s="1208"/>
      <c r="AM38" s="1208"/>
      <c r="AN38" s="1208"/>
      <c r="AO38" s="1208"/>
      <c r="AP38" s="1208"/>
      <c r="AQ38" s="1208"/>
      <c r="AR38" s="1208"/>
      <c r="AS38" s="1208"/>
      <c r="AT38" s="1208"/>
      <c r="AU38" s="1208"/>
      <c r="AV38" s="1208"/>
      <c r="AW38" s="1208"/>
      <c r="AX38" s="1208"/>
      <c r="AY38" s="1208"/>
      <c r="AZ38" s="1208"/>
      <c r="BA38" s="1208"/>
      <c r="BB38" s="1208"/>
      <c r="BC38" s="1208"/>
      <c r="BD38" s="1208"/>
      <c r="BE38" s="1208"/>
      <c r="BF38" s="1208"/>
      <c r="BG38" s="1208"/>
    </row>
    <row r="39" spans="1:59" ht="16" customHeight="1" x14ac:dyDescent="0.35">
      <c r="A39" s="1208"/>
      <c r="B39" s="1162"/>
      <c r="C39" s="1292" t="s">
        <v>1087</v>
      </c>
      <c r="D39" s="1292">
        <v>24</v>
      </c>
      <c r="E39" s="1288"/>
      <c r="F39" s="1289">
        <f>SUM([20]Sheet2!E39*195/226)</f>
        <v>26793.608296460181</v>
      </c>
      <c r="G39" s="1290"/>
      <c r="H39" s="1289">
        <f>IF($F39&gt;$W$12,($F39-$W$12)*$Y$12,"ERROR")</f>
        <v>2484.7739449115052</v>
      </c>
      <c r="I39" s="1290"/>
      <c r="J39" s="1289">
        <f t="shared" si="1"/>
        <v>6671.6084658185855</v>
      </c>
      <c r="K39" s="1290"/>
      <c r="L39" s="1289">
        <f t="shared" si="2"/>
        <v>35950.608296460181</v>
      </c>
      <c r="M39" s="1290"/>
      <c r="N39" s="1291">
        <f t="shared" si="3"/>
        <v>26793.608296460181</v>
      </c>
      <c r="O39" s="1290"/>
      <c r="P39" s="1290"/>
      <c r="Q39" s="1290"/>
      <c r="R39" s="1289">
        <f t="shared" si="4"/>
        <v>2484.7739449115052</v>
      </c>
      <c r="S39" s="1290"/>
      <c r="T39" s="1289">
        <f t="shared" si="5"/>
        <v>29278.382241371684</v>
      </c>
      <c r="U39" s="1135"/>
      <c r="V39" s="1294"/>
      <c r="W39" s="1208"/>
      <c r="X39" s="1208"/>
      <c r="Y39" s="1208"/>
      <c r="Z39" s="1208"/>
      <c r="AA39" s="1208"/>
      <c r="AB39" s="1208"/>
      <c r="AC39" s="1208"/>
      <c r="AD39" s="1208"/>
      <c r="AE39" s="1208"/>
      <c r="AF39" s="1208"/>
      <c r="AG39" s="1208"/>
      <c r="AH39" s="1208"/>
      <c r="AI39" s="1208"/>
      <c r="AJ39" s="1208"/>
      <c r="AK39" s="1208"/>
      <c r="AL39" s="1208"/>
      <c r="AM39" s="1208"/>
      <c r="AN39" s="1208"/>
      <c r="AO39" s="1208"/>
      <c r="AP39" s="1208"/>
      <c r="AQ39" s="1208"/>
      <c r="AR39" s="1208"/>
      <c r="AS39" s="1208"/>
      <c r="AT39" s="1208"/>
      <c r="AU39" s="1208"/>
      <c r="AV39" s="1208"/>
      <c r="AW39" s="1208"/>
      <c r="AX39" s="1208"/>
      <c r="AY39" s="1208"/>
      <c r="AZ39" s="1208"/>
      <c r="BA39" s="1208"/>
      <c r="BB39" s="1208"/>
      <c r="BC39" s="1208"/>
      <c r="BD39" s="1208"/>
      <c r="BE39" s="1208"/>
      <c r="BF39" s="1208"/>
      <c r="BG39" s="1208"/>
    </row>
    <row r="40" spans="1:59" ht="16" customHeight="1" thickBot="1" x14ac:dyDescent="0.4">
      <c r="A40" s="1208" t="s">
        <v>1259</v>
      </c>
      <c r="B40" s="1301"/>
      <c r="C40" s="1551" t="s">
        <v>1243</v>
      </c>
      <c r="D40" s="1609">
        <v>0.6</v>
      </c>
      <c r="E40" s="1552"/>
      <c r="F40" s="1553">
        <f>F24-((F24-F23)*40%)</f>
        <v>17014.188537117905</v>
      </c>
      <c r="G40" s="1554"/>
      <c r="H40" s="1555">
        <f>IF($F40&gt;$W$12,($F40-$W$12)*$Y$12,"ERROR")</f>
        <v>1135.214018122271</v>
      </c>
      <c r="I40" s="1556"/>
      <c r="J40" s="1555">
        <f t="shared" si="1"/>
        <v>4236.5329457423586</v>
      </c>
      <c r="K40" s="1556"/>
      <c r="L40" s="1555">
        <f>F40+ROUND(H40,0)+ROUND(J40,0)</f>
        <v>22386.188537117905</v>
      </c>
      <c r="M40" s="1179"/>
      <c r="N40" s="1303"/>
      <c r="O40" s="1179"/>
      <c r="P40" s="1179"/>
      <c r="Q40" s="1179"/>
      <c r="R40" s="1304"/>
      <c r="S40" s="1179"/>
      <c r="T40" s="1304"/>
      <c r="U40" s="1148"/>
      <c r="V40" s="1294"/>
      <c r="W40" s="1208"/>
      <c r="X40" s="1208"/>
      <c r="Y40" s="1208"/>
      <c r="Z40" s="1208"/>
      <c r="AA40" s="1208"/>
      <c r="AB40" s="1208"/>
      <c r="AC40" s="1208"/>
      <c r="AD40" s="1208"/>
      <c r="AE40" s="1208"/>
      <c r="AF40" s="1208"/>
      <c r="AG40" s="1208"/>
      <c r="AH40" s="1208"/>
      <c r="AI40" s="1208"/>
      <c r="AJ40" s="1208"/>
      <c r="AK40" s="1208"/>
      <c r="AL40" s="1208"/>
      <c r="AM40" s="1208"/>
      <c r="AN40" s="1208"/>
      <c r="AO40" s="1208"/>
      <c r="AP40" s="1208"/>
      <c r="AQ40" s="1208"/>
      <c r="AR40" s="1208"/>
      <c r="AS40" s="1208"/>
      <c r="AT40" s="1208"/>
      <c r="AU40" s="1208"/>
      <c r="AV40" s="1208"/>
      <c r="AW40" s="1208"/>
      <c r="AX40" s="1208"/>
      <c r="AY40" s="1208"/>
      <c r="AZ40" s="1208"/>
      <c r="BA40" s="1208"/>
      <c r="BB40" s="1208"/>
      <c r="BC40" s="1208"/>
      <c r="BD40" s="1208"/>
      <c r="BE40" s="1208"/>
      <c r="BF40" s="1208"/>
      <c r="BG40" s="1208"/>
    </row>
    <row r="41" spans="1:59" ht="16" customHeight="1" thickBot="1" x14ac:dyDescent="0.4">
      <c r="A41" s="1208"/>
      <c r="B41" s="1208"/>
      <c r="C41" s="1551" t="s">
        <v>1243</v>
      </c>
      <c r="D41" s="1609">
        <v>0.7</v>
      </c>
      <c r="E41" s="1552"/>
      <c r="F41" s="1553">
        <f>F24-((F24-F23)*30%)</f>
        <v>17106.057805676857</v>
      </c>
      <c r="G41" s="1554"/>
      <c r="H41" s="1555">
        <f>IF($F41&gt;$W$12,($F41-$W$12)*$Y$12,"ERROR")</f>
        <v>1147.8919771834064</v>
      </c>
      <c r="I41" s="1556"/>
      <c r="J41" s="1555">
        <f t="shared" si="1"/>
        <v>4259.4083936135376</v>
      </c>
      <c r="K41" s="1556"/>
      <c r="L41" s="1555">
        <f>F41+ROUND(H41,0)+ROUND(J41,0)</f>
        <v>22513.057805676857</v>
      </c>
      <c r="M41" s="1179"/>
      <c r="N41" s="1208"/>
      <c r="O41" s="1208"/>
      <c r="P41" s="1208"/>
      <c r="Q41" s="1208"/>
      <c r="R41" s="1208"/>
      <c r="S41" s="1208"/>
      <c r="T41" s="1208"/>
      <c r="U41" s="1208"/>
      <c r="V41" s="1294"/>
      <c r="W41" s="1208"/>
      <c r="X41" s="1208"/>
      <c r="Y41" s="1208"/>
      <c r="Z41" s="1208"/>
      <c r="AA41" s="1208"/>
      <c r="AB41" s="1208"/>
      <c r="AC41" s="1208"/>
      <c r="AD41" s="1208"/>
      <c r="AE41" s="1208"/>
      <c r="AF41" s="1208"/>
      <c r="AG41" s="1208"/>
      <c r="AH41" s="1208"/>
      <c r="AI41" s="1208"/>
      <c r="AJ41" s="1208"/>
      <c r="AK41" s="1208"/>
      <c r="AL41" s="1208"/>
      <c r="AM41" s="1208"/>
      <c r="AN41" s="1208"/>
      <c r="AO41" s="1208"/>
      <c r="AP41" s="1208"/>
      <c r="AQ41" s="1208"/>
      <c r="AR41" s="1208"/>
      <c r="AS41" s="1208"/>
      <c r="AT41" s="1208"/>
      <c r="AU41" s="1208"/>
      <c r="AV41" s="1208"/>
      <c r="AW41" s="1208"/>
      <c r="AX41" s="1208"/>
      <c r="AY41" s="1208"/>
      <c r="AZ41" s="1208"/>
      <c r="BA41" s="1208"/>
      <c r="BB41" s="1208"/>
      <c r="BC41" s="1208"/>
      <c r="BD41" s="1208"/>
      <c r="BE41" s="1208"/>
      <c r="BF41" s="1208"/>
      <c r="BG41" s="1208"/>
    </row>
    <row r="42" spans="1:59" ht="16" customHeight="1" x14ac:dyDescent="0.35">
      <c r="A42" s="1208"/>
      <c r="B42" s="1208"/>
      <c r="C42" s="1208"/>
      <c r="D42" s="1208"/>
      <c r="E42" s="1208"/>
      <c r="F42" s="1208"/>
      <c r="G42" s="1208"/>
      <c r="H42" s="1208"/>
      <c r="I42" s="1208"/>
      <c r="J42" s="1208"/>
      <c r="K42" s="1208"/>
      <c r="L42" s="1208"/>
      <c r="M42" s="1208"/>
      <c r="N42" s="1208"/>
      <c r="O42" s="1208"/>
      <c r="P42" s="1208"/>
      <c r="Q42" s="1208"/>
      <c r="R42" s="1208"/>
      <c r="S42" s="1208"/>
      <c r="T42" s="1208"/>
      <c r="U42" s="1208"/>
      <c r="V42" s="1208"/>
      <c r="W42" s="1208"/>
      <c r="X42" s="1208"/>
      <c r="Y42" s="1208"/>
      <c r="Z42" s="1208"/>
      <c r="AA42" s="1208"/>
      <c r="AB42" s="1208"/>
      <c r="AC42" s="1208"/>
      <c r="AD42" s="1208"/>
      <c r="AE42" s="1208"/>
      <c r="AF42" s="1208"/>
      <c r="AG42" s="1208"/>
      <c r="AH42" s="1208"/>
      <c r="AI42" s="1208"/>
      <c r="AJ42" s="1208"/>
      <c r="AK42" s="1208"/>
      <c r="AL42" s="1208"/>
      <c r="AM42" s="1208"/>
      <c r="AN42" s="1208"/>
      <c r="AO42" s="1208"/>
      <c r="AP42" s="1208"/>
      <c r="AQ42" s="1208"/>
      <c r="AR42" s="1208"/>
      <c r="AS42" s="1208"/>
      <c r="AT42" s="1208"/>
      <c r="AU42" s="1208"/>
      <c r="AV42" s="1208"/>
      <c r="AW42" s="1208"/>
      <c r="AX42" s="1208"/>
      <c r="AY42" s="1208"/>
      <c r="AZ42" s="1208"/>
      <c r="BA42" s="1208"/>
      <c r="BB42" s="1208"/>
      <c r="BC42" s="1208"/>
      <c r="BD42" s="1208"/>
      <c r="BE42" s="1208"/>
      <c r="BF42" s="1208"/>
      <c r="BG42" s="1208"/>
    </row>
    <row r="43" spans="1:59" ht="18" thickBot="1" x14ac:dyDescent="0.4">
      <c r="A43" s="1208"/>
      <c r="B43" s="1208"/>
      <c r="C43" s="1208"/>
      <c r="D43" s="1208"/>
      <c r="E43" s="1208"/>
      <c r="F43" s="1495">
        <f>F24-((F24-F23)*50%)</f>
        <v>16922.319268558953</v>
      </c>
      <c r="G43" s="1179"/>
      <c r="H43" s="1493">
        <f>IF($F43&gt;$W$12,($F43-$W$12)*$Y$12,"ERROR")</f>
        <v>1122.5360590611356</v>
      </c>
      <c r="I43" s="1494"/>
      <c r="J43" s="1493">
        <f t="shared" ref="J43" si="6">$F43*$X$15</f>
        <v>4213.6574978711797</v>
      </c>
      <c r="K43" s="1494"/>
      <c r="L43" s="1493">
        <f>F43+ROUND(H43,0)+ROUND(J43,0)</f>
        <v>22259.319268558953</v>
      </c>
      <c r="M43" s="1208"/>
      <c r="N43" s="1208"/>
      <c r="O43" s="1208"/>
      <c r="P43" s="1208"/>
      <c r="Q43" s="1208"/>
      <c r="R43" s="1208"/>
      <c r="S43" s="1208"/>
      <c r="T43" s="1208"/>
      <c r="U43" s="1208"/>
      <c r="V43" s="1208"/>
      <c r="W43" s="1208"/>
      <c r="X43" s="1208"/>
      <c r="Y43" s="1208"/>
      <c r="Z43" s="1208"/>
      <c r="AA43" s="1208"/>
      <c r="AB43" s="1208"/>
      <c r="AC43" s="1208"/>
      <c r="AD43" s="1208"/>
      <c r="AE43" s="1208"/>
      <c r="AF43" s="1208"/>
      <c r="AG43" s="1208"/>
      <c r="AH43" s="1208"/>
      <c r="AI43" s="1208"/>
      <c r="AJ43" s="1208"/>
      <c r="AK43" s="1208"/>
      <c r="AL43" s="1208"/>
      <c r="AM43" s="1208"/>
      <c r="AN43" s="1208"/>
      <c r="AO43" s="1208"/>
      <c r="AP43" s="1208"/>
      <c r="AQ43" s="1208"/>
      <c r="AR43" s="1208"/>
      <c r="AS43" s="1208"/>
      <c r="AT43" s="1208"/>
      <c r="AU43" s="1208"/>
      <c r="AV43" s="1208"/>
      <c r="AW43" s="1208"/>
      <c r="AX43" s="1208"/>
      <c r="AY43" s="1208"/>
      <c r="AZ43" s="1208"/>
      <c r="BA43" s="1208"/>
      <c r="BB43" s="1208"/>
      <c r="BC43" s="1208"/>
      <c r="BD43" s="1208"/>
      <c r="BE43" s="1208"/>
      <c r="BF43" s="1208"/>
      <c r="BG43" s="1208"/>
    </row>
    <row r="44" spans="1:59" x14ac:dyDescent="0.35">
      <c r="A44" s="1208"/>
      <c r="B44" s="1208"/>
      <c r="C44" s="1208"/>
      <c r="D44" s="1208"/>
      <c r="E44" s="1208"/>
      <c r="F44" s="1208"/>
      <c r="G44" s="1208"/>
      <c r="H44" s="1208"/>
      <c r="I44" s="1208"/>
      <c r="J44" s="1208"/>
      <c r="K44" s="1208"/>
      <c r="L44" s="1208"/>
      <c r="M44" s="1208"/>
      <c r="N44" s="1208"/>
      <c r="O44" s="1208"/>
      <c r="P44" s="1208"/>
      <c r="Q44" s="1208"/>
      <c r="R44" s="1208"/>
      <c r="S44" s="1208"/>
      <c r="T44" s="1208"/>
      <c r="U44" s="1208"/>
      <c r="V44" s="1208"/>
      <c r="W44" s="1208"/>
      <c r="X44" s="1208"/>
      <c r="Y44" s="1208"/>
      <c r="Z44" s="1208"/>
      <c r="AA44" s="1208"/>
      <c r="AB44" s="1208"/>
      <c r="AC44" s="1208"/>
      <c r="AD44" s="1208"/>
      <c r="AE44" s="1208"/>
      <c r="AF44" s="1208"/>
      <c r="AG44" s="1208"/>
      <c r="AH44" s="1208"/>
      <c r="AI44" s="1208"/>
      <c r="AJ44" s="1208"/>
      <c r="AK44" s="1208"/>
      <c r="AL44" s="1208"/>
      <c r="AM44" s="1208"/>
      <c r="AN44" s="1208"/>
      <c r="AO44" s="1208"/>
      <c r="AP44" s="1208"/>
      <c r="AQ44" s="1208"/>
      <c r="AR44" s="1208"/>
      <c r="AS44" s="1208"/>
      <c r="AT44" s="1208"/>
      <c r="AU44" s="1208"/>
      <c r="AV44" s="1208"/>
      <c r="AW44" s="1208"/>
      <c r="AX44" s="1208"/>
      <c r="AY44" s="1208"/>
      <c r="AZ44" s="1208"/>
      <c r="BA44" s="1208"/>
      <c r="BB44" s="1208"/>
      <c r="BC44" s="1208"/>
      <c r="BD44" s="1208"/>
      <c r="BE44" s="1208"/>
      <c r="BF44" s="1208"/>
      <c r="BG44" s="1208"/>
    </row>
    <row r="45" spans="1:59" x14ac:dyDescent="0.35">
      <c r="A45" s="1208"/>
      <c r="B45" s="1208"/>
      <c r="C45" s="1208"/>
      <c r="D45" s="1208"/>
      <c r="E45" s="1208"/>
      <c r="F45" s="1208"/>
      <c r="G45" s="1208"/>
      <c r="H45" s="1208"/>
      <c r="I45" s="1208"/>
      <c r="J45" s="1208"/>
      <c r="K45" s="1208"/>
      <c r="L45" s="1208"/>
      <c r="M45" s="1208"/>
      <c r="N45" s="1208"/>
      <c r="O45" s="1208"/>
      <c r="P45" s="1208"/>
      <c r="Q45" s="1208"/>
      <c r="R45" s="1208"/>
      <c r="S45" s="1208"/>
      <c r="T45" s="1208"/>
      <c r="U45" s="1208"/>
      <c r="V45" s="1208"/>
      <c r="W45" s="1208"/>
      <c r="X45" s="1208"/>
      <c r="Y45" s="1208"/>
      <c r="Z45" s="1208"/>
      <c r="AA45" s="1208"/>
      <c r="AB45" s="1208"/>
      <c r="AC45" s="1208"/>
      <c r="AD45" s="1208"/>
      <c r="AE45" s="1208"/>
      <c r="AF45" s="1208"/>
      <c r="AG45" s="1208"/>
      <c r="AH45" s="1208"/>
      <c r="AI45" s="1208"/>
      <c r="AJ45" s="1208"/>
      <c r="AK45" s="1208"/>
      <c r="AL45" s="1208"/>
      <c r="AM45" s="1208"/>
      <c r="AN45" s="1208"/>
      <c r="AO45" s="1208"/>
      <c r="AP45" s="1208"/>
      <c r="AQ45" s="1208"/>
      <c r="AR45" s="1208"/>
      <c r="AS45" s="1208"/>
      <c r="AT45" s="1208"/>
      <c r="AU45" s="1208"/>
      <c r="AV45" s="1208"/>
      <c r="AW45" s="1208"/>
      <c r="AX45" s="1208"/>
      <c r="AY45" s="1208"/>
      <c r="AZ45" s="1208"/>
      <c r="BA45" s="1208"/>
      <c r="BB45" s="1208"/>
      <c r="BC45" s="1208"/>
      <c r="BD45" s="1208"/>
      <c r="BE45" s="1208"/>
      <c r="BF45" s="1208"/>
      <c r="BG45" s="1208"/>
    </row>
    <row r="46" spans="1:59" x14ac:dyDescent="0.35">
      <c r="A46" s="1208"/>
      <c r="B46" s="1208"/>
      <c r="C46" s="1208"/>
      <c r="D46" s="1208"/>
      <c r="E46" s="1208"/>
      <c r="F46" s="1208"/>
      <c r="G46" s="1208"/>
      <c r="H46" s="1208"/>
      <c r="I46" s="1208"/>
      <c r="J46" s="1208"/>
      <c r="K46" s="1208"/>
      <c r="L46" s="1208"/>
      <c r="M46" s="1208"/>
      <c r="N46" s="1208"/>
      <c r="O46" s="1208"/>
      <c r="P46" s="1208"/>
      <c r="Q46" s="1208"/>
      <c r="R46" s="1208"/>
      <c r="S46" s="1208"/>
      <c r="T46" s="1208"/>
      <c r="U46" s="1208"/>
      <c r="V46" s="1208"/>
      <c r="W46" s="1208"/>
      <c r="X46" s="1208"/>
      <c r="Y46" s="1208"/>
      <c r="Z46" s="1208"/>
      <c r="AA46" s="1208"/>
      <c r="AB46" s="1208"/>
      <c r="AC46" s="1208"/>
      <c r="AD46" s="1208"/>
      <c r="AE46" s="1208"/>
      <c r="AF46" s="1208"/>
      <c r="AG46" s="1208"/>
      <c r="AH46" s="1208"/>
      <c r="AI46" s="1208"/>
      <c r="AJ46" s="1208"/>
      <c r="AK46" s="1208"/>
      <c r="AL46" s="1208"/>
      <c r="AM46" s="1208"/>
      <c r="AN46" s="1208"/>
      <c r="AO46" s="1208"/>
      <c r="AP46" s="1208"/>
      <c r="AQ46" s="1208"/>
      <c r="AR46" s="1208"/>
      <c r="AS46" s="1208"/>
      <c r="AT46" s="1208"/>
      <c r="AU46" s="1208"/>
      <c r="AV46" s="1208"/>
      <c r="AW46" s="1208"/>
      <c r="AX46" s="1208"/>
      <c r="AY46" s="1208"/>
      <c r="AZ46" s="1208"/>
      <c r="BA46" s="1208"/>
      <c r="BB46" s="1208"/>
      <c r="BC46" s="1208"/>
      <c r="BD46" s="1208"/>
      <c r="BE46" s="1208"/>
      <c r="BF46" s="1208"/>
      <c r="BG46" s="1208"/>
    </row>
    <row r="47" spans="1:59" x14ac:dyDescent="0.35">
      <c r="A47" s="1208"/>
      <c r="B47" s="1208"/>
      <c r="C47" s="1208"/>
      <c r="D47" s="1208"/>
      <c r="E47" s="1208"/>
      <c r="F47" s="1208"/>
      <c r="G47" s="1208"/>
      <c r="H47" s="1208"/>
      <c r="I47" s="1208"/>
      <c r="J47" s="1208"/>
      <c r="K47" s="1208"/>
      <c r="L47" s="1208"/>
      <c r="M47" s="1208"/>
      <c r="N47" s="1208"/>
      <c r="O47" s="1208"/>
      <c r="P47" s="1208"/>
      <c r="Q47" s="1208"/>
      <c r="R47" s="1208"/>
      <c r="S47" s="1208"/>
      <c r="T47" s="1208"/>
      <c r="U47" s="1208"/>
      <c r="V47" s="1208"/>
      <c r="W47" s="1208"/>
      <c r="X47" s="1208"/>
      <c r="Y47" s="1208"/>
      <c r="Z47" s="1208"/>
      <c r="AA47" s="1208"/>
      <c r="AB47" s="1208"/>
      <c r="AC47" s="1208"/>
      <c r="AD47" s="1208"/>
      <c r="AE47" s="1208"/>
      <c r="AF47" s="1208"/>
      <c r="AG47" s="1208"/>
      <c r="AH47" s="1208"/>
      <c r="AI47" s="1208"/>
      <c r="AJ47" s="1208"/>
      <c r="AK47" s="1208"/>
      <c r="AL47" s="1208"/>
      <c r="AM47" s="1208"/>
      <c r="AN47" s="1208"/>
      <c r="AO47" s="1208"/>
      <c r="AP47" s="1208"/>
      <c r="AQ47" s="1208"/>
      <c r="AR47" s="1208"/>
      <c r="AS47" s="1208"/>
      <c r="AT47" s="1208"/>
      <c r="AU47" s="1208"/>
      <c r="AV47" s="1208"/>
      <c r="AW47" s="1208"/>
      <c r="AX47" s="1208"/>
      <c r="AY47" s="1208"/>
      <c r="AZ47" s="1208"/>
      <c r="BA47" s="1208"/>
      <c r="BB47" s="1208"/>
      <c r="BC47" s="1208"/>
      <c r="BD47" s="1208"/>
      <c r="BE47" s="1208"/>
      <c r="BF47" s="1208"/>
      <c r="BG47" s="1208"/>
    </row>
    <row r="48" spans="1:59" x14ac:dyDescent="0.35">
      <c r="A48" s="1208"/>
      <c r="B48" s="1208"/>
      <c r="C48" s="1208"/>
      <c r="D48" s="1208"/>
      <c r="E48" s="1208"/>
      <c r="F48" s="1208"/>
      <c r="G48" s="1208"/>
      <c r="H48" s="1208"/>
      <c r="I48" s="1208"/>
      <c r="J48" s="1208"/>
      <c r="K48" s="1208"/>
      <c r="L48" s="1208"/>
      <c r="M48" s="1208"/>
      <c r="N48" s="1208"/>
      <c r="O48" s="1208"/>
      <c r="P48" s="1208"/>
      <c r="Q48" s="1208"/>
      <c r="R48" s="1208"/>
      <c r="S48" s="1208"/>
      <c r="T48" s="1208"/>
      <c r="U48" s="1208"/>
      <c r="V48" s="1208"/>
      <c r="W48" s="1208"/>
      <c r="X48" s="1208"/>
      <c r="Y48" s="1208"/>
      <c r="Z48" s="1208"/>
      <c r="AA48" s="1208"/>
      <c r="AB48" s="1208"/>
      <c r="AC48" s="1208"/>
      <c r="AD48" s="1208"/>
      <c r="AE48" s="1208"/>
      <c r="AF48" s="1208"/>
      <c r="AG48" s="1208"/>
      <c r="AH48" s="1208"/>
      <c r="AI48" s="1208"/>
      <c r="AJ48" s="1208"/>
      <c r="AK48" s="1208"/>
      <c r="AL48" s="1208"/>
      <c r="AM48" s="1208"/>
      <c r="AN48" s="1208"/>
      <c r="AO48" s="1208"/>
      <c r="AP48" s="1208"/>
      <c r="AQ48" s="1208"/>
      <c r="AR48" s="1208"/>
      <c r="AS48" s="1208"/>
      <c r="AT48" s="1208"/>
      <c r="AU48" s="1208"/>
      <c r="AV48" s="1208"/>
      <c r="AW48" s="1208"/>
      <c r="AX48" s="1208"/>
      <c r="AY48" s="1208"/>
      <c r="AZ48" s="1208"/>
      <c r="BA48" s="1208"/>
      <c r="BB48" s="1208"/>
      <c r="BC48" s="1208"/>
      <c r="BD48" s="1208"/>
      <c r="BE48" s="1208"/>
      <c r="BF48" s="1208"/>
      <c r="BG48" s="1208"/>
    </row>
    <row r="49" spans="1:59" x14ac:dyDescent="0.35">
      <c r="A49" s="1208"/>
      <c r="B49" s="1208"/>
      <c r="C49" s="1208"/>
      <c r="D49" s="1208"/>
      <c r="E49" s="1208"/>
      <c r="F49" s="1208"/>
      <c r="G49" s="1208"/>
      <c r="H49" s="1208"/>
      <c r="I49" s="1208"/>
      <c r="J49" s="1208"/>
      <c r="K49" s="1208"/>
      <c r="L49" s="1208"/>
      <c r="M49" s="1208"/>
      <c r="N49" s="1208"/>
      <c r="O49" s="1208"/>
      <c r="P49" s="1208"/>
      <c r="Q49" s="1208"/>
      <c r="R49" s="1208"/>
      <c r="S49" s="1208"/>
      <c r="T49" s="1208"/>
      <c r="U49" s="1208"/>
      <c r="V49" s="1208"/>
      <c r="W49" s="1208"/>
      <c r="X49" s="1208"/>
      <c r="Y49" s="1208"/>
      <c r="Z49" s="1208"/>
      <c r="AA49" s="1208"/>
      <c r="AB49" s="1208"/>
      <c r="AC49" s="1208"/>
      <c r="AD49" s="1208"/>
      <c r="AE49" s="1208"/>
      <c r="AF49" s="1208"/>
      <c r="AG49" s="1208"/>
      <c r="AH49" s="1208"/>
      <c r="AI49" s="1208"/>
      <c r="AJ49" s="1208"/>
      <c r="AK49" s="1208"/>
      <c r="AL49" s="1208"/>
      <c r="AM49" s="1208"/>
      <c r="AN49" s="1208"/>
      <c r="AO49" s="1208"/>
      <c r="AP49" s="1208"/>
      <c r="AQ49" s="1208"/>
      <c r="AR49" s="1208"/>
      <c r="AS49" s="1208"/>
      <c r="AT49" s="1208"/>
      <c r="AU49" s="1208"/>
      <c r="AV49" s="1208"/>
      <c r="AW49" s="1208"/>
      <c r="AX49" s="1208"/>
      <c r="AY49" s="1208"/>
      <c r="AZ49" s="1208"/>
      <c r="BA49" s="1208"/>
      <c r="BB49" s="1208"/>
      <c r="BC49" s="1208"/>
      <c r="BD49" s="1208"/>
      <c r="BE49" s="1208"/>
      <c r="BF49" s="1208"/>
      <c r="BG49" s="1208"/>
    </row>
    <row r="50" spans="1:59" x14ac:dyDescent="0.35">
      <c r="A50" s="1208"/>
      <c r="B50" s="1208"/>
      <c r="C50" s="1208"/>
      <c r="D50" s="1208"/>
      <c r="E50" s="1208"/>
      <c r="F50" s="1208"/>
      <c r="G50" s="1208"/>
      <c r="H50" s="1208"/>
      <c r="I50" s="1208"/>
      <c r="J50" s="1208"/>
      <c r="K50" s="1208"/>
      <c r="L50" s="1208"/>
      <c r="M50" s="1208"/>
      <c r="N50" s="1208"/>
      <c r="O50" s="1208"/>
      <c r="P50" s="1208"/>
      <c r="Q50" s="1208"/>
      <c r="R50" s="1208"/>
      <c r="S50" s="1208"/>
      <c r="T50" s="1208"/>
      <c r="U50" s="1208"/>
      <c r="V50" s="1208"/>
      <c r="W50" s="1208"/>
      <c r="X50" s="1208"/>
      <c r="Y50" s="1208"/>
      <c r="Z50" s="1208"/>
      <c r="AA50" s="1208"/>
      <c r="AB50" s="1208"/>
      <c r="AC50" s="1208"/>
      <c r="AD50" s="1208"/>
      <c r="AE50" s="1208"/>
      <c r="AF50" s="1208"/>
      <c r="AG50" s="1208"/>
      <c r="AH50" s="1208"/>
      <c r="AI50" s="1208"/>
      <c r="AJ50" s="1208"/>
      <c r="AK50" s="1208"/>
      <c r="AL50" s="1208"/>
      <c r="AM50" s="1208"/>
      <c r="AN50" s="1208"/>
      <c r="AO50" s="1208"/>
      <c r="AP50" s="1208"/>
      <c r="AQ50" s="1208"/>
      <c r="AR50" s="1208"/>
      <c r="AS50" s="1208"/>
      <c r="AT50" s="1208"/>
      <c r="AU50" s="1208"/>
      <c r="AV50" s="1208"/>
      <c r="AW50" s="1208"/>
      <c r="AX50" s="1208"/>
      <c r="AY50" s="1208"/>
      <c r="AZ50" s="1208"/>
      <c r="BA50" s="1208"/>
      <c r="BB50" s="1208"/>
      <c r="BC50" s="1208"/>
      <c r="BD50" s="1208"/>
      <c r="BE50" s="1208"/>
      <c r="BF50" s="1208"/>
      <c r="BG50" s="1208"/>
    </row>
    <row r="51" spans="1:59" x14ac:dyDescent="0.35">
      <c r="A51" s="1208"/>
      <c r="B51" s="1208"/>
      <c r="C51" s="1208"/>
      <c r="D51" s="1208"/>
      <c r="E51" s="1208"/>
      <c r="F51" s="1208"/>
      <c r="G51" s="1208"/>
      <c r="H51" s="1208"/>
      <c r="I51" s="1208"/>
      <c r="J51" s="1208"/>
      <c r="K51" s="1208"/>
      <c r="L51" s="1208"/>
      <c r="M51" s="1208"/>
      <c r="N51" s="1208"/>
      <c r="O51" s="1208"/>
      <c r="P51" s="1208"/>
      <c r="Q51" s="1208"/>
      <c r="R51" s="1208"/>
      <c r="S51" s="1208"/>
      <c r="T51" s="1208"/>
      <c r="U51" s="1208"/>
      <c r="V51" s="1208"/>
      <c r="W51" s="1208"/>
      <c r="X51" s="1208"/>
      <c r="Y51" s="1208"/>
      <c r="Z51" s="1208"/>
      <c r="AA51" s="1208"/>
      <c r="AB51" s="1208"/>
      <c r="AC51" s="1208"/>
      <c r="AD51" s="1208"/>
      <c r="AE51" s="1208"/>
      <c r="AF51" s="1208"/>
      <c r="AG51" s="1208"/>
      <c r="AH51" s="1208"/>
      <c r="AI51" s="1208"/>
      <c r="AJ51" s="1208"/>
      <c r="AK51" s="1208"/>
      <c r="AL51" s="1208"/>
      <c r="AM51" s="1208"/>
      <c r="AN51" s="1208"/>
      <c r="AO51" s="1208"/>
      <c r="AP51" s="1208"/>
      <c r="AQ51" s="1208"/>
      <c r="AR51" s="1208"/>
      <c r="AS51" s="1208"/>
      <c r="AT51" s="1208"/>
      <c r="AU51" s="1208"/>
      <c r="AV51" s="1208"/>
      <c r="AW51" s="1208"/>
      <c r="AX51" s="1208"/>
      <c r="AY51" s="1208"/>
      <c r="AZ51" s="1208"/>
      <c r="BA51" s="1208"/>
      <c r="BB51" s="1208"/>
      <c r="BC51" s="1208"/>
      <c r="BD51" s="1208"/>
      <c r="BE51" s="1208"/>
      <c r="BF51" s="1208"/>
      <c r="BG51" s="1208"/>
    </row>
    <row r="52" spans="1:59" x14ac:dyDescent="0.35">
      <c r="A52" s="1208"/>
      <c r="B52" s="1208"/>
      <c r="C52" s="1208"/>
      <c r="D52" s="1208"/>
      <c r="E52" s="1208"/>
      <c r="F52" s="1208"/>
      <c r="G52" s="1208"/>
      <c r="H52" s="1208"/>
      <c r="I52" s="1208"/>
      <c r="J52" s="1208"/>
      <c r="K52" s="1208"/>
      <c r="L52" s="1208"/>
      <c r="M52" s="1208"/>
      <c r="N52" s="1208"/>
      <c r="O52" s="1208"/>
      <c r="P52" s="1208"/>
      <c r="Q52" s="1208"/>
      <c r="R52" s="1208"/>
      <c r="S52" s="1208"/>
      <c r="T52" s="1208"/>
      <c r="U52" s="1208"/>
      <c r="V52" s="1208"/>
      <c r="W52" s="1208"/>
      <c r="X52" s="1208"/>
      <c r="Y52" s="1208"/>
      <c r="Z52" s="1208"/>
      <c r="AA52" s="1208"/>
      <c r="AB52" s="1208"/>
      <c r="AC52" s="1208"/>
      <c r="AD52" s="1208"/>
      <c r="AE52" s="1208"/>
      <c r="AF52" s="1208"/>
      <c r="AG52" s="1208"/>
      <c r="AH52" s="1208"/>
      <c r="AI52" s="1208"/>
      <c r="AJ52" s="1208"/>
      <c r="AK52" s="1208"/>
      <c r="AL52" s="1208"/>
      <c r="AM52" s="1208"/>
      <c r="AN52" s="1208"/>
      <c r="AO52" s="1208"/>
      <c r="AP52" s="1208"/>
      <c r="AQ52" s="1208"/>
      <c r="AR52" s="1208"/>
      <c r="AS52" s="1208"/>
      <c r="AT52" s="1208"/>
      <c r="AU52" s="1208"/>
      <c r="AV52" s="1208"/>
      <c r="AW52" s="1208"/>
      <c r="AX52" s="1208"/>
      <c r="AY52" s="1208"/>
      <c r="AZ52" s="1208"/>
      <c r="BA52" s="1208"/>
      <c r="BB52" s="1208"/>
      <c r="BC52" s="1208"/>
      <c r="BD52" s="1208"/>
      <c r="BE52" s="1208"/>
      <c r="BF52" s="1208"/>
      <c r="BG52" s="1208"/>
    </row>
    <row r="53" spans="1:59" x14ac:dyDescent="0.35">
      <c r="A53" s="1208"/>
      <c r="B53" s="1208"/>
      <c r="C53" s="1208"/>
      <c r="D53" s="1208"/>
      <c r="E53" s="1208"/>
      <c r="F53" s="1208"/>
      <c r="G53" s="1208"/>
      <c r="H53" s="1208"/>
      <c r="I53" s="1208"/>
      <c r="J53" s="1208"/>
      <c r="K53" s="1208"/>
      <c r="L53" s="1208"/>
      <c r="M53" s="1208"/>
      <c r="N53" s="1208"/>
      <c r="O53" s="1208"/>
      <c r="P53" s="1208"/>
      <c r="Q53" s="1208"/>
      <c r="R53" s="1208"/>
      <c r="S53" s="1208"/>
      <c r="T53" s="1208"/>
      <c r="U53" s="1208"/>
      <c r="V53" s="1208"/>
      <c r="W53" s="1208"/>
      <c r="X53" s="1208"/>
      <c r="Y53" s="1208"/>
      <c r="Z53" s="1208"/>
      <c r="AA53" s="1208"/>
      <c r="AB53" s="1208"/>
      <c r="AC53" s="1208"/>
      <c r="AD53" s="1208"/>
      <c r="AE53" s="1208"/>
      <c r="AF53" s="1208"/>
      <c r="AG53" s="1208"/>
      <c r="AH53" s="1208"/>
      <c r="AI53" s="1208"/>
      <c r="AJ53" s="1208"/>
      <c r="AK53" s="1208"/>
      <c r="AL53" s="1208"/>
      <c r="AM53" s="1208"/>
      <c r="AN53" s="1208"/>
      <c r="AO53" s="1208"/>
      <c r="AP53" s="1208"/>
      <c r="AQ53" s="1208"/>
      <c r="AR53" s="1208"/>
      <c r="AS53" s="1208"/>
      <c r="AT53" s="1208"/>
      <c r="AU53" s="1208"/>
      <c r="AV53" s="1208"/>
      <c r="AW53" s="1208"/>
      <c r="AX53" s="1208"/>
      <c r="AY53" s="1208"/>
      <c r="AZ53" s="1208"/>
      <c r="BA53" s="1208"/>
      <c r="BB53" s="1208"/>
      <c r="BC53" s="1208"/>
      <c r="BD53" s="1208"/>
      <c r="BE53" s="1208"/>
      <c r="BF53" s="1208"/>
      <c r="BG53" s="1208"/>
    </row>
    <row r="54" spans="1:59" x14ac:dyDescent="0.35">
      <c r="A54" s="1208"/>
      <c r="B54" s="1208"/>
      <c r="C54" s="1208"/>
      <c r="D54" s="1208"/>
      <c r="E54" s="1208"/>
      <c r="F54" s="1208"/>
      <c r="G54" s="1208"/>
      <c r="H54" s="1208"/>
      <c r="I54" s="1208"/>
      <c r="J54" s="1208"/>
      <c r="K54" s="1208"/>
      <c r="L54" s="1208"/>
      <c r="M54" s="1208"/>
      <c r="N54" s="1208"/>
      <c r="O54" s="1208"/>
      <c r="P54" s="1208"/>
      <c r="Q54" s="1208"/>
      <c r="R54" s="1208"/>
      <c r="S54" s="1208"/>
      <c r="T54" s="1208"/>
      <c r="U54" s="1208"/>
      <c r="V54" s="1208"/>
      <c r="W54" s="1208"/>
      <c r="X54" s="1208"/>
      <c r="Y54" s="1208"/>
      <c r="Z54" s="1208"/>
      <c r="AA54" s="1208"/>
      <c r="AB54" s="1208"/>
      <c r="AC54" s="1208"/>
      <c r="AD54" s="1208"/>
      <c r="AE54" s="1208"/>
      <c r="AF54" s="1208"/>
      <c r="AG54" s="1208"/>
      <c r="AH54" s="1208"/>
      <c r="AI54" s="1208"/>
      <c r="AJ54" s="1208"/>
      <c r="AK54" s="1208"/>
      <c r="AL54" s="1208"/>
      <c r="AM54" s="1208"/>
      <c r="AN54" s="1208"/>
      <c r="AO54" s="1208"/>
      <c r="AP54" s="1208"/>
      <c r="AQ54" s="1208"/>
      <c r="AR54" s="1208"/>
      <c r="AS54" s="1208"/>
      <c r="AT54" s="1208"/>
      <c r="AU54" s="1208"/>
      <c r="AV54" s="1208"/>
      <c r="AW54" s="1208"/>
      <c r="AX54" s="1208"/>
      <c r="AY54" s="1208"/>
      <c r="AZ54" s="1208"/>
      <c r="BA54" s="1208"/>
      <c r="BB54" s="1208"/>
      <c r="BC54" s="1208"/>
      <c r="BD54" s="1208"/>
      <c r="BE54" s="1208"/>
      <c r="BF54" s="1208"/>
      <c r="BG54" s="1208"/>
    </row>
    <row r="55" spans="1:59" x14ac:dyDescent="0.35">
      <c r="A55" s="1208"/>
      <c r="B55" s="1208"/>
      <c r="C55" s="1208"/>
      <c r="D55" s="1208"/>
      <c r="E55" s="1208"/>
      <c r="F55" s="1208"/>
      <c r="G55" s="1208"/>
      <c r="H55" s="1208"/>
      <c r="I55" s="1208"/>
      <c r="J55" s="1208"/>
      <c r="K55" s="1208"/>
      <c r="L55" s="1208"/>
      <c r="M55" s="1208"/>
      <c r="N55" s="1208"/>
      <c r="O55" s="1208"/>
      <c r="P55" s="1208"/>
      <c r="Q55" s="1208"/>
      <c r="R55" s="1208"/>
      <c r="S55" s="1208"/>
      <c r="T55" s="1208"/>
      <c r="U55" s="1208"/>
      <c r="V55" s="1208"/>
      <c r="W55" s="1208"/>
      <c r="X55" s="1208"/>
      <c r="Y55" s="1208"/>
      <c r="Z55" s="1208"/>
      <c r="AA55" s="1208"/>
      <c r="AB55" s="1208"/>
      <c r="AC55" s="1208"/>
      <c r="AD55" s="1208"/>
      <c r="AE55" s="1208"/>
      <c r="AF55" s="1208"/>
      <c r="AG55" s="1208"/>
      <c r="AH55" s="1208"/>
      <c r="AI55" s="1208"/>
      <c r="AJ55" s="1208"/>
      <c r="AK55" s="1208"/>
      <c r="AL55" s="1208"/>
      <c r="AM55" s="1208"/>
      <c r="AN55" s="1208"/>
      <c r="AO55" s="1208"/>
      <c r="AP55" s="1208"/>
      <c r="AQ55" s="1208"/>
      <c r="AR55" s="1208"/>
      <c r="AS55" s="1208"/>
      <c r="AT55" s="1208"/>
      <c r="AU55" s="1208"/>
      <c r="AV55" s="1208"/>
      <c r="AW55" s="1208"/>
      <c r="AX55" s="1208"/>
      <c r="AY55" s="1208"/>
      <c r="AZ55" s="1208"/>
      <c r="BA55" s="1208"/>
      <c r="BB55" s="1208"/>
      <c r="BC55" s="1208"/>
      <c r="BD55" s="1208"/>
      <c r="BE55" s="1208"/>
      <c r="BF55" s="1208"/>
      <c r="BG55" s="1208"/>
    </row>
    <row r="56" spans="1:59" x14ac:dyDescent="0.35">
      <c r="A56" s="1208"/>
      <c r="B56" s="1208"/>
      <c r="C56" s="1208"/>
      <c r="D56" s="1208"/>
      <c r="E56" s="1208"/>
      <c r="F56" s="1208"/>
      <c r="G56" s="1208"/>
      <c r="H56" s="1208"/>
      <c r="I56" s="1208"/>
      <c r="J56" s="1208"/>
      <c r="K56" s="1208"/>
      <c r="L56" s="1208"/>
      <c r="M56" s="1208"/>
      <c r="N56" s="1208"/>
      <c r="O56" s="1208"/>
      <c r="P56" s="1208"/>
      <c r="Q56" s="1208"/>
      <c r="R56" s="1208"/>
      <c r="S56" s="1208"/>
      <c r="T56" s="1208"/>
      <c r="U56" s="1208"/>
      <c r="V56" s="1208"/>
      <c r="W56" s="1208"/>
      <c r="X56" s="1208"/>
      <c r="Y56" s="1208"/>
      <c r="Z56" s="1208"/>
      <c r="AA56" s="1208"/>
      <c r="AB56" s="1208"/>
      <c r="AC56" s="1208"/>
      <c r="AD56" s="1208"/>
      <c r="AE56" s="1208"/>
      <c r="AF56" s="1208"/>
      <c r="AG56" s="1208"/>
      <c r="AH56" s="1208"/>
      <c r="AI56" s="1208"/>
      <c r="AJ56" s="1208"/>
      <c r="AK56" s="1208"/>
      <c r="AL56" s="1208"/>
      <c r="AM56" s="1208"/>
      <c r="AN56" s="1208"/>
      <c r="AO56" s="1208"/>
      <c r="AP56" s="1208"/>
      <c r="AQ56" s="1208"/>
      <c r="AR56" s="1208"/>
      <c r="AS56" s="1208"/>
      <c r="AT56" s="1208"/>
      <c r="AU56" s="1208"/>
      <c r="AV56" s="1208"/>
      <c r="AW56" s="1208"/>
      <c r="AX56" s="1208"/>
      <c r="AY56" s="1208"/>
      <c r="AZ56" s="1208"/>
      <c r="BA56" s="1208"/>
      <c r="BB56" s="1208"/>
      <c r="BC56" s="1208"/>
      <c r="BD56" s="1208"/>
      <c r="BE56" s="1208"/>
      <c r="BF56" s="1208"/>
      <c r="BG56" s="1208"/>
    </row>
    <row r="57" spans="1:59" x14ac:dyDescent="0.35">
      <c r="A57" s="1208"/>
      <c r="B57" s="1208"/>
      <c r="C57" s="1208"/>
      <c r="D57" s="1208"/>
      <c r="E57" s="1208"/>
      <c r="F57" s="1208"/>
      <c r="G57" s="1208"/>
      <c r="H57" s="1208"/>
      <c r="I57" s="1208"/>
      <c r="J57" s="1208"/>
      <c r="K57" s="1208"/>
      <c r="L57" s="1208"/>
      <c r="M57" s="1208"/>
      <c r="N57" s="1208"/>
      <c r="O57" s="1208"/>
      <c r="P57" s="1208"/>
      <c r="Q57" s="1208"/>
      <c r="R57" s="1208"/>
      <c r="S57" s="1208"/>
      <c r="T57" s="1208"/>
      <c r="U57" s="1208"/>
      <c r="V57" s="1208"/>
      <c r="W57" s="1208"/>
      <c r="X57" s="1208"/>
      <c r="Y57" s="1208"/>
      <c r="Z57" s="1208"/>
      <c r="AA57" s="1208"/>
      <c r="AB57" s="1208"/>
      <c r="AC57" s="1208"/>
      <c r="AD57" s="1208"/>
      <c r="AE57" s="1208"/>
      <c r="AF57" s="1208"/>
      <c r="AG57" s="1208"/>
      <c r="AH57" s="1208"/>
      <c r="AI57" s="1208"/>
      <c r="AJ57" s="1208"/>
      <c r="AK57" s="1208"/>
      <c r="AL57" s="1208"/>
      <c r="AM57" s="1208"/>
      <c r="AN57" s="1208"/>
      <c r="AO57" s="1208"/>
      <c r="AP57" s="1208"/>
      <c r="AQ57" s="1208"/>
      <c r="AR57" s="1208"/>
      <c r="AS57" s="1208"/>
      <c r="AT57" s="1208"/>
      <c r="AU57" s="1208"/>
      <c r="AV57" s="1208"/>
      <c r="AW57" s="1208"/>
      <c r="AX57" s="1208"/>
      <c r="AY57" s="1208"/>
      <c r="AZ57" s="1208"/>
      <c r="BA57" s="1208"/>
      <c r="BB57" s="1208"/>
      <c r="BC57" s="1208"/>
      <c r="BD57" s="1208"/>
      <c r="BE57" s="1208"/>
      <c r="BF57" s="1208"/>
      <c r="BG57" s="1208"/>
    </row>
    <row r="58" spans="1:59" x14ac:dyDescent="0.35">
      <c r="A58" s="1208"/>
      <c r="B58" s="1208"/>
      <c r="C58" s="1208"/>
      <c r="D58" s="1208"/>
      <c r="E58" s="1208"/>
      <c r="F58" s="1208"/>
      <c r="G58" s="1208"/>
      <c r="H58" s="1208"/>
      <c r="I58" s="1208"/>
      <c r="J58" s="1208"/>
      <c r="K58" s="1208"/>
      <c r="L58" s="1208"/>
      <c r="M58" s="1208"/>
      <c r="N58" s="1208"/>
      <c r="O58" s="1208"/>
      <c r="P58" s="1208"/>
      <c r="Q58" s="1208"/>
      <c r="R58" s="1208"/>
      <c r="S58" s="1208"/>
      <c r="T58" s="1208"/>
      <c r="U58" s="1208"/>
      <c r="V58" s="1208"/>
      <c r="W58" s="1208"/>
      <c r="X58" s="1208"/>
      <c r="Y58" s="1208"/>
      <c r="Z58" s="1208"/>
      <c r="AA58" s="1208"/>
      <c r="AB58" s="1208"/>
      <c r="AC58" s="1208"/>
      <c r="AD58" s="1208"/>
      <c r="AE58" s="1208"/>
      <c r="AF58" s="1208"/>
      <c r="AG58" s="1208"/>
      <c r="AH58" s="1208"/>
      <c r="AI58" s="1208"/>
      <c r="AJ58" s="1208"/>
      <c r="AK58" s="1208"/>
      <c r="AL58" s="1208"/>
      <c r="AM58" s="1208"/>
      <c r="AN58" s="1208"/>
      <c r="AO58" s="1208"/>
      <c r="AP58" s="1208"/>
      <c r="AQ58" s="1208"/>
      <c r="AR58" s="1208"/>
      <c r="AS58" s="1208"/>
      <c r="AT58" s="1208"/>
      <c r="AU58" s="1208"/>
      <c r="AV58" s="1208"/>
      <c r="AW58" s="1208"/>
      <c r="AX58" s="1208"/>
      <c r="AY58" s="1208"/>
      <c r="AZ58" s="1208"/>
      <c r="BA58" s="1208"/>
      <c r="BB58" s="1208"/>
      <c r="BC58" s="1208"/>
      <c r="BD58" s="1208"/>
      <c r="BE58" s="1208"/>
      <c r="BF58" s="1208"/>
      <c r="BG58" s="1208"/>
    </row>
    <row r="59" spans="1:59" x14ac:dyDescent="0.35">
      <c r="A59" s="1208"/>
      <c r="B59" s="1208"/>
      <c r="C59" s="1208"/>
      <c r="D59" s="1208"/>
      <c r="E59" s="1208"/>
      <c r="F59" s="1208"/>
      <c r="G59" s="1208"/>
      <c r="H59" s="1208"/>
      <c r="I59" s="1208"/>
      <c r="J59" s="1208"/>
      <c r="K59" s="1208"/>
      <c r="L59" s="1208"/>
      <c r="M59" s="1208"/>
      <c r="N59" s="1208"/>
      <c r="O59" s="1208"/>
      <c r="P59" s="1208"/>
      <c r="Q59" s="1208"/>
      <c r="R59" s="1208"/>
      <c r="S59" s="1208"/>
      <c r="T59" s="1208"/>
      <c r="U59" s="1208"/>
      <c r="V59" s="1208"/>
      <c r="W59" s="1208"/>
      <c r="X59" s="1208"/>
      <c r="Y59" s="1208"/>
      <c r="Z59" s="1208"/>
      <c r="AA59" s="1208"/>
      <c r="AB59" s="1208"/>
      <c r="AC59" s="1208"/>
      <c r="AD59" s="1208"/>
      <c r="AE59" s="1208"/>
      <c r="AF59" s="1208"/>
      <c r="AG59" s="1208"/>
      <c r="AH59" s="1208"/>
      <c r="AI59" s="1208"/>
      <c r="AJ59" s="1208"/>
      <c r="AK59" s="1208"/>
      <c r="AL59" s="1208"/>
      <c r="AM59" s="1208"/>
      <c r="AN59" s="1208"/>
      <c r="AO59" s="1208"/>
      <c r="AP59" s="1208"/>
      <c r="AQ59" s="1208"/>
      <c r="AR59" s="1208"/>
      <c r="AS59" s="1208"/>
      <c r="AT59" s="1208"/>
      <c r="AU59" s="1208"/>
      <c r="AV59" s="1208"/>
      <c r="AW59" s="1208"/>
      <c r="AX59" s="1208"/>
      <c r="AY59" s="1208"/>
      <c r="AZ59" s="1208"/>
      <c r="BA59" s="1208"/>
      <c r="BB59" s="1208"/>
      <c r="BC59" s="1208"/>
      <c r="BD59" s="1208"/>
      <c r="BE59" s="1208"/>
      <c r="BF59" s="1208"/>
      <c r="BG59" s="1208"/>
    </row>
    <row r="60" spans="1:59" x14ac:dyDescent="0.35">
      <c r="A60" s="1208"/>
      <c r="B60" s="1208"/>
      <c r="C60" s="1208"/>
      <c r="D60" s="1208"/>
      <c r="E60" s="1208"/>
      <c r="F60" s="1208"/>
      <c r="G60" s="1208"/>
      <c r="H60" s="1208"/>
      <c r="I60" s="1208"/>
      <c r="J60" s="1208"/>
      <c r="K60" s="1208"/>
      <c r="L60" s="1208"/>
      <c r="M60" s="1208"/>
      <c r="N60" s="1208"/>
      <c r="O60" s="1208"/>
      <c r="P60" s="1208"/>
      <c r="Q60" s="1208"/>
      <c r="R60" s="1208"/>
      <c r="S60" s="1208"/>
      <c r="T60" s="1208"/>
      <c r="U60" s="1208"/>
      <c r="V60" s="1208"/>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V60" s="1208"/>
      <c r="AW60" s="1208"/>
      <c r="AX60" s="1208"/>
      <c r="AY60" s="1208"/>
      <c r="AZ60" s="1208"/>
      <c r="BA60" s="1208"/>
      <c r="BB60" s="1208"/>
      <c r="BC60" s="1208"/>
      <c r="BD60" s="1208"/>
      <c r="BE60" s="1208"/>
      <c r="BF60" s="1208"/>
      <c r="BG60" s="1208"/>
    </row>
    <row r="61" spans="1:59" x14ac:dyDescent="0.35">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V61" s="1208"/>
      <c r="AW61" s="1208"/>
      <c r="AX61" s="1208"/>
      <c r="AY61" s="1208"/>
      <c r="AZ61" s="1208"/>
      <c r="BA61" s="1208"/>
      <c r="BB61" s="1208"/>
      <c r="BC61" s="1208"/>
      <c r="BD61" s="1208"/>
      <c r="BE61" s="1208"/>
      <c r="BF61" s="1208"/>
      <c r="BG61" s="1208"/>
    </row>
    <row r="62" spans="1:59" x14ac:dyDescent="0.35">
      <c r="A62" s="1208"/>
      <c r="B62" s="1208"/>
      <c r="C62" s="1208"/>
      <c r="D62" s="1208"/>
      <c r="E62" s="1208"/>
      <c r="F62" s="1208"/>
      <c r="G62" s="1208"/>
      <c r="H62" s="1208"/>
      <c r="I62" s="1208"/>
      <c r="J62" s="1208"/>
      <c r="K62" s="1208"/>
      <c r="L62" s="1208"/>
      <c r="M62" s="1208"/>
      <c r="N62" s="1208"/>
      <c r="O62" s="1208"/>
      <c r="P62" s="1208"/>
      <c r="Q62" s="1208"/>
      <c r="R62" s="1208"/>
      <c r="S62" s="1208"/>
      <c r="T62" s="1208"/>
      <c r="U62" s="1208"/>
      <c r="V62" s="1208"/>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V62" s="1208"/>
      <c r="AW62" s="1208"/>
      <c r="AX62" s="1208"/>
      <c r="AY62" s="1208"/>
      <c r="AZ62" s="1208"/>
      <c r="BA62" s="1208"/>
      <c r="BB62" s="1208"/>
      <c r="BC62" s="1208"/>
      <c r="BD62" s="1208"/>
      <c r="BE62" s="1208"/>
      <c r="BF62" s="1208"/>
      <c r="BG62" s="1208"/>
    </row>
    <row r="63" spans="1:59" x14ac:dyDescent="0.35">
      <c r="A63" s="1208"/>
      <c r="B63" s="1208"/>
      <c r="C63" s="1208"/>
      <c r="D63" s="1208"/>
      <c r="E63" s="1208"/>
      <c r="F63" s="1208"/>
      <c r="G63" s="1208"/>
      <c r="H63" s="1208"/>
      <c r="I63" s="1208"/>
      <c r="J63" s="1208"/>
      <c r="K63" s="1208"/>
      <c r="L63" s="1208"/>
      <c r="M63" s="1208"/>
      <c r="N63" s="1208"/>
      <c r="O63" s="1208"/>
      <c r="P63" s="1208"/>
      <c r="Q63" s="1208"/>
      <c r="R63" s="1208"/>
      <c r="S63" s="1208"/>
      <c r="T63" s="1208"/>
      <c r="U63" s="1208"/>
      <c r="V63" s="1208"/>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8"/>
      <c r="AU63" s="1208"/>
      <c r="AV63" s="1208"/>
      <c r="AW63" s="1208"/>
      <c r="AX63" s="1208"/>
      <c r="AY63" s="1208"/>
      <c r="AZ63" s="1208"/>
      <c r="BA63" s="1208"/>
      <c r="BB63" s="1208"/>
      <c r="BC63" s="1208"/>
      <c r="BD63" s="1208"/>
      <c r="BE63" s="1208"/>
      <c r="BF63" s="1208"/>
      <c r="BG63" s="1208"/>
    </row>
    <row r="64" spans="1:59" x14ac:dyDescent="0.35">
      <c r="A64" s="1208"/>
      <c r="B64" s="1208"/>
      <c r="C64" s="1208"/>
      <c r="D64" s="1208"/>
      <c r="E64" s="1208"/>
      <c r="F64" s="1208"/>
      <c r="G64" s="1208"/>
      <c r="H64" s="1208"/>
      <c r="I64" s="1208"/>
      <c r="J64" s="1208"/>
      <c r="K64" s="1208"/>
      <c r="L64" s="1208"/>
      <c r="M64" s="1208"/>
      <c r="N64" s="1208"/>
      <c r="O64" s="1208"/>
      <c r="P64" s="1208"/>
      <c r="Q64" s="1208"/>
      <c r="R64" s="1208"/>
      <c r="S64" s="1208"/>
      <c r="T64" s="1208"/>
      <c r="U64" s="1208"/>
      <c r="V64" s="1208"/>
      <c r="W64" s="1208"/>
      <c r="X64" s="1208"/>
      <c r="Y64" s="1208"/>
      <c r="Z64" s="1208"/>
      <c r="AA64" s="1208"/>
      <c r="AB64" s="1208"/>
      <c r="AC64" s="1208"/>
      <c r="AD64" s="1208"/>
      <c r="AE64" s="1208"/>
      <c r="AF64" s="1208"/>
      <c r="AG64" s="1208"/>
      <c r="AH64" s="1208"/>
      <c r="AI64" s="1208"/>
      <c r="AJ64" s="1208"/>
      <c r="AK64" s="1208"/>
      <c r="AL64" s="1208"/>
      <c r="AM64" s="1208"/>
      <c r="AN64" s="1208"/>
      <c r="AO64" s="1208"/>
      <c r="AP64" s="1208"/>
      <c r="AQ64" s="1208"/>
      <c r="AR64" s="1208"/>
      <c r="AS64" s="1208"/>
      <c r="AT64" s="1208"/>
      <c r="AU64" s="1208"/>
      <c r="AV64" s="1208"/>
      <c r="AW64" s="1208"/>
      <c r="AX64" s="1208"/>
      <c r="AY64" s="1208"/>
      <c r="AZ64" s="1208"/>
      <c r="BA64" s="1208"/>
      <c r="BB64" s="1208"/>
      <c r="BC64" s="1208"/>
      <c r="BD64" s="1208"/>
      <c r="BE64" s="1208"/>
      <c r="BF64" s="1208"/>
      <c r="BG64" s="1208"/>
    </row>
    <row r="65" spans="1:59" x14ac:dyDescent="0.35">
      <c r="A65" s="1208"/>
      <c r="B65" s="1208"/>
      <c r="C65" s="1208"/>
      <c r="D65" s="1208"/>
      <c r="E65" s="1208"/>
      <c r="F65" s="1208"/>
      <c r="G65" s="1208"/>
      <c r="H65" s="1208"/>
      <c r="I65" s="1208"/>
      <c r="J65" s="1208"/>
      <c r="K65" s="1208"/>
      <c r="L65" s="1208"/>
      <c r="M65" s="1208"/>
      <c r="N65" s="1208"/>
      <c r="O65" s="1208"/>
      <c r="P65" s="1208"/>
      <c r="Q65" s="1208"/>
      <c r="R65" s="1208"/>
      <c r="S65" s="1208"/>
      <c r="T65" s="1208"/>
      <c r="U65" s="1208"/>
      <c r="V65" s="1208"/>
      <c r="W65" s="1208"/>
      <c r="X65" s="1208"/>
      <c r="Y65" s="1208"/>
      <c r="Z65" s="1208"/>
      <c r="AA65" s="1208"/>
      <c r="AB65" s="1208"/>
      <c r="AC65" s="1208"/>
      <c r="AD65" s="1208"/>
      <c r="AE65" s="1208"/>
      <c r="AF65" s="1208"/>
      <c r="AG65" s="1208"/>
      <c r="AH65" s="1208"/>
      <c r="AI65" s="1208"/>
      <c r="AJ65" s="1208"/>
      <c r="AK65" s="1208"/>
      <c r="AL65" s="1208"/>
      <c r="AM65" s="1208"/>
      <c r="AN65" s="1208"/>
      <c r="AO65" s="1208"/>
      <c r="AP65" s="1208"/>
      <c r="AQ65" s="1208"/>
      <c r="AR65" s="1208"/>
      <c r="AS65" s="1208"/>
      <c r="AT65" s="1208"/>
      <c r="AU65" s="1208"/>
      <c r="AV65" s="1208"/>
      <c r="AW65" s="1208"/>
      <c r="AX65" s="1208"/>
      <c r="AY65" s="1208"/>
      <c r="AZ65" s="1208"/>
      <c r="BA65" s="1208"/>
      <c r="BB65" s="1208"/>
      <c r="BC65" s="1208"/>
      <c r="BD65" s="1208"/>
      <c r="BE65" s="1208"/>
      <c r="BF65" s="1208"/>
      <c r="BG65" s="1208"/>
    </row>
    <row r="66" spans="1:59" x14ac:dyDescent="0.35">
      <c r="A66" s="1208"/>
      <c r="B66" s="1208"/>
      <c r="C66" s="1208"/>
      <c r="D66" s="1208"/>
      <c r="E66" s="1208"/>
      <c r="F66" s="1208"/>
      <c r="G66" s="1208"/>
      <c r="H66" s="1208"/>
      <c r="I66" s="1208"/>
      <c r="J66" s="1208"/>
      <c r="K66" s="1208"/>
      <c r="L66" s="1208"/>
      <c r="M66" s="1208"/>
      <c r="N66" s="1208"/>
      <c r="O66" s="1208"/>
      <c r="P66" s="1208"/>
      <c r="Q66" s="1208"/>
      <c r="R66" s="1208"/>
      <c r="S66" s="1208"/>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D66" s="1208"/>
      <c r="BE66" s="1208"/>
      <c r="BF66" s="1208"/>
      <c r="BG66" s="1208"/>
    </row>
    <row r="67" spans="1:59" x14ac:dyDescent="0.35">
      <c r="A67" s="1208"/>
      <c r="B67" s="1208"/>
      <c r="C67" s="1208"/>
      <c r="D67" s="1208"/>
      <c r="E67" s="1208"/>
      <c r="F67" s="1208"/>
      <c r="G67" s="1208"/>
      <c r="H67" s="1208"/>
      <c r="I67" s="1208"/>
      <c r="J67" s="1208"/>
      <c r="K67" s="1208"/>
      <c r="L67" s="1208"/>
      <c r="M67" s="1208"/>
      <c r="N67" s="1208"/>
      <c r="O67" s="1208"/>
      <c r="P67" s="1208"/>
      <c r="Q67" s="1208"/>
      <c r="R67" s="1208"/>
      <c r="S67" s="1208"/>
      <c r="T67" s="1208"/>
      <c r="U67" s="1208"/>
      <c r="V67" s="1208"/>
      <c r="W67" s="1208"/>
      <c r="X67" s="1208"/>
      <c r="Y67" s="1208"/>
      <c r="Z67" s="1208"/>
      <c r="AA67" s="1208"/>
      <c r="AB67" s="1208"/>
      <c r="AC67" s="1208"/>
      <c r="AD67" s="1208"/>
      <c r="AE67" s="1208"/>
      <c r="AF67" s="1208"/>
      <c r="AG67" s="1208"/>
      <c r="AH67" s="1208"/>
      <c r="AI67" s="1208"/>
      <c r="AJ67" s="1208"/>
      <c r="AK67" s="1208"/>
      <c r="AL67" s="1208"/>
      <c r="AM67" s="1208"/>
      <c r="AN67" s="1208"/>
      <c r="AO67" s="1208"/>
      <c r="AP67" s="1208"/>
      <c r="AQ67" s="1208"/>
      <c r="AR67" s="1208"/>
      <c r="AS67" s="1208"/>
      <c r="AT67" s="1208"/>
      <c r="AU67" s="1208"/>
      <c r="AV67" s="1208"/>
      <c r="AW67" s="1208"/>
      <c r="AX67" s="1208"/>
      <c r="AY67" s="1208"/>
      <c r="AZ67" s="1208"/>
      <c r="BA67" s="1208"/>
      <c r="BB67" s="1208"/>
      <c r="BC67" s="1208"/>
      <c r="BD67" s="1208"/>
      <c r="BE67" s="1208"/>
      <c r="BF67" s="1208"/>
      <c r="BG67" s="1208"/>
    </row>
    <row r="68" spans="1:59" x14ac:dyDescent="0.35">
      <c r="A68" s="1208"/>
      <c r="B68" s="1208"/>
      <c r="C68" s="1208"/>
      <c r="D68" s="1208"/>
      <c r="E68" s="1208"/>
      <c r="F68" s="1208"/>
      <c r="G68" s="1208"/>
      <c r="H68" s="1208"/>
      <c r="I68" s="1208"/>
      <c r="J68" s="1208"/>
      <c r="K68" s="1208"/>
      <c r="L68" s="1208"/>
      <c r="M68" s="1208"/>
      <c r="N68" s="1208"/>
      <c r="O68" s="1208"/>
      <c r="P68" s="1208"/>
      <c r="Q68" s="1208"/>
      <c r="R68" s="1208"/>
      <c r="S68" s="1208"/>
      <c r="T68" s="1208"/>
      <c r="U68" s="1208"/>
      <c r="V68" s="1208"/>
      <c r="W68" s="1208"/>
      <c r="X68" s="1208"/>
      <c r="Y68" s="1208"/>
      <c r="Z68" s="1208"/>
      <c r="AA68" s="1208"/>
      <c r="AB68" s="1208"/>
      <c r="AC68" s="1208"/>
      <c r="AD68" s="1208"/>
      <c r="AE68" s="1208"/>
      <c r="AF68" s="1208"/>
      <c r="AG68" s="1208"/>
      <c r="AH68" s="1208"/>
      <c r="AI68" s="1208"/>
      <c r="AJ68" s="1208"/>
      <c r="AK68" s="1208"/>
      <c r="AL68" s="1208"/>
      <c r="AM68" s="1208"/>
      <c r="AN68" s="1208"/>
      <c r="AO68" s="1208"/>
      <c r="AP68" s="1208"/>
      <c r="AQ68" s="1208"/>
      <c r="AR68" s="1208"/>
      <c r="AS68" s="1208"/>
      <c r="AT68" s="1208"/>
      <c r="AU68" s="1208"/>
      <c r="AV68" s="1208"/>
      <c r="AW68" s="1208"/>
      <c r="AX68" s="1208"/>
      <c r="AY68" s="1208"/>
      <c r="AZ68" s="1208"/>
      <c r="BA68" s="1208"/>
      <c r="BB68" s="1208"/>
      <c r="BC68" s="1208"/>
      <c r="BD68" s="1208"/>
      <c r="BE68" s="1208"/>
      <c r="BF68" s="1208"/>
      <c r="BG68" s="1208"/>
    </row>
    <row r="69" spans="1:59" x14ac:dyDescent="0.35">
      <c r="A69" s="1208"/>
      <c r="B69" s="1208"/>
      <c r="C69" s="1208"/>
      <c r="D69" s="1208"/>
      <c r="E69" s="1208"/>
      <c r="F69" s="1208"/>
      <c r="G69" s="1208"/>
      <c r="H69" s="1208"/>
      <c r="I69" s="1208"/>
      <c r="J69" s="1208"/>
      <c r="K69" s="1208"/>
      <c r="L69" s="1208"/>
      <c r="M69" s="1208"/>
      <c r="N69" s="1208"/>
      <c r="O69" s="1208"/>
      <c r="P69" s="1208"/>
      <c r="Q69" s="1208"/>
      <c r="R69" s="1208"/>
      <c r="S69" s="1208"/>
      <c r="T69" s="1208"/>
      <c r="U69" s="1208"/>
      <c r="V69" s="1208"/>
      <c r="W69" s="1208"/>
      <c r="X69" s="1208"/>
      <c r="Y69" s="1208"/>
      <c r="Z69" s="1208"/>
      <c r="AA69" s="1208"/>
      <c r="AB69" s="1208"/>
      <c r="AC69" s="1208"/>
      <c r="AD69" s="1208"/>
      <c r="AE69" s="1208"/>
      <c r="AF69" s="1208"/>
      <c r="AG69" s="1208"/>
      <c r="AH69" s="1208"/>
      <c r="AI69" s="1208"/>
      <c r="AJ69" s="1208"/>
      <c r="AK69" s="1208"/>
      <c r="AL69" s="1208"/>
      <c r="AM69" s="1208"/>
      <c r="AN69" s="1208"/>
      <c r="AO69" s="1208"/>
      <c r="AP69" s="1208"/>
      <c r="AQ69" s="1208"/>
      <c r="AR69" s="1208"/>
      <c r="AS69" s="1208"/>
      <c r="AT69" s="1208"/>
      <c r="AU69" s="1208"/>
      <c r="AV69" s="1208"/>
      <c r="AW69" s="1208"/>
      <c r="AX69" s="1208"/>
      <c r="AY69" s="1208"/>
      <c r="AZ69" s="1208"/>
      <c r="BA69" s="1208"/>
      <c r="BB69" s="1208"/>
      <c r="BC69" s="1208"/>
      <c r="BD69" s="1208"/>
      <c r="BE69" s="1208"/>
      <c r="BF69" s="1208"/>
      <c r="BG69" s="1208"/>
    </row>
    <row r="70" spans="1:59" x14ac:dyDescent="0.35">
      <c r="A70" s="1208"/>
      <c r="B70" s="1208"/>
      <c r="C70" s="1208"/>
      <c r="D70" s="1208"/>
      <c r="E70" s="1208"/>
      <c r="F70" s="1208"/>
      <c r="G70" s="1208"/>
      <c r="H70" s="1208"/>
      <c r="I70" s="1208"/>
      <c r="J70" s="1208"/>
      <c r="K70" s="1208"/>
      <c r="L70" s="1208"/>
      <c r="M70" s="1208"/>
      <c r="N70" s="1208"/>
      <c r="O70" s="1208"/>
      <c r="P70" s="1208"/>
      <c r="Q70" s="1208"/>
      <c r="R70" s="1208"/>
      <c r="S70" s="1208"/>
      <c r="T70" s="1208"/>
      <c r="U70" s="1208"/>
      <c r="V70" s="1208"/>
      <c r="W70" s="1208"/>
      <c r="X70" s="1208"/>
      <c r="Y70" s="1208"/>
      <c r="Z70" s="1208"/>
      <c r="AA70" s="1208"/>
      <c r="AB70" s="1208"/>
      <c r="AC70" s="1208"/>
      <c r="AD70" s="1208"/>
      <c r="AE70" s="1208"/>
      <c r="AF70" s="1208"/>
      <c r="AG70" s="1208"/>
      <c r="AH70" s="1208"/>
      <c r="AI70" s="1208"/>
      <c r="AJ70" s="1208"/>
      <c r="AK70" s="1208"/>
      <c r="AL70" s="1208"/>
      <c r="AM70" s="1208"/>
      <c r="AN70" s="1208"/>
      <c r="AO70" s="1208"/>
      <c r="AP70" s="1208"/>
      <c r="AQ70" s="1208"/>
      <c r="AR70" s="1208"/>
      <c r="AS70" s="1208"/>
      <c r="AT70" s="1208"/>
      <c r="AU70" s="1208"/>
      <c r="AV70" s="1208"/>
      <c r="AW70" s="1208"/>
      <c r="AX70" s="1208"/>
      <c r="AY70" s="1208"/>
      <c r="AZ70" s="1208"/>
      <c r="BA70" s="1208"/>
      <c r="BB70" s="1208"/>
      <c r="BC70" s="1208"/>
      <c r="BD70" s="1208"/>
      <c r="BE70" s="1208"/>
      <c r="BF70" s="1208"/>
      <c r="BG70" s="1208"/>
    </row>
    <row r="71" spans="1:59" x14ac:dyDescent="0.35">
      <c r="A71" s="1208"/>
      <c r="B71" s="1208"/>
      <c r="C71" s="1208"/>
      <c r="D71" s="1208"/>
      <c r="E71" s="1208"/>
      <c r="F71" s="1208"/>
      <c r="G71" s="1208"/>
      <c r="H71" s="1208"/>
      <c r="I71" s="1208"/>
      <c r="J71" s="1208"/>
      <c r="K71" s="1208"/>
      <c r="L71" s="1208"/>
      <c r="M71" s="1208"/>
      <c r="N71" s="1208"/>
      <c r="O71" s="1208"/>
      <c r="P71" s="1208"/>
      <c r="Q71" s="1208"/>
      <c r="R71" s="1208"/>
      <c r="S71" s="1208"/>
      <c r="T71" s="1208"/>
      <c r="U71" s="1208"/>
      <c r="V71" s="1208"/>
      <c r="W71" s="1208"/>
      <c r="X71" s="1208"/>
      <c r="Y71" s="1208"/>
      <c r="Z71" s="1208"/>
      <c r="AA71" s="1208"/>
      <c r="AB71" s="1208"/>
      <c r="AC71" s="1208"/>
      <c r="AD71" s="1208"/>
      <c r="AE71" s="1208"/>
      <c r="AF71" s="1208"/>
      <c r="AG71" s="1208"/>
      <c r="AH71" s="1208"/>
      <c r="AI71" s="1208"/>
      <c r="AJ71" s="1208"/>
      <c r="AK71" s="1208"/>
      <c r="AL71" s="1208"/>
      <c r="AM71" s="1208"/>
      <c r="AN71" s="1208"/>
      <c r="AO71" s="1208"/>
      <c r="AP71" s="1208"/>
      <c r="AQ71" s="1208"/>
      <c r="AR71" s="1208"/>
      <c r="AS71" s="1208"/>
      <c r="AT71" s="1208"/>
      <c r="AU71" s="1208"/>
      <c r="AV71" s="1208"/>
      <c r="AW71" s="1208"/>
      <c r="AX71" s="1208"/>
      <c r="AY71" s="1208"/>
      <c r="AZ71" s="1208"/>
      <c r="BA71" s="1208"/>
      <c r="BB71" s="1208"/>
      <c r="BC71" s="1208"/>
      <c r="BD71" s="1208"/>
      <c r="BE71" s="1208"/>
      <c r="BF71" s="1208"/>
      <c r="BG71" s="1208"/>
    </row>
    <row r="72" spans="1:59" x14ac:dyDescent="0.35">
      <c r="A72" s="1208"/>
      <c r="B72" s="1208"/>
      <c r="C72" s="1208"/>
      <c r="D72" s="1208"/>
      <c r="E72" s="1208"/>
      <c r="F72" s="1208"/>
      <c r="G72" s="1208"/>
      <c r="H72" s="1208"/>
      <c r="I72" s="1208"/>
      <c r="J72" s="1208"/>
      <c r="K72" s="1208"/>
      <c r="L72" s="1208"/>
      <c r="M72" s="1208"/>
      <c r="N72" s="1208"/>
      <c r="O72" s="1208"/>
      <c r="P72" s="1208"/>
      <c r="Q72" s="1208"/>
      <c r="R72" s="1208"/>
      <c r="S72" s="1208"/>
      <c r="T72" s="1208"/>
      <c r="U72" s="1208"/>
      <c r="V72" s="1208"/>
      <c r="W72" s="1208"/>
      <c r="X72" s="1208"/>
      <c r="Y72" s="1208"/>
      <c r="Z72" s="1208"/>
      <c r="AA72" s="1208"/>
      <c r="AB72" s="1208"/>
      <c r="AC72" s="1208"/>
      <c r="AD72" s="1208"/>
      <c r="AE72" s="1208"/>
      <c r="AF72" s="1208"/>
      <c r="AG72" s="1208"/>
      <c r="AH72" s="1208"/>
      <c r="AI72" s="1208"/>
      <c r="AJ72" s="1208"/>
      <c r="AK72" s="1208"/>
      <c r="AL72" s="1208"/>
      <c r="AM72" s="1208"/>
      <c r="AN72" s="1208"/>
      <c r="AO72" s="1208"/>
      <c r="AP72" s="1208"/>
      <c r="AQ72" s="1208"/>
      <c r="AR72" s="1208"/>
      <c r="AS72" s="1208"/>
      <c r="AT72" s="1208"/>
      <c r="AU72" s="1208"/>
      <c r="AV72" s="1208"/>
      <c r="AW72" s="1208"/>
      <c r="AX72" s="1208"/>
      <c r="AY72" s="1208"/>
      <c r="AZ72" s="1208"/>
      <c r="BA72" s="1208"/>
      <c r="BB72" s="1208"/>
      <c r="BC72" s="1208"/>
      <c r="BD72" s="1208"/>
      <c r="BE72" s="1208"/>
      <c r="BF72" s="1208"/>
      <c r="BG72" s="1208"/>
    </row>
  </sheetData>
  <mergeCells count="3">
    <mergeCell ref="C9:D9"/>
    <mergeCell ref="B15:M15"/>
    <mergeCell ref="N15:U15"/>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F97"/>
  <sheetViews>
    <sheetView workbookViewId="0">
      <selection activeCell="K20" sqref="K20"/>
    </sheetView>
  </sheetViews>
  <sheetFormatPr defaultColWidth="8.7265625" defaultRowHeight="15.5" x14ac:dyDescent="0.35"/>
  <cols>
    <col min="1" max="1" width="8.7265625" style="1087"/>
    <col min="2" max="2" width="15.453125" style="1087" customWidth="1"/>
    <col min="3" max="3" width="11.81640625" style="1087" customWidth="1"/>
    <col min="4" max="4" width="3" style="1087" customWidth="1"/>
    <col min="5" max="5" width="11.54296875" style="1087" customWidth="1"/>
    <col min="6" max="6" width="3.1796875" style="1087" customWidth="1"/>
    <col min="7" max="7" width="9.7265625" style="1087" bestFit="1" customWidth="1"/>
    <col min="8" max="8" width="3.54296875" style="1087" customWidth="1"/>
    <col min="9" max="9" width="9.453125" style="1087" bestFit="1" customWidth="1"/>
    <col min="10" max="10" width="3.1796875" style="1087" customWidth="1"/>
    <col min="11" max="11" width="9.26953125" style="1087" bestFit="1" customWidth="1"/>
    <col min="12" max="12" width="3.54296875" style="1087" customWidth="1"/>
    <col min="13" max="13" width="11.54296875" style="1087" customWidth="1"/>
    <col min="14" max="14" width="3.1796875" style="1087" customWidth="1"/>
    <col min="15" max="15" width="6.54296875" style="1087" customWidth="1"/>
    <col min="16" max="16" width="3.54296875" style="1087" customWidth="1"/>
    <col min="17" max="17" width="8.453125" style="1087" customWidth="1"/>
    <col min="18" max="18" width="3" style="1087" customWidth="1"/>
    <col min="19" max="19" width="12.1796875" style="1087" customWidth="1"/>
    <col min="20" max="20" width="3.54296875" style="1087" customWidth="1"/>
    <col min="21" max="21" width="12.81640625" style="1087" customWidth="1"/>
    <col min="22" max="24" width="9.81640625" style="1087" customWidth="1"/>
    <col min="25" max="16384" width="8.7265625" style="1087"/>
  </cols>
  <sheetData>
    <row r="1" spans="1:58" ht="23" x14ac:dyDescent="0.5">
      <c r="A1" s="1306" t="s">
        <v>1102</v>
      </c>
      <c r="B1" s="1307"/>
      <c r="C1" s="1307"/>
      <c r="D1" s="1307"/>
      <c r="E1" s="1307"/>
      <c r="F1" s="1307"/>
      <c r="G1" s="1307"/>
      <c r="H1" s="1307"/>
      <c r="I1" s="1307"/>
      <c r="J1" s="1307"/>
      <c r="K1" s="1307"/>
      <c r="L1" s="1307"/>
      <c r="M1" s="1307"/>
      <c r="N1" s="1307"/>
      <c r="O1" s="1307"/>
      <c r="P1" s="1307"/>
      <c r="Q1" s="1307"/>
      <c r="R1" s="1307"/>
      <c r="S1" s="1308" t="s">
        <v>1103</v>
      </c>
      <c r="T1" s="1309"/>
      <c r="U1" s="1310"/>
      <c r="V1" s="1208"/>
      <c r="W1" s="1208"/>
      <c r="X1" s="1208"/>
      <c r="Y1" s="1208"/>
      <c r="Z1" s="1208"/>
      <c r="AA1" s="1208"/>
      <c r="AB1" s="1208"/>
      <c r="AC1" s="1208"/>
      <c r="AD1" s="1208"/>
      <c r="AE1" s="1208"/>
      <c r="AF1" s="1208"/>
      <c r="AG1" s="1208"/>
      <c r="AH1" s="1208"/>
      <c r="AI1" s="1208"/>
      <c r="AJ1" s="1208"/>
      <c r="AK1" s="1208"/>
      <c r="AL1" s="1208"/>
      <c r="AM1" s="1208"/>
      <c r="AN1" s="1208"/>
      <c r="AO1" s="1208"/>
      <c r="AP1" s="1208"/>
      <c r="AQ1" s="1208"/>
      <c r="AR1" s="1208"/>
      <c r="AS1" s="1208"/>
      <c r="AT1" s="1208"/>
      <c r="AU1" s="1208"/>
      <c r="AV1" s="1208"/>
      <c r="AW1" s="1208"/>
      <c r="AX1" s="1208"/>
      <c r="AY1" s="1208"/>
      <c r="AZ1" s="1208"/>
      <c r="BA1" s="1208"/>
      <c r="BB1" s="1208"/>
      <c r="BC1" s="1208"/>
      <c r="BD1" s="1208"/>
      <c r="BE1" s="1208"/>
      <c r="BF1" s="1208"/>
    </row>
    <row r="2" spans="1:58" s="1217" customFormat="1" ht="25" thickBot="1" x14ac:dyDescent="0.75">
      <c r="A2" s="1311" t="s">
        <v>1069</v>
      </c>
      <c r="B2" s="1312"/>
      <c r="C2" s="1313"/>
      <c r="D2" s="1312"/>
      <c r="E2" s="1312"/>
      <c r="F2" s="1314"/>
      <c r="G2" s="1312"/>
      <c r="H2" s="1312"/>
      <c r="I2" s="1312"/>
      <c r="J2" s="1312"/>
      <c r="K2" s="1312"/>
      <c r="L2" s="1312"/>
      <c r="M2" s="1312"/>
      <c r="N2" s="1312"/>
      <c r="O2" s="1312"/>
      <c r="P2" s="1312"/>
      <c r="Q2" s="1312"/>
      <c r="R2" s="1312"/>
      <c r="S2" s="1312"/>
      <c r="T2" s="1315"/>
      <c r="U2" s="1216"/>
      <c r="V2" s="1316"/>
      <c r="W2" s="1317"/>
      <c r="X2" s="1317"/>
      <c r="Y2" s="1216"/>
      <c r="Z2" s="1216"/>
      <c r="AA2" s="1216"/>
      <c r="AB2" s="1216"/>
      <c r="AC2" s="1216"/>
      <c r="AD2" s="1216"/>
      <c r="AE2" s="1216"/>
      <c r="AF2" s="1216"/>
      <c r="AG2" s="1216"/>
      <c r="AH2" s="1216"/>
      <c r="AI2" s="1216"/>
      <c r="AJ2" s="1216"/>
      <c r="AK2" s="1216"/>
      <c r="AL2" s="1216"/>
      <c r="AM2" s="1216"/>
      <c r="AN2" s="1216"/>
      <c r="AO2" s="1216"/>
      <c r="AP2" s="1216"/>
      <c r="AQ2" s="1216"/>
      <c r="AR2" s="1216"/>
      <c r="AS2" s="1216"/>
      <c r="AT2" s="1216"/>
      <c r="AU2" s="1216"/>
      <c r="AV2" s="1216"/>
      <c r="AW2" s="1216"/>
      <c r="AX2" s="1216"/>
      <c r="AY2" s="1216"/>
      <c r="AZ2" s="1216"/>
      <c r="BA2" s="1216"/>
      <c r="BB2" s="1216"/>
      <c r="BC2" s="1216"/>
      <c r="BD2" s="1216"/>
      <c r="BE2" s="1216"/>
      <c r="BF2" s="1216"/>
    </row>
    <row r="3" spans="1:58" s="1217" customFormat="1" ht="21.75" customHeight="1" x14ac:dyDescent="0.5">
      <c r="A3" s="1224" t="s">
        <v>1070</v>
      </c>
      <c r="B3" s="1225"/>
      <c r="C3" s="1226"/>
      <c r="D3" s="1225"/>
      <c r="E3" s="1225"/>
      <c r="F3" s="1227"/>
      <c r="G3" s="1225"/>
      <c r="H3" s="1225"/>
      <c r="I3" s="1225"/>
      <c r="J3" s="1225"/>
      <c r="K3" s="1225"/>
      <c r="L3" s="1225"/>
      <c r="M3" s="1225"/>
      <c r="N3" s="1225"/>
      <c r="O3" s="1225"/>
      <c r="P3" s="1225"/>
      <c r="Q3" s="1225"/>
      <c r="R3" s="1225"/>
      <c r="S3" s="1225"/>
      <c r="T3" s="1228"/>
      <c r="U3" s="1216"/>
      <c r="V3" s="1316"/>
      <c r="W3" s="1317"/>
      <c r="X3" s="1317"/>
      <c r="Y3" s="1216"/>
      <c r="Z3" s="1216"/>
      <c r="AA3" s="1216"/>
      <c r="AB3" s="1216"/>
      <c r="AC3" s="1216"/>
      <c r="AD3" s="1216"/>
      <c r="AE3" s="1216"/>
      <c r="AF3" s="1216"/>
      <c r="AG3" s="1216"/>
      <c r="AH3" s="1216"/>
      <c r="AI3" s="1216"/>
      <c r="AJ3" s="1216"/>
      <c r="AK3" s="1216"/>
      <c r="AL3" s="1216"/>
      <c r="AM3" s="1216"/>
      <c r="AN3" s="1216"/>
      <c r="AO3" s="1216"/>
      <c r="AP3" s="1216"/>
      <c r="AQ3" s="1216"/>
      <c r="AR3" s="1216"/>
      <c r="AS3" s="1216"/>
      <c r="AT3" s="1216"/>
      <c r="AU3" s="1216"/>
      <c r="AV3" s="1216"/>
      <c r="AW3" s="1216"/>
      <c r="AX3" s="1216"/>
      <c r="AY3" s="1216"/>
      <c r="AZ3" s="1216"/>
      <c r="BA3" s="1216"/>
      <c r="BB3" s="1216"/>
      <c r="BC3" s="1216"/>
      <c r="BD3" s="1216"/>
      <c r="BE3" s="1216"/>
      <c r="BF3" s="1216"/>
    </row>
    <row r="4" spans="1:58" x14ac:dyDescent="0.35">
      <c r="A4" s="1318"/>
      <c r="B4" s="1319"/>
      <c r="C4" s="1319"/>
      <c r="D4" s="1319"/>
      <c r="E4" s="1319"/>
      <c r="F4" s="1319"/>
      <c r="G4" s="1319"/>
      <c r="H4" s="1319"/>
      <c r="I4" s="1319"/>
      <c r="J4" s="1319"/>
      <c r="K4" s="1319"/>
      <c r="L4" s="1319"/>
      <c r="M4" s="1319"/>
      <c r="N4" s="1319"/>
      <c r="O4" s="1319"/>
      <c r="P4" s="1319"/>
      <c r="Q4" s="1319"/>
      <c r="R4" s="1319"/>
      <c r="S4" s="1319"/>
      <c r="T4" s="1320"/>
      <c r="U4" s="1208"/>
      <c r="V4" s="1208"/>
      <c r="W4" s="1208"/>
      <c r="X4" s="1208"/>
      <c r="Y4" s="1208"/>
      <c r="Z4" s="1208"/>
      <c r="AA4" s="1208"/>
      <c r="AB4" s="1208"/>
      <c r="AC4" s="1208"/>
      <c r="AD4" s="1208"/>
      <c r="AE4" s="1208"/>
      <c r="AF4" s="1208"/>
      <c r="AG4" s="1208"/>
      <c r="AH4" s="1208"/>
      <c r="AI4" s="1208"/>
      <c r="AJ4" s="1208"/>
      <c r="AK4" s="1208"/>
      <c r="AL4" s="1208"/>
      <c r="AM4" s="1208"/>
      <c r="AN4" s="1208"/>
      <c r="AO4" s="1208"/>
      <c r="AP4" s="1208"/>
      <c r="AQ4" s="1208"/>
      <c r="AR4" s="1208"/>
      <c r="AS4" s="1208"/>
      <c r="AT4" s="1208"/>
      <c r="AU4" s="1208"/>
      <c r="AV4" s="1208"/>
      <c r="AW4" s="1208"/>
      <c r="AX4" s="1208"/>
      <c r="AY4" s="1208"/>
      <c r="AZ4" s="1208"/>
      <c r="BA4" s="1208"/>
      <c r="BB4" s="1208"/>
      <c r="BC4" s="1208"/>
      <c r="BD4" s="1208"/>
      <c r="BE4" s="1208"/>
      <c r="BF4" s="1208"/>
    </row>
    <row r="5" spans="1:58" s="1217" customFormat="1" ht="21.75" customHeight="1" thickBot="1" x14ac:dyDescent="0.55000000000000004">
      <c r="A5" s="1318" t="s">
        <v>1071</v>
      </c>
      <c r="B5" s="1230"/>
      <c r="C5" s="1231"/>
      <c r="D5" s="1230"/>
      <c r="E5" s="1230"/>
      <c r="F5" s="1232"/>
      <c r="G5" s="1230"/>
      <c r="H5" s="1230"/>
      <c r="I5" s="1230"/>
      <c r="J5" s="1230"/>
      <c r="K5" s="1230"/>
      <c r="L5" s="1230"/>
      <c r="M5" s="1230"/>
      <c r="N5" s="1230"/>
      <c r="O5" s="1230"/>
      <c r="P5" s="1230"/>
      <c r="Q5" s="1230"/>
      <c r="R5" s="1230"/>
      <c r="S5" s="1230"/>
      <c r="T5" s="1233"/>
      <c r="U5" s="1216"/>
      <c r="V5" s="1316"/>
      <c r="W5" s="1317"/>
      <c r="X5" s="1317"/>
      <c r="Y5" s="1216"/>
      <c r="Z5" s="1216"/>
      <c r="AA5" s="1216"/>
      <c r="AB5" s="1216"/>
      <c r="AC5" s="1216"/>
      <c r="AD5" s="1216"/>
      <c r="AE5" s="1216"/>
      <c r="AF5" s="1216"/>
      <c r="AG5" s="1216"/>
      <c r="AH5" s="1216"/>
      <c r="AI5" s="1216"/>
      <c r="AJ5" s="1216"/>
      <c r="AK5" s="1216"/>
      <c r="AL5" s="1216"/>
      <c r="AM5" s="1216"/>
      <c r="AN5" s="1216"/>
      <c r="AO5" s="1216"/>
      <c r="AP5" s="1216"/>
      <c r="AQ5" s="1216"/>
      <c r="AR5" s="1216"/>
      <c r="AS5" s="1216"/>
      <c r="AT5" s="1216"/>
      <c r="AU5" s="1216"/>
      <c r="AV5" s="1216"/>
      <c r="AW5" s="1216"/>
      <c r="AX5" s="1216"/>
      <c r="AY5" s="1216"/>
      <c r="AZ5" s="1216"/>
      <c r="BA5" s="1216"/>
      <c r="BB5" s="1216"/>
      <c r="BC5" s="1216"/>
      <c r="BD5" s="1216"/>
      <c r="BE5" s="1216"/>
      <c r="BF5" s="1216"/>
    </row>
    <row r="6" spans="1:58" s="1217" customFormat="1" ht="21.75" customHeight="1" thickBot="1" x14ac:dyDescent="0.55000000000000004">
      <c r="A6" s="1239" t="s">
        <v>1072</v>
      </c>
      <c r="B6" s="1240"/>
      <c r="C6" s="1240"/>
      <c r="D6" s="1240"/>
      <c r="E6" s="1240"/>
      <c r="F6" s="1240"/>
      <c r="G6" s="1240"/>
      <c r="H6" s="1240"/>
      <c r="I6" s="1240"/>
      <c r="J6" s="1240"/>
      <c r="K6" s="1240"/>
      <c r="L6" s="1240"/>
      <c r="M6" s="1240"/>
      <c r="N6" s="1240"/>
      <c r="O6" s="1240"/>
      <c r="P6" s="1240"/>
      <c r="Q6" s="1240"/>
      <c r="R6" s="1240"/>
      <c r="S6" s="1240"/>
      <c r="T6" s="1241"/>
      <c r="U6" s="1216"/>
      <c r="V6" s="1321" t="s">
        <v>1017</v>
      </c>
      <c r="W6" s="1322">
        <v>1</v>
      </c>
      <c r="X6" s="1323">
        <v>2</v>
      </c>
      <c r="Y6" s="1216"/>
      <c r="Z6" s="1216"/>
      <c r="AA6" s="1216"/>
      <c r="AB6" s="1216"/>
      <c r="AC6" s="1216"/>
      <c r="AD6" s="1216"/>
      <c r="AE6" s="1216"/>
      <c r="AF6" s="1216"/>
      <c r="AG6" s="1216"/>
      <c r="AH6" s="1216"/>
      <c r="AI6" s="1216"/>
      <c r="AJ6" s="1216"/>
      <c r="AK6" s="1216"/>
      <c r="AL6" s="1216"/>
      <c r="AM6" s="1216"/>
      <c r="AN6" s="1216"/>
      <c r="AO6" s="1216"/>
      <c r="AP6" s="1216"/>
      <c r="AQ6" s="1216"/>
      <c r="AR6" s="1216"/>
      <c r="AS6" s="1216"/>
      <c r="AT6" s="1216"/>
      <c r="AU6" s="1216"/>
      <c r="AV6" s="1216"/>
      <c r="AW6" s="1216"/>
      <c r="AX6" s="1216"/>
      <c r="AY6" s="1216"/>
      <c r="AZ6" s="1216"/>
      <c r="BA6" s="1216"/>
      <c r="BB6" s="1216"/>
      <c r="BC6" s="1216"/>
      <c r="BD6" s="1216"/>
      <c r="BE6" s="1216"/>
      <c r="BF6" s="1216"/>
    </row>
    <row r="7" spans="1:58" s="1253" customFormat="1" x14ac:dyDescent="0.45">
      <c r="A7" s="1324"/>
      <c r="B7" s="2037" t="s">
        <v>1022</v>
      </c>
      <c r="C7" s="2037"/>
      <c r="D7" s="1325"/>
      <c r="E7" s="1326" t="s">
        <v>1075</v>
      </c>
      <c r="F7" s="1325"/>
      <c r="G7" s="1325"/>
      <c r="H7" s="1325"/>
      <c r="I7" s="1325"/>
      <c r="J7" s="1325"/>
      <c r="K7" s="1325"/>
      <c r="L7" s="1325"/>
      <c r="M7" s="1325"/>
      <c r="N7" s="1327" t="s">
        <v>1076</v>
      </c>
      <c r="O7" s="1328"/>
      <c r="P7" s="1328"/>
      <c r="Q7" s="1329"/>
      <c r="R7" s="1329"/>
      <c r="S7" s="1329"/>
      <c r="T7" s="1330"/>
      <c r="U7" s="1252"/>
      <c r="V7" s="1331">
        <v>0</v>
      </c>
      <c r="W7" s="1332">
        <v>0</v>
      </c>
      <c r="X7" s="1333">
        <v>0</v>
      </c>
      <c r="Y7" s="1252"/>
      <c r="Z7" s="1252"/>
      <c r="AA7" s="1252"/>
      <c r="AB7" s="1252"/>
      <c r="AC7" s="1252"/>
      <c r="AD7" s="1252"/>
      <c r="AE7" s="1252"/>
      <c r="AF7" s="1252"/>
      <c r="AG7" s="1252"/>
      <c r="AH7" s="1252"/>
      <c r="AI7" s="1252"/>
      <c r="AJ7" s="1252"/>
      <c r="AK7" s="1252"/>
      <c r="AL7" s="1252"/>
      <c r="AM7" s="1252"/>
      <c r="AN7" s="1252"/>
      <c r="AO7" s="1252"/>
      <c r="AP7" s="1252"/>
      <c r="AQ7" s="1252"/>
      <c r="AR7" s="1252"/>
      <c r="AS7" s="1252"/>
      <c r="AT7" s="1252"/>
      <c r="AU7" s="1252"/>
      <c r="AV7" s="1252"/>
      <c r="AW7" s="1252"/>
      <c r="AX7" s="1252"/>
      <c r="AY7" s="1252"/>
      <c r="AZ7" s="1252"/>
      <c r="BA7" s="1252"/>
      <c r="BB7" s="1252"/>
      <c r="BC7" s="1252"/>
      <c r="BD7" s="1252"/>
      <c r="BE7" s="1252"/>
      <c r="BF7" s="1252"/>
    </row>
    <row r="8" spans="1:58" s="1253" customFormat="1" x14ac:dyDescent="0.45">
      <c r="A8" s="1331"/>
      <c r="B8" s="1334" t="s">
        <v>1017</v>
      </c>
      <c r="C8" s="1334">
        <f>V8</f>
        <v>6240</v>
      </c>
      <c r="D8" s="1332"/>
      <c r="E8" s="1335" t="s">
        <v>1077</v>
      </c>
      <c r="F8" s="1332"/>
      <c r="G8" s="1332"/>
      <c r="H8" s="1332"/>
      <c r="I8" s="1332"/>
      <c r="J8" s="1332"/>
      <c r="K8" s="1332"/>
      <c r="L8" s="1332"/>
      <c r="M8" s="1332"/>
      <c r="N8" s="1332"/>
      <c r="O8" s="1332"/>
      <c r="P8" s="1332"/>
      <c r="Q8" s="1332"/>
      <c r="R8" s="1332"/>
      <c r="S8" s="1332"/>
      <c r="T8" s="1333"/>
      <c r="U8" s="1336" t="s">
        <v>1020</v>
      </c>
      <c r="V8" s="1337">
        <v>6240</v>
      </c>
      <c r="W8" s="1338">
        <v>0</v>
      </c>
      <c r="X8" s="1339">
        <v>0</v>
      </c>
      <c r="Y8" s="1252"/>
      <c r="Z8" s="1252"/>
      <c r="AA8" s="1252"/>
      <c r="AB8" s="1252"/>
      <c r="AC8" s="1252"/>
      <c r="AD8" s="1252"/>
      <c r="AE8" s="1252"/>
      <c r="AF8" s="1252"/>
      <c r="AG8" s="1252"/>
      <c r="AH8" s="1252"/>
      <c r="AI8" s="1252"/>
      <c r="AJ8" s="1252"/>
      <c r="AK8" s="1252"/>
      <c r="AL8" s="1252"/>
      <c r="AM8" s="1252"/>
      <c r="AN8" s="1252"/>
      <c r="AO8" s="1252"/>
      <c r="AP8" s="1252"/>
      <c r="AQ8" s="1252"/>
      <c r="AR8" s="1252"/>
      <c r="AS8" s="1252"/>
      <c r="AT8" s="1252"/>
      <c r="AU8" s="1252"/>
      <c r="AV8" s="1252"/>
      <c r="AW8" s="1252"/>
      <c r="AX8" s="1252"/>
      <c r="AY8" s="1252"/>
      <c r="AZ8" s="1252"/>
      <c r="BA8" s="1252"/>
      <c r="BB8" s="1252"/>
      <c r="BC8" s="1252"/>
      <c r="BD8" s="1252"/>
      <c r="BE8" s="1252"/>
      <c r="BF8" s="1252"/>
    </row>
    <row r="9" spans="1:58" s="1253" customFormat="1" x14ac:dyDescent="0.45">
      <c r="A9" s="1331" t="s">
        <v>1020</v>
      </c>
      <c r="B9" s="1334">
        <f>V8</f>
        <v>6240</v>
      </c>
      <c r="C9" s="1334">
        <f>V9</f>
        <v>8788</v>
      </c>
      <c r="D9" s="1332"/>
      <c r="E9" s="1334">
        <f>V8</f>
        <v>6240</v>
      </c>
      <c r="F9" s="1340" t="s">
        <v>1079</v>
      </c>
      <c r="G9" s="1341">
        <f>$W$8*100</f>
        <v>0</v>
      </c>
      <c r="H9" s="1340" t="s">
        <v>1080</v>
      </c>
      <c r="I9" s="1332" t="s">
        <v>818</v>
      </c>
      <c r="J9" s="1332"/>
      <c r="K9" s="1332"/>
      <c r="L9" s="1332"/>
      <c r="M9" s="1332"/>
      <c r="N9" s="1332"/>
      <c r="O9" s="1332"/>
      <c r="P9" s="1332"/>
      <c r="Q9" s="1342" t="s">
        <v>1104</v>
      </c>
      <c r="R9" s="1332"/>
      <c r="S9" s="1341">
        <f>$X$8*100</f>
        <v>0</v>
      </c>
      <c r="T9" s="1343" t="s">
        <v>1080</v>
      </c>
      <c r="U9" s="1336" t="s">
        <v>1025</v>
      </c>
      <c r="V9" s="1337">
        <v>8788</v>
      </c>
      <c r="W9" s="1338">
        <v>0</v>
      </c>
      <c r="X9" s="1339">
        <v>0</v>
      </c>
      <c r="Y9" s="1252"/>
      <c r="Z9" s="1252"/>
      <c r="AA9" s="1252"/>
      <c r="AB9" s="1252"/>
      <c r="AC9" s="1252"/>
      <c r="AD9" s="1252"/>
      <c r="AE9" s="1252"/>
      <c r="AF9" s="1252"/>
      <c r="AG9" s="1252"/>
      <c r="AH9" s="1252"/>
      <c r="AI9" s="1252"/>
      <c r="AJ9" s="1252"/>
      <c r="AK9" s="1252"/>
      <c r="AL9" s="1252"/>
      <c r="AM9" s="1252"/>
      <c r="AN9" s="1252"/>
      <c r="AO9" s="1252"/>
      <c r="AP9" s="1252"/>
      <c r="AQ9" s="1252"/>
      <c r="AR9" s="1252"/>
      <c r="AS9" s="1252"/>
      <c r="AT9" s="1252"/>
      <c r="AU9" s="1252"/>
      <c r="AV9" s="1252"/>
      <c r="AW9" s="1252"/>
      <c r="AX9" s="1252"/>
      <c r="AY9" s="1252"/>
      <c r="AZ9" s="1252"/>
      <c r="BA9" s="1252"/>
      <c r="BB9" s="1252"/>
      <c r="BC9" s="1252"/>
      <c r="BD9" s="1252"/>
      <c r="BE9" s="1252"/>
      <c r="BF9" s="1252"/>
    </row>
    <row r="10" spans="1:58" s="1253" customFormat="1" x14ac:dyDescent="0.45">
      <c r="A10" s="1331" t="s">
        <v>1105</v>
      </c>
      <c r="B10" s="1334">
        <f>V9</f>
        <v>8788</v>
      </c>
      <c r="C10" s="1334">
        <f>V10</f>
        <v>50000</v>
      </c>
      <c r="D10" s="1332"/>
      <c r="E10" s="1334">
        <f>V8</f>
        <v>6240</v>
      </c>
      <c r="F10" s="1340" t="s">
        <v>1079</v>
      </c>
      <c r="G10" s="1341">
        <f>$W$9*100</f>
        <v>0</v>
      </c>
      <c r="H10" s="1340" t="s">
        <v>1080</v>
      </c>
      <c r="I10" s="1332">
        <f>+V9-V8</f>
        <v>2548</v>
      </c>
      <c r="J10" s="1344" t="s">
        <v>1079</v>
      </c>
      <c r="K10" s="1345">
        <f>+$X$8*100</f>
        <v>0</v>
      </c>
      <c r="L10" s="1344" t="s">
        <v>1080</v>
      </c>
      <c r="M10" s="1332"/>
      <c r="N10" s="1332"/>
      <c r="O10" s="1332"/>
      <c r="P10" s="1332"/>
      <c r="Q10" s="1342" t="s">
        <v>1104</v>
      </c>
      <c r="R10" s="1332"/>
      <c r="S10" s="1341">
        <f>$X$9*100</f>
        <v>0</v>
      </c>
      <c r="T10" s="1343" t="s">
        <v>1080</v>
      </c>
      <c r="U10" s="1336" t="s">
        <v>1106</v>
      </c>
      <c r="V10" s="1337">
        <v>50000</v>
      </c>
      <c r="W10" s="1338">
        <v>0</v>
      </c>
      <c r="X10" s="1339">
        <v>0.13800000000000001</v>
      </c>
      <c r="Y10" s="1252"/>
      <c r="Z10" s="1252"/>
      <c r="AA10" s="1252"/>
      <c r="AB10" s="1252"/>
      <c r="AC10" s="1252"/>
      <c r="AD10" s="1252"/>
      <c r="AE10" s="1252"/>
      <c r="AF10" s="1252"/>
      <c r="AG10" s="1252"/>
      <c r="AH10" s="1252"/>
      <c r="AI10" s="1252"/>
      <c r="AJ10" s="1252"/>
      <c r="AK10" s="1252"/>
      <c r="AL10" s="1252"/>
      <c r="AM10" s="1252"/>
      <c r="AN10" s="1252"/>
      <c r="AO10" s="1252"/>
      <c r="AP10" s="1252"/>
      <c r="AQ10" s="1252"/>
      <c r="AR10" s="1252"/>
      <c r="AS10" s="1252"/>
      <c r="AT10" s="1252"/>
      <c r="AU10" s="1252"/>
      <c r="AV10" s="1252"/>
      <c r="AW10" s="1252"/>
      <c r="AX10" s="1252"/>
      <c r="AY10" s="1252"/>
      <c r="AZ10" s="1252"/>
      <c r="BA10" s="1252"/>
      <c r="BB10" s="1252"/>
      <c r="BC10" s="1252"/>
      <c r="BD10" s="1252"/>
      <c r="BE10" s="1252"/>
      <c r="BF10" s="1252"/>
    </row>
    <row r="11" spans="1:58" s="1253" customFormat="1" ht="16" thickBot="1" x14ac:dyDescent="0.5">
      <c r="A11" s="1346" t="s">
        <v>1106</v>
      </c>
      <c r="B11" s="1347">
        <f>V10</f>
        <v>50000</v>
      </c>
      <c r="C11" s="1347" t="s">
        <v>1078</v>
      </c>
      <c r="D11" s="1348"/>
      <c r="E11" s="1347">
        <f>V8</f>
        <v>6240</v>
      </c>
      <c r="F11" s="1349" t="s">
        <v>1079</v>
      </c>
      <c r="G11" s="1350">
        <f>$W$10*100</f>
        <v>0</v>
      </c>
      <c r="H11" s="1349" t="s">
        <v>1080</v>
      </c>
      <c r="I11" s="1348">
        <f>+V9-V8</f>
        <v>2548</v>
      </c>
      <c r="J11" s="1351" t="s">
        <v>1079</v>
      </c>
      <c r="K11" s="1352">
        <f>+$X$8*100</f>
        <v>0</v>
      </c>
      <c r="L11" s="1351" t="s">
        <v>1080</v>
      </c>
      <c r="M11" s="1348">
        <v>50000</v>
      </c>
      <c r="N11" s="1348" t="s">
        <v>1079</v>
      </c>
      <c r="O11" s="1352">
        <f>+X9*100</f>
        <v>0</v>
      </c>
      <c r="P11" s="1348" t="s">
        <v>1080</v>
      </c>
      <c r="Q11" s="1353" t="s">
        <v>1104</v>
      </c>
      <c r="R11" s="1348"/>
      <c r="S11" s="1350">
        <f>$X$10*100</f>
        <v>13.8</v>
      </c>
      <c r="T11" s="1354" t="s">
        <v>1080</v>
      </c>
      <c r="U11" s="1252"/>
      <c r="V11" s="1337"/>
      <c r="W11" s="1338"/>
      <c r="X11" s="1339"/>
      <c r="Y11" s="1252"/>
      <c r="Z11" s="1252"/>
      <c r="AA11" s="1252"/>
      <c r="AB11" s="1252"/>
      <c r="AC11" s="1252"/>
      <c r="AD11" s="1252"/>
      <c r="AE11" s="1252"/>
      <c r="AF11" s="1252"/>
      <c r="AG11" s="1252"/>
      <c r="AH11" s="1252"/>
      <c r="AI11" s="1252"/>
      <c r="AJ11" s="1252"/>
      <c r="AK11" s="1252"/>
      <c r="AL11" s="1252"/>
      <c r="AM11" s="1252"/>
      <c r="AN11" s="1252"/>
      <c r="AO11" s="1252"/>
      <c r="AP11" s="1252"/>
      <c r="AQ11" s="1252"/>
      <c r="AR11" s="1252"/>
      <c r="AS11" s="1252"/>
      <c r="AT11" s="1252"/>
      <c r="AU11" s="1252"/>
      <c r="AV11" s="1252"/>
      <c r="AW11" s="1252"/>
      <c r="AX11" s="1252"/>
      <c r="AY11" s="1252"/>
      <c r="AZ11" s="1252"/>
      <c r="BA11" s="1252"/>
      <c r="BB11" s="1252"/>
      <c r="BC11" s="1252"/>
      <c r="BD11" s="1252"/>
      <c r="BE11" s="1252"/>
      <c r="BF11" s="1252"/>
    </row>
    <row r="12" spans="1:58" s="1253" customFormat="1" ht="16" thickBot="1" x14ac:dyDescent="0.5">
      <c r="A12" s="1355"/>
      <c r="B12" s="1356"/>
      <c r="C12" s="1356"/>
      <c r="D12" s="1357"/>
      <c r="E12" s="1356"/>
      <c r="F12" s="1357"/>
      <c r="G12" s="1356"/>
      <c r="H12" s="1357"/>
      <c r="I12" s="1356"/>
      <c r="J12" s="1357"/>
      <c r="K12" s="1356"/>
      <c r="L12" s="1357"/>
      <c r="M12" s="1357"/>
      <c r="N12" s="1357"/>
      <c r="O12" s="1357"/>
      <c r="P12" s="1357"/>
      <c r="Q12" s="1357"/>
      <c r="R12" s="1357"/>
      <c r="S12" s="1357"/>
      <c r="T12" s="1357"/>
      <c r="U12" s="1252"/>
      <c r="V12" s="1358" t="s">
        <v>1028</v>
      </c>
      <c r="W12" s="1359">
        <v>0.249</v>
      </c>
      <c r="X12" s="1360"/>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T12" s="1252"/>
      <c r="AU12" s="1252"/>
      <c r="AV12" s="1252"/>
      <c r="AW12" s="1252"/>
      <c r="AX12" s="1252"/>
      <c r="AY12" s="1252"/>
      <c r="AZ12" s="1252"/>
      <c r="BA12" s="1252"/>
      <c r="BB12" s="1252"/>
      <c r="BC12" s="1252"/>
      <c r="BD12" s="1252"/>
      <c r="BE12" s="1252"/>
      <c r="BF12" s="1252"/>
    </row>
    <row r="13" spans="1:58" ht="16" customHeight="1" thickTop="1" x14ac:dyDescent="0.35">
      <c r="A13" s="1361"/>
      <c r="B13" s="1362"/>
      <c r="C13" s="1362"/>
      <c r="D13" s="1363"/>
      <c r="E13" s="1364" t="s">
        <v>1082</v>
      </c>
      <c r="F13" s="1210"/>
      <c r="G13" s="1364"/>
      <c r="H13" s="1210"/>
      <c r="I13" s="1364"/>
      <c r="J13" s="1210"/>
      <c r="K13" s="1364"/>
      <c r="L13" s="1363"/>
      <c r="M13" s="1365" t="s">
        <v>1083</v>
      </c>
      <c r="N13" s="1366"/>
      <c r="O13" s="1366"/>
      <c r="P13" s="1366"/>
      <c r="Q13" s="1366"/>
      <c r="R13" s="1366"/>
      <c r="S13" s="1366"/>
      <c r="T13" s="1367"/>
      <c r="U13" s="1208"/>
      <c r="V13" s="1208"/>
      <c r="W13" s="1285"/>
      <c r="X13" s="1208"/>
      <c r="Y13" s="1208"/>
      <c r="Z13" s="1208"/>
      <c r="AA13" s="1208"/>
      <c r="AB13" s="1208"/>
      <c r="AC13" s="1208"/>
      <c r="AD13" s="1208"/>
      <c r="AE13" s="1208"/>
      <c r="AF13" s="1208"/>
      <c r="AG13" s="1208"/>
      <c r="AH13" s="1208"/>
      <c r="AI13" s="1208"/>
      <c r="AJ13" s="1208"/>
      <c r="AK13" s="1208"/>
      <c r="AL13" s="1208"/>
      <c r="AM13" s="1208"/>
      <c r="AN13" s="1208"/>
      <c r="AO13" s="1208"/>
      <c r="AP13" s="1208"/>
      <c r="AQ13" s="1208"/>
      <c r="AR13" s="1208"/>
      <c r="AS13" s="1208"/>
      <c r="AT13" s="1208"/>
      <c r="AU13" s="1208"/>
      <c r="AV13" s="1208"/>
      <c r="AW13" s="1208"/>
      <c r="AX13" s="1208"/>
      <c r="AY13" s="1208"/>
      <c r="AZ13" s="1208"/>
      <c r="BA13" s="1208"/>
      <c r="BB13" s="1208"/>
      <c r="BC13" s="1208"/>
      <c r="BD13" s="1208"/>
      <c r="BE13" s="1208"/>
      <c r="BF13" s="1208"/>
    </row>
    <row r="14" spans="1:58" ht="16" customHeight="1" x14ac:dyDescent="0.35">
      <c r="A14" s="2038" t="s">
        <v>1107</v>
      </c>
      <c r="B14" s="2039"/>
      <c r="C14" s="1275" t="s">
        <v>1033</v>
      </c>
      <c r="D14" s="1275"/>
      <c r="E14" s="1276" t="s">
        <v>1085</v>
      </c>
      <c r="F14" s="1275"/>
      <c r="G14" s="1276" t="s">
        <v>1035</v>
      </c>
      <c r="H14" s="1275"/>
      <c r="I14" s="1276" t="s">
        <v>1028</v>
      </c>
      <c r="J14" s="1275"/>
      <c r="K14" s="1276" t="s">
        <v>1086</v>
      </c>
      <c r="L14" s="1277"/>
      <c r="M14" s="1278" t="s">
        <v>1085</v>
      </c>
      <c r="N14" s="1275"/>
      <c r="O14" s="1275"/>
      <c r="P14" s="1275"/>
      <c r="Q14" s="1276" t="s">
        <v>1035</v>
      </c>
      <c r="R14" s="1275"/>
      <c r="S14" s="1279" t="s">
        <v>1086</v>
      </c>
      <c r="T14" s="1368"/>
      <c r="U14" s="1208"/>
      <c r="V14" s="1208"/>
      <c r="W14" s="1285"/>
      <c r="X14" s="1208"/>
      <c r="Y14" s="1208"/>
      <c r="Z14" s="1208"/>
      <c r="AA14" s="1208"/>
      <c r="AB14" s="1208"/>
      <c r="AC14" s="1208"/>
      <c r="AD14" s="1208"/>
      <c r="AE14" s="1208"/>
      <c r="AF14" s="1208"/>
      <c r="AG14" s="1208"/>
      <c r="AH14" s="1208"/>
      <c r="AI14" s="1208"/>
      <c r="AJ14" s="1208"/>
      <c r="AK14" s="1208"/>
      <c r="AL14" s="1208"/>
      <c r="AM14" s="1208"/>
      <c r="AN14" s="1208"/>
      <c r="AO14" s="1208"/>
      <c r="AP14" s="1208"/>
      <c r="AQ14" s="1208"/>
      <c r="AR14" s="1208"/>
      <c r="AS14" s="1208"/>
      <c r="AT14" s="1208"/>
      <c r="AU14" s="1208"/>
      <c r="AV14" s="1208"/>
      <c r="AW14" s="1208"/>
      <c r="AX14" s="1208"/>
      <c r="AY14" s="1208"/>
      <c r="AZ14" s="1208"/>
      <c r="BA14" s="1208"/>
      <c r="BB14" s="1208"/>
      <c r="BC14" s="1208"/>
      <c r="BD14" s="1208"/>
      <c r="BE14" s="1208"/>
      <c r="BF14" s="1208"/>
    </row>
    <row r="15" spans="1:58" ht="16" customHeight="1" thickBot="1" x14ac:dyDescent="0.4">
      <c r="A15" s="1369"/>
      <c r="B15" s="1282"/>
      <c r="C15" s="1282"/>
      <c r="D15" s="1282"/>
      <c r="E15" s="1282"/>
      <c r="F15" s="1282"/>
      <c r="G15" s="1282"/>
      <c r="H15" s="1282"/>
      <c r="I15" s="1282"/>
      <c r="J15" s="1282"/>
      <c r="K15" s="1282"/>
      <c r="L15" s="1282"/>
      <c r="M15" s="1283"/>
      <c r="N15" s="1282"/>
      <c r="O15" s="1282"/>
      <c r="P15" s="1282"/>
      <c r="Q15" s="1282"/>
      <c r="R15" s="1282"/>
      <c r="S15" s="1282"/>
      <c r="T15" s="1370"/>
      <c r="U15" s="1208"/>
      <c r="V15" s="1208"/>
      <c r="W15" s="1208"/>
      <c r="X15" s="1208"/>
      <c r="Y15" s="1208"/>
      <c r="Z15" s="1208"/>
      <c r="AA15" s="1208"/>
      <c r="AB15" s="1208"/>
      <c r="AC15" s="1208"/>
      <c r="AD15" s="1208"/>
      <c r="AE15" s="1208"/>
      <c r="AF15" s="1208"/>
      <c r="AG15" s="1208"/>
      <c r="AH15" s="1208"/>
      <c r="AI15" s="1208"/>
      <c r="AJ15" s="1208"/>
      <c r="AK15" s="1208"/>
      <c r="AL15" s="1208"/>
      <c r="AM15" s="1208"/>
      <c r="AN15" s="1208"/>
      <c r="AO15" s="1208"/>
      <c r="AP15" s="1208"/>
      <c r="AQ15" s="1208"/>
      <c r="AR15" s="1208"/>
      <c r="AS15" s="1208"/>
      <c r="AT15" s="1208"/>
      <c r="AU15" s="1208"/>
      <c r="AV15" s="1208"/>
      <c r="AW15" s="1208"/>
      <c r="AX15" s="1208"/>
      <c r="AY15" s="1208"/>
      <c r="AZ15" s="1208"/>
      <c r="BA15" s="1208"/>
      <c r="BB15" s="1208"/>
      <c r="BC15" s="1208"/>
      <c r="BD15" s="1208"/>
      <c r="BE15" s="1208"/>
      <c r="BF15" s="1208"/>
    </row>
    <row r="16" spans="1:58" ht="9" customHeight="1" x14ac:dyDescent="0.35">
      <c r="A16" s="1371"/>
      <c r="B16" s="1132"/>
      <c r="C16" s="1154"/>
      <c r="D16" s="1132"/>
      <c r="E16" s="1172"/>
      <c r="F16" s="1173"/>
      <c r="G16" s="1172"/>
      <c r="H16" s="1173"/>
      <c r="I16" s="1172"/>
      <c r="J16" s="1173"/>
      <c r="K16" s="1172"/>
      <c r="L16" s="1173"/>
      <c r="M16" s="1372"/>
      <c r="N16" s="1173"/>
      <c r="O16" s="1173"/>
      <c r="P16" s="1173"/>
      <c r="Q16" s="1172"/>
      <c r="R16" s="1173"/>
      <c r="S16" s="1172"/>
      <c r="T16" s="1373"/>
      <c r="U16" s="1294"/>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D16" s="1208"/>
      <c r="BE16" s="1208"/>
      <c r="BF16" s="1208"/>
    </row>
    <row r="17" spans="1:58" ht="16" customHeight="1" x14ac:dyDescent="0.35">
      <c r="A17" s="1374" t="s">
        <v>1108</v>
      </c>
      <c r="B17" s="1132"/>
      <c r="C17" s="1375" t="s">
        <v>1109</v>
      </c>
      <c r="D17" s="1376"/>
      <c r="E17" s="1377"/>
      <c r="F17" s="1173"/>
      <c r="G17" s="1172"/>
      <c r="H17" s="1173"/>
      <c r="I17" s="1172"/>
      <c r="J17" s="1173"/>
      <c r="K17" s="1172"/>
      <c r="L17" s="1173"/>
      <c r="M17" s="1372"/>
      <c r="N17" s="1173"/>
      <c r="O17" s="1173"/>
      <c r="P17" s="1173"/>
      <c r="Q17" s="1172"/>
      <c r="R17" s="1173"/>
      <c r="S17" s="1172"/>
      <c r="T17" s="1373"/>
      <c r="U17" s="1294"/>
      <c r="V17" s="1293" t="s">
        <v>1110</v>
      </c>
      <c r="W17" s="1378"/>
      <c r="X17" s="1208"/>
      <c r="Y17" s="1208"/>
      <c r="Z17" s="137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V17" s="1208"/>
      <c r="AW17" s="1208"/>
      <c r="AX17" s="1208"/>
      <c r="AY17" s="1208"/>
      <c r="AZ17" s="1208"/>
      <c r="BA17" s="1208"/>
      <c r="BB17" s="1208"/>
      <c r="BC17" s="1208"/>
      <c r="BD17" s="1208"/>
      <c r="BE17" s="1208"/>
      <c r="BF17" s="1208"/>
    </row>
    <row r="18" spans="1:58" ht="16" customHeight="1" x14ac:dyDescent="0.35">
      <c r="A18" s="1374" t="s">
        <v>1108</v>
      </c>
      <c r="B18" s="1154"/>
      <c r="C18" s="1375" t="s">
        <v>1111</v>
      </c>
      <c r="D18" s="1376"/>
      <c r="E18" s="1379">
        <v>17841.510000000002</v>
      </c>
      <c r="F18" s="1173"/>
      <c r="G18" s="1172">
        <f t="shared" ref="G18:G64" si="0">IF($M18&gt;$V$9,($M18-$V$9)*$X$10,"ERROR")</f>
        <v>1249.3843800000004</v>
      </c>
      <c r="H18" s="1173"/>
      <c r="I18" s="1172">
        <f t="shared" ref="I18:I64" si="1">$E18*$W$12</f>
        <v>4442.5359900000003</v>
      </c>
      <c r="J18" s="1173"/>
      <c r="K18" s="1172">
        <f t="shared" ref="K18:K64" si="2">E18+ROUND(G18,0)+ROUND(I18,0)</f>
        <v>23533.510000000002</v>
      </c>
      <c r="L18" s="1173"/>
      <c r="M18" s="1372">
        <f t="shared" ref="M18:M64" si="3">E18</f>
        <v>17841.510000000002</v>
      </c>
      <c r="N18" s="1173"/>
      <c r="O18" s="1173"/>
      <c r="P18" s="1173"/>
      <c r="Q18" s="1172">
        <f t="shared" ref="Q18:Q64" si="4">IF($M18&gt;$V$9,($M18-$V$9)*$X$10,"ERROR")</f>
        <v>1249.3843800000004</v>
      </c>
      <c r="R18" s="1173"/>
      <c r="S18" s="1172">
        <f t="shared" ref="S18:S64" si="5">SUM(M18:Q18)</f>
        <v>19090.894380000002</v>
      </c>
      <c r="T18" s="1373"/>
      <c r="U18" s="1380"/>
      <c r="V18" s="1293" t="s">
        <v>1039</v>
      </c>
      <c r="W18" s="1208"/>
      <c r="X18" s="1208"/>
      <c r="Y18" s="1208"/>
      <c r="Z18" s="1208"/>
      <c r="AA18" s="1208"/>
      <c r="AB18" s="1208"/>
      <c r="AC18" s="1208"/>
      <c r="AD18" s="1208"/>
      <c r="AE18" s="1208"/>
      <c r="AF18" s="1208"/>
      <c r="AG18" s="1208"/>
      <c r="AH18" s="1208"/>
      <c r="AI18" s="1208"/>
      <c r="AJ18" s="1208"/>
      <c r="AK18" s="1208"/>
      <c r="AL18" s="1208"/>
      <c r="AM18" s="1208"/>
      <c r="AN18" s="1208"/>
      <c r="AO18" s="1208"/>
      <c r="AP18" s="1208"/>
      <c r="AQ18" s="1208"/>
      <c r="AR18" s="1208"/>
      <c r="AS18" s="1208"/>
      <c r="AT18" s="1208"/>
      <c r="AU18" s="1208"/>
      <c r="AV18" s="1208"/>
      <c r="AW18" s="1208"/>
      <c r="AX18" s="1208"/>
      <c r="AY18" s="1208"/>
      <c r="AZ18" s="1208"/>
      <c r="BA18" s="1208"/>
      <c r="BB18" s="1208"/>
      <c r="BC18" s="1208"/>
      <c r="BD18" s="1208"/>
      <c r="BE18" s="1208"/>
      <c r="BF18" s="1208"/>
    </row>
    <row r="19" spans="1:58" ht="16" customHeight="1" x14ac:dyDescent="0.35">
      <c r="A19" s="1374" t="s">
        <v>1108</v>
      </c>
      <c r="B19" s="1163" t="s">
        <v>1112</v>
      </c>
      <c r="C19" s="1381" t="s">
        <v>1113</v>
      </c>
      <c r="D19" s="1376"/>
      <c r="E19" s="1379">
        <v>18198.052500000002</v>
      </c>
      <c r="F19" s="1173"/>
      <c r="G19" s="1172">
        <f t="shared" si="0"/>
        <v>1298.5872450000004</v>
      </c>
      <c r="H19" s="1173"/>
      <c r="I19" s="1172">
        <f t="shared" si="1"/>
        <v>4531.3150725000005</v>
      </c>
      <c r="J19" s="1173"/>
      <c r="K19" s="1172">
        <f t="shared" si="2"/>
        <v>24028.052500000002</v>
      </c>
      <c r="L19" s="1173"/>
      <c r="M19" s="1372">
        <f t="shared" si="3"/>
        <v>18198.052500000002</v>
      </c>
      <c r="N19" s="1173"/>
      <c r="O19" s="1173"/>
      <c r="P19" s="1173"/>
      <c r="Q19" s="1172">
        <f t="shared" si="4"/>
        <v>1298.5872450000004</v>
      </c>
      <c r="R19" s="1173"/>
      <c r="S19" s="1172">
        <f t="shared" si="5"/>
        <v>19496.639745</v>
      </c>
      <c r="T19" s="1373"/>
      <c r="U19" s="1380"/>
      <c r="V19" s="1293"/>
      <c r="W19" s="1208"/>
      <c r="X19" s="1208"/>
      <c r="Y19" s="1208"/>
      <c r="Z19" s="1208"/>
      <c r="AA19" s="1208"/>
      <c r="AB19" s="1208"/>
      <c r="AC19" s="1208"/>
      <c r="AD19" s="1208"/>
      <c r="AE19" s="1208"/>
      <c r="AF19" s="1208"/>
      <c r="AG19" s="1208"/>
      <c r="AH19" s="1208"/>
      <c r="AI19" s="1208"/>
      <c r="AJ19" s="1208"/>
      <c r="AK19" s="1208"/>
      <c r="AL19" s="1208"/>
      <c r="AM19" s="1208"/>
      <c r="AN19" s="1208"/>
      <c r="AO19" s="1208"/>
      <c r="AP19" s="1208"/>
      <c r="AQ19" s="1208"/>
      <c r="AR19" s="1208"/>
      <c r="AS19" s="1208"/>
      <c r="AT19" s="1208"/>
      <c r="AU19" s="1208"/>
      <c r="AV19" s="1208"/>
      <c r="AW19" s="1208"/>
      <c r="AX19" s="1208"/>
      <c r="AY19" s="1208"/>
      <c r="AZ19" s="1208"/>
      <c r="BA19" s="1208"/>
      <c r="BB19" s="1208"/>
      <c r="BC19" s="1208"/>
      <c r="BD19" s="1208"/>
      <c r="BE19" s="1208"/>
      <c r="BF19" s="1208"/>
    </row>
    <row r="20" spans="1:58" ht="16" customHeight="1" x14ac:dyDescent="0.35">
      <c r="A20" s="1382"/>
      <c r="B20" s="1163" t="s">
        <v>1112</v>
      </c>
      <c r="C20" s="1383" t="s">
        <v>1114</v>
      </c>
      <c r="D20" s="1132"/>
      <c r="E20" s="1379">
        <v>18337.792500000003</v>
      </c>
      <c r="F20" s="1173"/>
      <c r="G20" s="1172">
        <f t="shared" si="0"/>
        <v>1317.8713650000007</v>
      </c>
      <c r="H20" s="1173"/>
      <c r="I20" s="1172">
        <f t="shared" si="1"/>
        <v>4566.1103325000004</v>
      </c>
      <c r="J20" s="1173"/>
      <c r="K20" s="1172">
        <f t="shared" si="2"/>
        <v>24221.792500000003</v>
      </c>
      <c r="L20" s="1173"/>
      <c r="M20" s="1372">
        <f t="shared" si="3"/>
        <v>18337.792500000003</v>
      </c>
      <c r="N20" s="1173"/>
      <c r="O20" s="1173"/>
      <c r="P20" s="1173"/>
      <c r="Q20" s="1172">
        <f t="shared" si="4"/>
        <v>1317.8713650000007</v>
      </c>
      <c r="R20" s="1173"/>
      <c r="S20" s="1172">
        <f t="shared" si="5"/>
        <v>19655.663865000002</v>
      </c>
      <c r="T20" s="1373"/>
      <c r="U20" s="1293"/>
      <c r="V20" s="1293" t="s">
        <v>1040</v>
      </c>
      <c r="W20" s="1208"/>
      <c r="X20" s="1208"/>
      <c r="Y20" s="1208"/>
      <c r="Z20" s="1208"/>
      <c r="AA20" s="1208"/>
      <c r="AB20" s="1208"/>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row>
    <row r="21" spans="1:58" ht="16" customHeight="1" x14ac:dyDescent="0.35">
      <c r="A21" s="1382"/>
      <c r="B21" s="1154" t="s">
        <v>1112</v>
      </c>
      <c r="C21" s="1383" t="s">
        <v>1115</v>
      </c>
      <c r="D21" s="1132"/>
      <c r="E21" s="1379">
        <v>18430.267500000002</v>
      </c>
      <c r="F21" s="1173"/>
      <c r="G21" s="1172">
        <f t="shared" si="0"/>
        <v>1330.6329150000004</v>
      </c>
      <c r="H21" s="1173"/>
      <c r="I21" s="1172">
        <f t="shared" si="1"/>
        <v>4589.1366075000005</v>
      </c>
      <c r="J21" s="1173"/>
      <c r="K21" s="1172">
        <f t="shared" si="2"/>
        <v>24350.267500000002</v>
      </c>
      <c r="L21" s="1173"/>
      <c r="M21" s="1372">
        <f t="shared" si="3"/>
        <v>18430.267500000002</v>
      </c>
      <c r="N21" s="1173"/>
      <c r="O21" s="1173"/>
      <c r="P21" s="1173"/>
      <c r="Q21" s="1172">
        <f t="shared" si="4"/>
        <v>1330.6329150000004</v>
      </c>
      <c r="R21" s="1173"/>
      <c r="S21" s="1172">
        <f t="shared" si="5"/>
        <v>19760.900415000004</v>
      </c>
      <c r="T21" s="1373"/>
      <c r="U21" s="1293"/>
      <c r="V21" s="1293" t="s">
        <v>1041</v>
      </c>
      <c r="W21" s="1208"/>
      <c r="X21" s="1208"/>
      <c r="Y21" s="1208"/>
      <c r="Z21" s="1208"/>
      <c r="AA21" s="1208"/>
      <c r="AB21" s="1208"/>
      <c r="AC21" s="1208"/>
      <c r="AD21" s="1208"/>
      <c r="AE21" s="1208"/>
      <c r="AF21" s="1208"/>
      <c r="AG21" s="1208"/>
      <c r="AH21" s="1208"/>
      <c r="AI21" s="1208"/>
      <c r="AJ21" s="1208"/>
      <c r="AK21" s="1208"/>
      <c r="AL21" s="1208"/>
      <c r="AM21" s="1208"/>
      <c r="AN21" s="1208"/>
      <c r="AO21" s="1208"/>
      <c r="AP21" s="1208"/>
      <c r="AQ21" s="1208"/>
      <c r="AR21" s="1208"/>
      <c r="AS21" s="1208"/>
      <c r="AT21" s="1208"/>
      <c r="AU21" s="1208"/>
      <c r="AV21" s="1208"/>
      <c r="AW21" s="1208"/>
      <c r="AX21" s="1208"/>
      <c r="AY21" s="1208"/>
      <c r="AZ21" s="1208"/>
      <c r="BA21" s="1208"/>
      <c r="BB21" s="1208"/>
      <c r="BC21" s="1208"/>
      <c r="BD21" s="1208"/>
      <c r="BE21" s="1208"/>
      <c r="BF21" s="1208"/>
    </row>
    <row r="22" spans="1:58" ht="16" customHeight="1" x14ac:dyDescent="0.35">
      <c r="A22" s="1382" t="s">
        <v>1116</v>
      </c>
      <c r="B22" s="1163" t="s">
        <v>1112</v>
      </c>
      <c r="C22" s="1381" t="s">
        <v>1117</v>
      </c>
      <c r="D22" s="1376"/>
      <c r="E22" s="1379">
        <v>18561.787500000002</v>
      </c>
      <c r="F22" s="1173"/>
      <c r="G22" s="1172">
        <f t="shared" si="0"/>
        <v>1348.7826750000004</v>
      </c>
      <c r="H22" s="1173"/>
      <c r="I22" s="1172">
        <f t="shared" si="1"/>
        <v>4621.8850875000007</v>
      </c>
      <c r="J22" s="1173"/>
      <c r="K22" s="1172">
        <f t="shared" si="2"/>
        <v>24532.787500000002</v>
      </c>
      <c r="L22" s="1173"/>
      <c r="M22" s="1372">
        <f t="shared" si="3"/>
        <v>18561.787500000002</v>
      </c>
      <c r="N22" s="1173"/>
      <c r="O22" s="1173"/>
      <c r="P22" s="1173"/>
      <c r="Q22" s="1172">
        <f t="shared" si="4"/>
        <v>1348.7826750000004</v>
      </c>
      <c r="R22" s="1173"/>
      <c r="S22" s="1172">
        <f t="shared" si="5"/>
        <v>19910.570175000001</v>
      </c>
      <c r="T22" s="1373"/>
      <c r="U22" s="1380"/>
      <c r="V22" s="1293"/>
      <c r="W22" s="1208"/>
      <c r="X22" s="1208"/>
      <c r="Y22" s="1208"/>
      <c r="Z22" s="1208"/>
      <c r="AA22" s="1208"/>
      <c r="AB22" s="1208"/>
      <c r="AC22" s="1208"/>
      <c r="AD22" s="1208"/>
      <c r="AE22" s="1208"/>
      <c r="AF22" s="1208"/>
      <c r="AG22" s="1208"/>
      <c r="AH22" s="1208"/>
      <c r="AI22" s="1208"/>
      <c r="AJ22" s="1208"/>
      <c r="AK22" s="1208"/>
      <c r="AL22" s="1208"/>
      <c r="AM22" s="1208"/>
      <c r="AN22" s="1208"/>
      <c r="AO22" s="1208"/>
      <c r="AP22" s="1208"/>
      <c r="AQ22" s="1208"/>
      <c r="AR22" s="1208"/>
      <c r="AS22" s="1208"/>
      <c r="AT22" s="1208"/>
      <c r="AU22" s="1208"/>
      <c r="AV22" s="1208"/>
      <c r="AW22" s="1208"/>
      <c r="AX22" s="1208"/>
      <c r="AY22" s="1208"/>
      <c r="AZ22" s="1208"/>
      <c r="BA22" s="1208"/>
      <c r="BB22" s="1208"/>
      <c r="BC22" s="1208"/>
      <c r="BD22" s="1208"/>
      <c r="BE22" s="1208"/>
      <c r="BF22" s="1208"/>
    </row>
    <row r="23" spans="1:58" ht="16" customHeight="1" x14ac:dyDescent="0.35">
      <c r="A23" s="1382" t="s">
        <v>1116</v>
      </c>
      <c r="B23" s="1163"/>
      <c r="C23" s="1383" t="s">
        <v>1118</v>
      </c>
      <c r="D23" s="1132"/>
      <c r="E23" s="1379">
        <v>18925.522500000003</v>
      </c>
      <c r="F23" s="1173"/>
      <c r="G23" s="1172">
        <f t="shared" si="0"/>
        <v>1398.9781050000006</v>
      </c>
      <c r="H23" s="1173"/>
      <c r="I23" s="1172">
        <f t="shared" si="1"/>
        <v>4712.455102500001</v>
      </c>
      <c r="J23" s="1173"/>
      <c r="K23" s="1172">
        <f t="shared" si="2"/>
        <v>25036.522500000003</v>
      </c>
      <c r="L23" s="1173"/>
      <c r="M23" s="1372">
        <f t="shared" si="3"/>
        <v>18925.522500000003</v>
      </c>
      <c r="N23" s="1173"/>
      <c r="O23" s="1173"/>
      <c r="P23" s="1173"/>
      <c r="Q23" s="1172">
        <f t="shared" si="4"/>
        <v>1398.9781050000006</v>
      </c>
      <c r="R23" s="1173"/>
      <c r="S23" s="1172">
        <f t="shared" si="5"/>
        <v>20324.500605000005</v>
      </c>
      <c r="T23" s="1373"/>
      <c r="U23" s="1293"/>
      <c r="V23" s="1293" t="s">
        <v>1045</v>
      </c>
      <c r="W23" s="1208"/>
      <c r="X23" s="1208"/>
      <c r="Y23" s="1208"/>
      <c r="Z23" s="1208"/>
      <c r="AA23" s="1208"/>
      <c r="AB23" s="1208"/>
      <c r="AC23" s="1208"/>
      <c r="AD23" s="1208"/>
      <c r="AE23" s="1208"/>
      <c r="AF23" s="1208"/>
      <c r="AG23" s="1208"/>
      <c r="AH23" s="1208"/>
      <c r="AI23" s="1208"/>
      <c r="AJ23" s="1208"/>
      <c r="AK23" s="1208"/>
      <c r="AL23" s="1208"/>
      <c r="AM23" s="1208"/>
      <c r="AN23" s="1208"/>
      <c r="AO23" s="1208"/>
      <c r="AP23" s="1208"/>
      <c r="AQ23" s="1208"/>
      <c r="AR23" s="1208"/>
      <c r="AS23" s="1208"/>
      <c r="AT23" s="1208"/>
      <c r="AU23" s="1208"/>
      <c r="AV23" s="1208"/>
      <c r="AW23" s="1208"/>
      <c r="AX23" s="1208"/>
      <c r="AY23" s="1208"/>
      <c r="AZ23" s="1208"/>
      <c r="BA23" s="1208"/>
      <c r="BB23" s="1208"/>
      <c r="BC23" s="1208"/>
      <c r="BD23" s="1208"/>
      <c r="BE23" s="1208"/>
      <c r="BF23" s="1208"/>
    </row>
    <row r="24" spans="1:58" ht="16" customHeight="1" x14ac:dyDescent="0.35">
      <c r="A24" s="1382" t="s">
        <v>1116</v>
      </c>
      <c r="B24" s="1154"/>
      <c r="C24" s="1383" t="s">
        <v>1119</v>
      </c>
      <c r="D24" s="1132"/>
      <c r="E24" s="1379">
        <v>19333.440000000002</v>
      </c>
      <c r="F24" s="1173"/>
      <c r="G24" s="1172">
        <f t="shared" si="0"/>
        <v>1455.2707200000004</v>
      </c>
      <c r="H24" s="1173"/>
      <c r="I24" s="1172">
        <f t="shared" si="1"/>
        <v>4814.0265600000002</v>
      </c>
      <c r="J24" s="1173"/>
      <c r="K24" s="1172">
        <f t="shared" si="2"/>
        <v>25602.440000000002</v>
      </c>
      <c r="L24" s="1173"/>
      <c r="M24" s="1372">
        <f t="shared" si="3"/>
        <v>19333.440000000002</v>
      </c>
      <c r="N24" s="1173"/>
      <c r="O24" s="1173"/>
      <c r="P24" s="1173"/>
      <c r="Q24" s="1172">
        <f t="shared" si="4"/>
        <v>1455.2707200000004</v>
      </c>
      <c r="R24" s="1173"/>
      <c r="S24" s="1172">
        <f t="shared" si="5"/>
        <v>20788.710720000003</v>
      </c>
      <c r="T24" s="1373"/>
      <c r="U24" s="1293"/>
      <c r="V24" s="1293" t="s">
        <v>1047</v>
      </c>
      <c r="W24" s="1208"/>
      <c r="X24" s="1208"/>
      <c r="Y24" s="1208"/>
      <c r="Z24" s="1208"/>
      <c r="AA24" s="1208"/>
      <c r="AB24" s="1208"/>
      <c r="AC24" s="1208"/>
      <c r="AD24" s="1208"/>
      <c r="AE24" s="1208"/>
      <c r="AF24" s="1208"/>
      <c r="AG24" s="1208"/>
      <c r="AH24" s="1208"/>
      <c r="AI24" s="1208"/>
      <c r="AJ24" s="1208"/>
      <c r="AK24" s="1208"/>
      <c r="AL24" s="1208"/>
      <c r="AM24" s="1208"/>
      <c r="AN24" s="1208"/>
      <c r="AO24" s="1208"/>
      <c r="AP24" s="1208"/>
      <c r="AQ24" s="1208"/>
      <c r="AR24" s="1208"/>
      <c r="AS24" s="1208"/>
      <c r="AT24" s="1208"/>
      <c r="AU24" s="1208"/>
      <c r="AV24" s="1208"/>
      <c r="AW24" s="1208"/>
      <c r="AX24" s="1208"/>
      <c r="AY24" s="1208"/>
      <c r="AZ24" s="1208"/>
      <c r="BA24" s="1208"/>
      <c r="BB24" s="1208"/>
      <c r="BC24" s="1208"/>
      <c r="BD24" s="1208"/>
      <c r="BE24" s="1208"/>
      <c r="BF24" s="1208"/>
    </row>
    <row r="25" spans="1:58" ht="16" customHeight="1" x14ac:dyDescent="0.35">
      <c r="A25" s="1382" t="s">
        <v>1116</v>
      </c>
      <c r="B25" s="1163" t="s">
        <v>1120</v>
      </c>
      <c r="C25" s="1381" t="s">
        <v>1121</v>
      </c>
      <c r="D25" s="1376"/>
      <c r="E25" s="1379">
        <v>19698.202500000003</v>
      </c>
      <c r="F25" s="1173"/>
      <c r="G25" s="1172">
        <f t="shared" si="0"/>
        <v>1505.6079450000007</v>
      </c>
      <c r="H25" s="1173"/>
      <c r="I25" s="1172">
        <f t="shared" si="1"/>
        <v>4904.852422500001</v>
      </c>
      <c r="J25" s="1173"/>
      <c r="K25" s="1172">
        <f t="shared" si="2"/>
        <v>26109.202500000003</v>
      </c>
      <c r="L25" s="1173"/>
      <c r="M25" s="1372">
        <f t="shared" si="3"/>
        <v>19698.202500000003</v>
      </c>
      <c r="N25" s="1173"/>
      <c r="O25" s="1173"/>
      <c r="P25" s="1173"/>
      <c r="Q25" s="1172">
        <f t="shared" si="4"/>
        <v>1505.6079450000007</v>
      </c>
      <c r="R25" s="1173"/>
      <c r="S25" s="1172">
        <f t="shared" si="5"/>
        <v>21203.810445000003</v>
      </c>
      <c r="T25" s="1373"/>
      <c r="U25" s="1380"/>
      <c r="V25" s="1293"/>
      <c r="W25" s="1208"/>
      <c r="X25" s="1208"/>
      <c r="Y25" s="1208"/>
      <c r="Z25" s="1208"/>
      <c r="AA25" s="1208"/>
      <c r="AB25" s="1208"/>
      <c r="AC25" s="1208"/>
      <c r="AD25" s="1208"/>
      <c r="AE25" s="1208"/>
      <c r="AF25" s="1208"/>
      <c r="AG25" s="1208"/>
      <c r="AH25" s="1208"/>
      <c r="AI25" s="1208"/>
      <c r="AJ25" s="1208"/>
      <c r="AK25" s="1208"/>
      <c r="AL25" s="1208"/>
      <c r="AM25" s="1208"/>
      <c r="AN25" s="1208"/>
      <c r="AO25" s="1208"/>
      <c r="AP25" s="1208"/>
      <c r="AQ25" s="1208"/>
      <c r="AR25" s="1208"/>
      <c r="AS25" s="1208"/>
      <c r="AT25" s="1208"/>
      <c r="AU25" s="1208"/>
      <c r="AV25" s="1208"/>
      <c r="AW25" s="1208"/>
      <c r="AX25" s="1208"/>
      <c r="AY25" s="1208"/>
      <c r="AZ25" s="1208"/>
      <c r="BA25" s="1208"/>
      <c r="BB25" s="1208"/>
      <c r="BC25" s="1208"/>
      <c r="BD25" s="1208"/>
      <c r="BE25" s="1208"/>
      <c r="BF25" s="1208"/>
    </row>
    <row r="26" spans="1:58" ht="16" customHeight="1" x14ac:dyDescent="0.35">
      <c r="A26" s="1382"/>
      <c r="B26" s="1163" t="s">
        <v>1120</v>
      </c>
      <c r="C26" s="1163">
        <v>10</v>
      </c>
      <c r="D26" s="1132"/>
      <c r="E26" s="1379">
        <v>19736.22</v>
      </c>
      <c r="F26" s="1173"/>
      <c r="G26" s="1172">
        <f t="shared" si="0"/>
        <v>1510.8543600000003</v>
      </c>
      <c r="H26" s="1173"/>
      <c r="I26" s="1172">
        <f t="shared" si="1"/>
        <v>4914.3187800000005</v>
      </c>
      <c r="J26" s="1173"/>
      <c r="K26" s="1172">
        <f t="shared" si="2"/>
        <v>26161.22</v>
      </c>
      <c r="L26" s="1173"/>
      <c r="M26" s="1372">
        <f t="shared" si="3"/>
        <v>19736.22</v>
      </c>
      <c r="N26" s="1173"/>
      <c r="O26" s="1173"/>
      <c r="P26" s="1173"/>
      <c r="Q26" s="1172">
        <f t="shared" si="4"/>
        <v>1510.8543600000003</v>
      </c>
      <c r="R26" s="1173"/>
      <c r="S26" s="1172">
        <f t="shared" si="5"/>
        <v>21247.074360000002</v>
      </c>
      <c r="T26" s="1373"/>
      <c r="U26" s="1293"/>
      <c r="V26" s="1293" t="s">
        <v>1048</v>
      </c>
      <c r="W26" s="1208"/>
      <c r="X26" s="1208"/>
      <c r="Y26" s="1208"/>
      <c r="Z26" s="1208"/>
      <c r="AA26" s="1208"/>
      <c r="AB26" s="1208"/>
      <c r="AC26" s="1208"/>
      <c r="AD26" s="1208"/>
      <c r="AE26" s="1208"/>
      <c r="AF26" s="1208"/>
      <c r="AG26" s="1208"/>
      <c r="AH26" s="1208"/>
      <c r="AI26" s="1208"/>
      <c r="AJ26" s="1208"/>
      <c r="AK26" s="1208"/>
      <c r="AL26" s="1208"/>
      <c r="AM26" s="1208"/>
      <c r="AN26" s="1208"/>
      <c r="AO26" s="1208"/>
      <c r="AP26" s="1208"/>
      <c r="AQ26" s="1208"/>
      <c r="AR26" s="1208"/>
      <c r="AS26" s="1208"/>
      <c r="AT26" s="1208"/>
      <c r="AU26" s="1208"/>
      <c r="AV26" s="1208"/>
      <c r="AW26" s="1208"/>
      <c r="AX26" s="1208"/>
      <c r="AY26" s="1208"/>
      <c r="AZ26" s="1208"/>
      <c r="BA26" s="1208"/>
      <c r="BB26" s="1208"/>
      <c r="BC26" s="1208"/>
      <c r="BD26" s="1208"/>
      <c r="BE26" s="1208"/>
      <c r="BF26" s="1208"/>
    </row>
    <row r="27" spans="1:58" ht="16" customHeight="1" x14ac:dyDescent="0.35">
      <c r="A27" s="1382"/>
      <c r="B27" s="1154" t="s">
        <v>1120</v>
      </c>
      <c r="C27" s="1163">
        <v>11</v>
      </c>
      <c r="D27" s="1132"/>
      <c r="E27" s="1379">
        <v>20412.315000000002</v>
      </c>
      <c r="F27" s="1173"/>
      <c r="G27" s="1172">
        <f t="shared" si="0"/>
        <v>1604.1554700000004</v>
      </c>
      <c r="H27" s="1173"/>
      <c r="I27" s="1172">
        <f t="shared" si="1"/>
        <v>5082.666435000001</v>
      </c>
      <c r="J27" s="1173"/>
      <c r="K27" s="1172">
        <f t="shared" si="2"/>
        <v>27099.315000000002</v>
      </c>
      <c r="L27" s="1173"/>
      <c r="M27" s="1372">
        <f t="shared" si="3"/>
        <v>20412.315000000002</v>
      </c>
      <c r="N27" s="1173"/>
      <c r="O27" s="1173"/>
      <c r="P27" s="1173"/>
      <c r="Q27" s="1172">
        <f t="shared" si="4"/>
        <v>1604.1554700000004</v>
      </c>
      <c r="R27" s="1173"/>
      <c r="S27" s="1172">
        <f t="shared" si="5"/>
        <v>22016.470470000004</v>
      </c>
      <c r="T27" s="1373"/>
      <c r="U27" s="1293"/>
      <c r="V27" s="1293" t="s">
        <v>1050</v>
      </c>
      <c r="W27" s="1208"/>
      <c r="X27" s="1208"/>
      <c r="Y27" s="1208"/>
      <c r="Z27" s="1208"/>
      <c r="AA27" s="1208"/>
      <c r="AB27" s="1208"/>
      <c r="AC27" s="1208"/>
      <c r="AD27" s="1208"/>
      <c r="AE27" s="1208"/>
      <c r="AF27" s="1208"/>
      <c r="AG27" s="1208"/>
      <c r="AH27" s="1208"/>
      <c r="AI27" s="1208"/>
      <c r="AJ27" s="1208"/>
      <c r="AK27" s="1208"/>
      <c r="AL27" s="1208"/>
      <c r="AM27" s="1208"/>
      <c r="AN27" s="1208"/>
      <c r="AO27" s="1208"/>
      <c r="AP27" s="1208"/>
      <c r="AQ27" s="1208"/>
      <c r="AR27" s="1208"/>
      <c r="AS27" s="1208"/>
      <c r="AT27" s="1208"/>
      <c r="AU27" s="1208"/>
      <c r="AV27" s="1208"/>
      <c r="AW27" s="1208"/>
      <c r="AX27" s="1208"/>
      <c r="AY27" s="1208"/>
      <c r="AZ27" s="1208"/>
      <c r="BA27" s="1208"/>
      <c r="BB27" s="1208"/>
      <c r="BC27" s="1208"/>
      <c r="BD27" s="1208"/>
      <c r="BE27" s="1208"/>
      <c r="BF27" s="1208"/>
    </row>
    <row r="28" spans="1:58" ht="16" customHeight="1" x14ac:dyDescent="0.35">
      <c r="A28" s="1382" t="s">
        <v>1122</v>
      </c>
      <c r="B28" s="1163" t="s">
        <v>1120</v>
      </c>
      <c r="C28" s="1384">
        <v>12</v>
      </c>
      <c r="D28" s="1376"/>
      <c r="E28" s="1379">
        <v>20903.460000000003</v>
      </c>
      <c r="F28" s="1173"/>
      <c r="G28" s="1172">
        <f t="shared" si="0"/>
        <v>1671.9334800000006</v>
      </c>
      <c r="H28" s="1173"/>
      <c r="I28" s="1172">
        <f t="shared" si="1"/>
        <v>5204.9615400000002</v>
      </c>
      <c r="J28" s="1173"/>
      <c r="K28" s="1172">
        <f t="shared" si="2"/>
        <v>27780.460000000003</v>
      </c>
      <c r="L28" s="1173"/>
      <c r="M28" s="1372">
        <f t="shared" si="3"/>
        <v>20903.460000000003</v>
      </c>
      <c r="N28" s="1173"/>
      <c r="O28" s="1173"/>
      <c r="P28" s="1173"/>
      <c r="Q28" s="1172">
        <f t="shared" si="4"/>
        <v>1671.9334800000006</v>
      </c>
      <c r="R28" s="1173"/>
      <c r="S28" s="1172">
        <f t="shared" si="5"/>
        <v>22575.393480000002</v>
      </c>
      <c r="T28" s="1373"/>
      <c r="U28" s="1380"/>
      <c r="V28" s="1293" t="s">
        <v>1051</v>
      </c>
      <c r="W28" s="1208"/>
      <c r="X28" s="1208"/>
      <c r="Y28" s="1208"/>
      <c r="Z28" s="1208"/>
      <c r="AA28" s="1208"/>
      <c r="AB28" s="1208"/>
      <c r="AC28" s="1208"/>
      <c r="AD28" s="1208"/>
      <c r="AE28" s="1208"/>
      <c r="AF28" s="1208"/>
      <c r="AG28" s="1208"/>
      <c r="AH28" s="1208"/>
      <c r="AI28" s="1208"/>
      <c r="AJ28" s="1208"/>
      <c r="AK28" s="1208"/>
      <c r="AL28" s="1208"/>
      <c r="AM28" s="1208"/>
      <c r="AN28" s="1208"/>
      <c r="AO28" s="1208"/>
      <c r="AP28" s="1208"/>
      <c r="AQ28" s="1208"/>
      <c r="AR28" s="1208"/>
      <c r="AS28" s="1208"/>
      <c r="AT28" s="1208"/>
      <c r="AU28" s="1208"/>
      <c r="AV28" s="1208"/>
      <c r="AW28" s="1208"/>
      <c r="AX28" s="1208"/>
      <c r="AY28" s="1208"/>
      <c r="AZ28" s="1208"/>
      <c r="BA28" s="1208"/>
      <c r="BB28" s="1208"/>
      <c r="BC28" s="1208"/>
      <c r="BD28" s="1208"/>
      <c r="BE28" s="1208"/>
      <c r="BF28" s="1208"/>
    </row>
    <row r="29" spans="1:58" ht="16" customHeight="1" x14ac:dyDescent="0.35">
      <c r="A29" s="1382" t="s">
        <v>1122</v>
      </c>
      <c r="B29" s="1163"/>
      <c r="C29" s="1163">
        <v>13</v>
      </c>
      <c r="D29" s="1132"/>
      <c r="E29" s="1379">
        <v>21730.597500000003</v>
      </c>
      <c r="F29" s="1173"/>
      <c r="G29" s="1172">
        <f t="shared" si="0"/>
        <v>1786.0784550000005</v>
      </c>
      <c r="H29" s="1173"/>
      <c r="I29" s="1172">
        <f t="shared" si="1"/>
        <v>5410.9187775000009</v>
      </c>
      <c r="J29" s="1173"/>
      <c r="K29" s="1172">
        <f t="shared" si="2"/>
        <v>28927.597500000003</v>
      </c>
      <c r="L29" s="1173"/>
      <c r="M29" s="1372">
        <f t="shared" si="3"/>
        <v>21730.597500000003</v>
      </c>
      <c r="N29" s="1173"/>
      <c r="O29" s="1173"/>
      <c r="P29" s="1173"/>
      <c r="Q29" s="1172">
        <f t="shared" si="4"/>
        <v>1786.0784550000005</v>
      </c>
      <c r="R29" s="1173"/>
      <c r="S29" s="1172">
        <f t="shared" si="5"/>
        <v>23516.675955000002</v>
      </c>
      <c r="T29" s="1373"/>
      <c r="U29" s="1293"/>
      <c r="V29" s="1293"/>
      <c r="W29" s="1208"/>
      <c r="X29" s="1208"/>
      <c r="Y29" s="1208"/>
      <c r="Z29" s="1208"/>
      <c r="AA29" s="1208"/>
      <c r="AB29" s="1208"/>
      <c r="AC29" s="1208"/>
      <c r="AD29" s="1208"/>
      <c r="AE29" s="1208"/>
      <c r="AF29" s="1208"/>
      <c r="AG29" s="1208"/>
      <c r="AH29" s="1208"/>
      <c r="AI29" s="1208"/>
      <c r="AJ29" s="1208"/>
      <c r="AK29" s="1208"/>
      <c r="AL29" s="1208"/>
      <c r="AM29" s="1208"/>
      <c r="AN29" s="1208"/>
      <c r="AO29" s="1208"/>
      <c r="AP29" s="1208"/>
      <c r="AQ29" s="1208"/>
      <c r="AR29" s="1208"/>
      <c r="AS29" s="1208"/>
      <c r="AT29" s="1208"/>
      <c r="AU29" s="1208"/>
      <c r="AV29" s="1208"/>
      <c r="AW29" s="1208"/>
      <c r="AX29" s="1208"/>
      <c r="AY29" s="1208"/>
      <c r="AZ29" s="1208"/>
      <c r="BA29" s="1208"/>
      <c r="BB29" s="1208"/>
      <c r="BC29" s="1208"/>
      <c r="BD29" s="1208"/>
      <c r="BE29" s="1208"/>
      <c r="BF29" s="1208"/>
    </row>
    <row r="30" spans="1:58" ht="16" customHeight="1" x14ac:dyDescent="0.35">
      <c r="A30" s="1382" t="s">
        <v>1122</v>
      </c>
      <c r="B30" s="1154"/>
      <c r="C30" s="1163">
        <v>14</v>
      </c>
      <c r="D30" s="1132"/>
      <c r="E30" s="1379">
        <v>22637.88</v>
      </c>
      <c r="F30" s="1173"/>
      <c r="G30" s="1172">
        <f t="shared" si="0"/>
        <v>1911.2834400000004</v>
      </c>
      <c r="H30" s="1173"/>
      <c r="I30" s="1172">
        <f t="shared" si="1"/>
        <v>5636.83212</v>
      </c>
      <c r="J30" s="1173"/>
      <c r="K30" s="1172">
        <f t="shared" si="2"/>
        <v>30185.88</v>
      </c>
      <c r="L30" s="1173"/>
      <c r="M30" s="1372">
        <f t="shared" si="3"/>
        <v>22637.88</v>
      </c>
      <c r="N30" s="1173"/>
      <c r="O30" s="1173"/>
      <c r="P30" s="1173"/>
      <c r="Q30" s="1172">
        <f t="shared" si="4"/>
        <v>1911.2834400000004</v>
      </c>
      <c r="R30" s="1173"/>
      <c r="S30" s="1172">
        <f t="shared" si="5"/>
        <v>24549.16344</v>
      </c>
      <c r="T30" s="1373"/>
      <c r="U30" s="1293"/>
      <c r="V30" s="1293"/>
      <c r="W30" s="1208"/>
      <c r="X30" s="1208"/>
      <c r="Y30" s="1208"/>
      <c r="Z30" s="1208"/>
      <c r="AA30" s="1208"/>
      <c r="AB30" s="1208"/>
      <c r="AC30" s="1208"/>
      <c r="AD30" s="1208"/>
      <c r="AE30" s="1208"/>
      <c r="AF30" s="1208"/>
      <c r="AG30" s="1208"/>
      <c r="AH30" s="1208"/>
      <c r="AI30" s="1208"/>
      <c r="AJ30" s="1208"/>
      <c r="AK30" s="1208"/>
      <c r="AL30" s="1208"/>
      <c r="AM30" s="1208"/>
      <c r="AN30" s="1208"/>
      <c r="AO30" s="1208"/>
      <c r="AP30" s="1208"/>
      <c r="AQ30" s="1208"/>
      <c r="AR30" s="1208"/>
      <c r="AS30" s="1208"/>
      <c r="AT30" s="1208"/>
      <c r="AU30" s="1208"/>
      <c r="AV30" s="1208"/>
      <c r="AW30" s="1208"/>
      <c r="AX30" s="1208"/>
      <c r="AY30" s="1208"/>
      <c r="AZ30" s="1208"/>
      <c r="BA30" s="1208"/>
      <c r="BB30" s="1208"/>
      <c r="BC30" s="1208"/>
      <c r="BD30" s="1208"/>
      <c r="BE30" s="1208"/>
      <c r="BF30" s="1208"/>
    </row>
    <row r="31" spans="1:58" ht="16" customHeight="1" x14ac:dyDescent="0.35">
      <c r="A31" s="1382" t="s">
        <v>1122</v>
      </c>
      <c r="B31" s="1163" t="s">
        <v>1123</v>
      </c>
      <c r="C31" s="1384">
        <v>15</v>
      </c>
      <c r="D31" s="1376"/>
      <c r="E31" s="1379">
        <v>23541.052500000002</v>
      </c>
      <c r="F31" s="1173"/>
      <c r="G31" s="1172">
        <f t="shared" si="0"/>
        <v>2035.9212450000005</v>
      </c>
      <c r="H31" s="1173"/>
      <c r="I31" s="1172">
        <f t="shared" si="1"/>
        <v>5861.7220725000006</v>
      </c>
      <c r="J31" s="1173"/>
      <c r="K31" s="1172">
        <f t="shared" si="2"/>
        <v>31439.052500000002</v>
      </c>
      <c r="L31" s="1173"/>
      <c r="M31" s="1372">
        <f t="shared" si="3"/>
        <v>23541.052500000002</v>
      </c>
      <c r="N31" s="1173"/>
      <c r="O31" s="1173"/>
      <c r="P31" s="1173"/>
      <c r="Q31" s="1172">
        <f t="shared" si="4"/>
        <v>2035.9212450000005</v>
      </c>
      <c r="R31" s="1173"/>
      <c r="S31" s="1172">
        <f t="shared" si="5"/>
        <v>25576.973745000003</v>
      </c>
      <c r="T31" s="1373"/>
      <c r="U31" s="1380"/>
      <c r="V31" s="1380"/>
      <c r="W31" s="1208"/>
      <c r="X31" s="1208"/>
      <c r="Y31" s="1208"/>
      <c r="Z31" s="1208"/>
      <c r="AA31" s="1208"/>
      <c r="AB31" s="1208"/>
      <c r="AC31" s="1208"/>
      <c r="AD31" s="1208"/>
      <c r="AE31" s="1208"/>
      <c r="AF31" s="1208"/>
      <c r="AG31" s="1208"/>
      <c r="AH31" s="1208"/>
      <c r="AI31" s="1208"/>
      <c r="AJ31" s="1208"/>
      <c r="AK31" s="1208"/>
      <c r="AL31" s="1208"/>
      <c r="AM31" s="1208"/>
      <c r="AN31" s="1208"/>
      <c r="AO31" s="1208"/>
      <c r="AP31" s="1208"/>
      <c r="AQ31" s="1208"/>
      <c r="AR31" s="1208"/>
      <c r="AS31" s="1208"/>
      <c r="AT31" s="1208"/>
      <c r="AU31" s="1208"/>
      <c r="AV31" s="1208"/>
      <c r="AW31" s="1208"/>
      <c r="AX31" s="1208"/>
      <c r="AY31" s="1208"/>
      <c r="AZ31" s="1208"/>
      <c r="BA31" s="1208"/>
      <c r="BB31" s="1208"/>
      <c r="BC31" s="1208"/>
      <c r="BD31" s="1208"/>
      <c r="BE31" s="1208"/>
      <c r="BF31" s="1208"/>
    </row>
    <row r="32" spans="1:58" ht="16" customHeight="1" x14ac:dyDescent="0.35">
      <c r="A32" s="1382"/>
      <c r="B32" s="1163" t="s">
        <v>1123</v>
      </c>
      <c r="C32" s="1163">
        <v>16</v>
      </c>
      <c r="D32" s="1132"/>
      <c r="E32" s="1379">
        <v>24333.255000000001</v>
      </c>
      <c r="F32" s="1173"/>
      <c r="G32" s="1172">
        <f t="shared" si="0"/>
        <v>2145.2451900000001</v>
      </c>
      <c r="H32" s="1173"/>
      <c r="I32" s="1172">
        <f t="shared" si="1"/>
        <v>6058.9804949999998</v>
      </c>
      <c r="J32" s="1173"/>
      <c r="K32" s="1172">
        <f t="shared" si="2"/>
        <v>32537.255000000001</v>
      </c>
      <c r="L32" s="1173"/>
      <c r="M32" s="1372">
        <f t="shared" si="3"/>
        <v>24333.255000000001</v>
      </c>
      <c r="N32" s="1173"/>
      <c r="O32" s="1173"/>
      <c r="P32" s="1173"/>
      <c r="Q32" s="1172">
        <f t="shared" si="4"/>
        <v>2145.2451900000001</v>
      </c>
      <c r="R32" s="1173"/>
      <c r="S32" s="1172">
        <f t="shared" si="5"/>
        <v>26478.500190000002</v>
      </c>
      <c r="T32" s="1373"/>
      <c r="U32" s="1293"/>
      <c r="V32" s="1293"/>
      <c r="W32" s="1208"/>
      <c r="X32" s="1208"/>
      <c r="Y32" s="1208"/>
      <c r="Z32" s="1208"/>
      <c r="AA32" s="1208"/>
      <c r="AB32" s="1208"/>
      <c r="AC32" s="1208"/>
      <c r="AD32" s="1208"/>
      <c r="AE32" s="1208"/>
      <c r="AF32" s="1208"/>
      <c r="AG32" s="1208"/>
      <c r="AH32" s="1208"/>
      <c r="AI32" s="1208"/>
      <c r="AJ32" s="1208"/>
      <c r="AK32" s="1208"/>
      <c r="AL32" s="1208"/>
      <c r="AM32" s="1208"/>
      <c r="AN32" s="1208"/>
      <c r="AO32" s="1208"/>
      <c r="AP32" s="1208"/>
      <c r="AQ32" s="1208"/>
      <c r="AR32" s="1208"/>
      <c r="AS32" s="1208"/>
      <c r="AT32" s="1208"/>
      <c r="AU32" s="1208"/>
      <c r="AV32" s="1208"/>
      <c r="AW32" s="1208"/>
      <c r="AX32" s="1208"/>
      <c r="AY32" s="1208"/>
      <c r="AZ32" s="1208"/>
      <c r="BA32" s="1208"/>
      <c r="BB32" s="1208"/>
      <c r="BC32" s="1208"/>
      <c r="BD32" s="1208"/>
      <c r="BE32" s="1208"/>
      <c r="BF32" s="1208"/>
    </row>
    <row r="33" spans="1:58" ht="16" customHeight="1" x14ac:dyDescent="0.35">
      <c r="A33" s="1382"/>
      <c r="B33" s="1154" t="s">
        <v>1123</v>
      </c>
      <c r="C33" s="1163">
        <v>17</v>
      </c>
      <c r="D33" s="1132"/>
      <c r="E33" s="1379">
        <v>25123.4025</v>
      </c>
      <c r="F33" s="1173"/>
      <c r="G33" s="1172">
        <f t="shared" si="0"/>
        <v>2254.2855450000002</v>
      </c>
      <c r="H33" s="1173"/>
      <c r="I33" s="1172">
        <f t="shared" si="1"/>
        <v>6255.7272224999997</v>
      </c>
      <c r="J33" s="1173"/>
      <c r="K33" s="1172">
        <f t="shared" si="2"/>
        <v>33633.402499999997</v>
      </c>
      <c r="L33" s="1173"/>
      <c r="M33" s="1372">
        <f t="shared" si="3"/>
        <v>25123.4025</v>
      </c>
      <c r="N33" s="1173"/>
      <c r="O33" s="1173"/>
      <c r="P33" s="1173"/>
      <c r="Q33" s="1172">
        <f t="shared" si="4"/>
        <v>2254.2855450000002</v>
      </c>
      <c r="R33" s="1173"/>
      <c r="S33" s="1172">
        <f t="shared" si="5"/>
        <v>27377.688044999999</v>
      </c>
      <c r="T33" s="1373"/>
      <c r="U33" s="1293"/>
      <c r="V33" s="1293"/>
      <c r="W33" s="1208"/>
      <c r="X33" s="1208"/>
      <c r="Y33" s="1208"/>
      <c r="Z33" s="1208"/>
      <c r="AA33" s="1208"/>
      <c r="AB33" s="1208"/>
      <c r="AC33" s="1208"/>
      <c r="AD33" s="1208"/>
      <c r="AE33" s="1208"/>
      <c r="AF33" s="1208"/>
      <c r="AG33" s="1208"/>
      <c r="AH33" s="1208"/>
      <c r="AI33" s="1208"/>
      <c r="AJ33" s="1208"/>
      <c r="AK33" s="1208"/>
      <c r="AL33" s="1208"/>
      <c r="AM33" s="1208"/>
      <c r="AN33" s="1208"/>
      <c r="AO33" s="1208"/>
      <c r="AP33" s="1208"/>
      <c r="AQ33" s="1208"/>
      <c r="AR33" s="1208"/>
      <c r="AS33" s="1208"/>
      <c r="AT33" s="1208"/>
      <c r="AU33" s="1208"/>
      <c r="AV33" s="1208"/>
      <c r="AW33" s="1208"/>
      <c r="AX33" s="1208"/>
      <c r="AY33" s="1208"/>
      <c r="AZ33" s="1208"/>
      <c r="BA33" s="1208"/>
      <c r="BB33" s="1208"/>
      <c r="BC33" s="1208"/>
      <c r="BD33" s="1208"/>
      <c r="BE33" s="1208"/>
      <c r="BF33" s="1208"/>
    </row>
    <row r="34" spans="1:58" ht="16" customHeight="1" x14ac:dyDescent="0.35">
      <c r="A34" s="1382" t="s">
        <v>1124</v>
      </c>
      <c r="B34" s="1163" t="s">
        <v>1123</v>
      </c>
      <c r="C34" s="1384">
        <v>18</v>
      </c>
      <c r="D34" s="1376"/>
      <c r="E34" s="1379">
        <v>25990.612500000003</v>
      </c>
      <c r="F34" s="1173"/>
      <c r="G34" s="1172">
        <f t="shared" si="0"/>
        <v>2373.9605250000004</v>
      </c>
      <c r="H34" s="1173"/>
      <c r="I34" s="1172">
        <f t="shared" si="1"/>
        <v>6471.662512500001</v>
      </c>
      <c r="J34" s="1173"/>
      <c r="K34" s="1172">
        <f t="shared" si="2"/>
        <v>34836.612500000003</v>
      </c>
      <c r="L34" s="1173"/>
      <c r="M34" s="1372">
        <f t="shared" si="3"/>
        <v>25990.612500000003</v>
      </c>
      <c r="N34" s="1173"/>
      <c r="O34" s="1173"/>
      <c r="P34" s="1173"/>
      <c r="Q34" s="1172">
        <f t="shared" si="4"/>
        <v>2373.9605250000004</v>
      </c>
      <c r="R34" s="1173"/>
      <c r="S34" s="1172">
        <f t="shared" si="5"/>
        <v>28364.573025000005</v>
      </c>
      <c r="T34" s="1373"/>
      <c r="U34" s="1380"/>
      <c r="V34" s="1380"/>
      <c r="W34" s="1208"/>
      <c r="X34" s="1208"/>
      <c r="Y34" s="1208"/>
      <c r="Z34" s="1208"/>
      <c r="AA34" s="1208"/>
      <c r="AB34" s="1208"/>
      <c r="AC34" s="1208"/>
      <c r="AD34" s="1208"/>
      <c r="AE34" s="1208"/>
      <c r="AF34" s="1208"/>
      <c r="AG34" s="1208"/>
      <c r="AH34" s="1208"/>
      <c r="AI34" s="1208"/>
      <c r="AJ34" s="1208"/>
      <c r="AK34" s="1208"/>
      <c r="AL34" s="1208"/>
      <c r="AM34" s="1208"/>
      <c r="AN34" s="1208"/>
      <c r="AO34" s="1208"/>
      <c r="AP34" s="1208"/>
      <c r="AQ34" s="1208"/>
      <c r="AR34" s="1208"/>
      <c r="AS34" s="1208"/>
      <c r="AT34" s="1208"/>
      <c r="AU34" s="1208"/>
      <c r="AV34" s="1208"/>
      <c r="AW34" s="1208"/>
      <c r="AX34" s="1208"/>
      <c r="AY34" s="1208"/>
      <c r="AZ34" s="1208"/>
      <c r="BA34" s="1208"/>
      <c r="BB34" s="1208"/>
      <c r="BC34" s="1208"/>
      <c r="BD34" s="1208"/>
      <c r="BE34" s="1208"/>
      <c r="BF34" s="1208"/>
    </row>
    <row r="35" spans="1:58" ht="16" customHeight="1" x14ac:dyDescent="0.35">
      <c r="A35" s="1382" t="s">
        <v>1124</v>
      </c>
      <c r="B35" s="1163"/>
      <c r="C35" s="1163">
        <v>19</v>
      </c>
      <c r="D35" s="1132"/>
      <c r="E35" s="1379">
        <v>26784.870000000003</v>
      </c>
      <c r="F35" s="1173"/>
      <c r="G35" s="1172">
        <f t="shared" si="0"/>
        <v>2483.5680600000005</v>
      </c>
      <c r="H35" s="1173"/>
      <c r="I35" s="1172">
        <f t="shared" si="1"/>
        <v>6669.4326300000002</v>
      </c>
      <c r="J35" s="1173"/>
      <c r="K35" s="1172">
        <f t="shared" si="2"/>
        <v>35937.870000000003</v>
      </c>
      <c r="L35" s="1173"/>
      <c r="M35" s="1372">
        <f t="shared" si="3"/>
        <v>26784.870000000003</v>
      </c>
      <c r="N35" s="1173"/>
      <c r="O35" s="1173"/>
      <c r="P35" s="1173"/>
      <c r="Q35" s="1172">
        <f t="shared" si="4"/>
        <v>2483.5680600000005</v>
      </c>
      <c r="R35" s="1173"/>
      <c r="S35" s="1172">
        <f t="shared" si="5"/>
        <v>29268.438060000004</v>
      </c>
      <c r="T35" s="1373"/>
      <c r="U35" s="1293"/>
      <c r="V35" s="1293"/>
      <c r="W35" s="1208"/>
      <c r="X35" s="1208"/>
      <c r="Y35" s="1208"/>
      <c r="Z35" s="1208"/>
      <c r="AA35" s="1208"/>
      <c r="AB35" s="1208"/>
      <c r="AC35" s="1208"/>
      <c r="AD35" s="1208"/>
      <c r="AE35" s="1208"/>
      <c r="AF35" s="1208"/>
      <c r="AG35" s="1208"/>
      <c r="AH35" s="1208"/>
      <c r="AI35" s="1208"/>
      <c r="AJ35" s="1208"/>
      <c r="AK35" s="1208"/>
      <c r="AL35" s="1208"/>
      <c r="AM35" s="1208"/>
      <c r="AN35" s="1208"/>
      <c r="AO35" s="1208"/>
      <c r="AP35" s="1208"/>
      <c r="AQ35" s="1208"/>
      <c r="AR35" s="1208"/>
      <c r="AS35" s="1208"/>
      <c r="AT35" s="1208"/>
      <c r="AU35" s="1208"/>
      <c r="AV35" s="1208"/>
      <c r="AW35" s="1208"/>
      <c r="AX35" s="1208"/>
      <c r="AY35" s="1208"/>
      <c r="AZ35" s="1208"/>
      <c r="BA35" s="1208"/>
      <c r="BB35" s="1208"/>
      <c r="BC35" s="1208"/>
      <c r="BD35" s="1208"/>
      <c r="BE35" s="1208"/>
      <c r="BF35" s="1208"/>
    </row>
    <row r="36" spans="1:58" ht="16" customHeight="1" x14ac:dyDescent="0.35">
      <c r="A36" s="1382" t="s">
        <v>1124</v>
      </c>
      <c r="B36" s="1154"/>
      <c r="C36" s="1163">
        <v>20</v>
      </c>
      <c r="D36" s="1132"/>
      <c r="E36" s="1379">
        <v>27729.142500000002</v>
      </c>
      <c r="F36" s="1173"/>
      <c r="G36" s="1172">
        <f t="shared" si="0"/>
        <v>2613.8776650000004</v>
      </c>
      <c r="H36" s="1173"/>
      <c r="I36" s="1172">
        <f t="shared" si="1"/>
        <v>6904.5564825000001</v>
      </c>
      <c r="J36" s="1173"/>
      <c r="K36" s="1172">
        <f t="shared" si="2"/>
        <v>37248.142500000002</v>
      </c>
      <c r="L36" s="1173"/>
      <c r="M36" s="1372">
        <f t="shared" si="3"/>
        <v>27729.142500000002</v>
      </c>
      <c r="N36" s="1173"/>
      <c r="O36" s="1173"/>
      <c r="P36" s="1173"/>
      <c r="Q36" s="1172">
        <f t="shared" si="4"/>
        <v>2613.8776650000004</v>
      </c>
      <c r="R36" s="1173"/>
      <c r="S36" s="1172">
        <f t="shared" si="5"/>
        <v>30343.020165000002</v>
      </c>
      <c r="T36" s="1373"/>
      <c r="U36" s="1293"/>
      <c r="V36" s="1293"/>
      <c r="W36" s="1208"/>
      <c r="X36" s="1208"/>
      <c r="Y36" s="1208"/>
      <c r="Z36" s="1208"/>
      <c r="AA36" s="1208"/>
      <c r="AB36" s="1208"/>
      <c r="AC36" s="1208"/>
      <c r="AD36" s="1208"/>
      <c r="AE36" s="1208"/>
      <c r="AF36" s="1208"/>
      <c r="AG36" s="1208"/>
      <c r="AH36" s="1208"/>
      <c r="AI36" s="1208"/>
      <c r="AJ36" s="1208"/>
      <c r="AK36" s="1208"/>
      <c r="AL36" s="1208"/>
      <c r="AM36" s="1208"/>
      <c r="AN36" s="1208"/>
      <c r="AO36" s="1208"/>
      <c r="AP36" s="1208"/>
      <c r="AQ36" s="1208"/>
      <c r="AR36" s="1208"/>
      <c r="AS36" s="1208"/>
      <c r="AT36" s="1208"/>
      <c r="AU36" s="1208"/>
      <c r="AV36" s="1208"/>
      <c r="AW36" s="1208"/>
      <c r="AX36" s="1208"/>
      <c r="AY36" s="1208"/>
      <c r="AZ36" s="1208"/>
      <c r="BA36" s="1208"/>
      <c r="BB36" s="1208"/>
      <c r="BC36" s="1208"/>
      <c r="BD36" s="1208"/>
      <c r="BE36" s="1208"/>
      <c r="BF36" s="1208"/>
    </row>
    <row r="37" spans="1:58" ht="16" customHeight="1" x14ac:dyDescent="0.35">
      <c r="A37" s="1382" t="s">
        <v>1124</v>
      </c>
      <c r="B37" s="1163" t="s">
        <v>1125</v>
      </c>
      <c r="C37" s="1384">
        <v>21</v>
      </c>
      <c r="D37" s="1376"/>
      <c r="E37" s="1379">
        <v>28672.387500000001</v>
      </c>
      <c r="F37" s="1173"/>
      <c r="G37" s="1172">
        <f t="shared" si="0"/>
        <v>2744.0454750000004</v>
      </c>
      <c r="H37" s="1173"/>
      <c r="I37" s="1172">
        <f t="shared" si="1"/>
        <v>7139.4244875000004</v>
      </c>
      <c r="J37" s="1173"/>
      <c r="K37" s="1172">
        <f t="shared" si="2"/>
        <v>38555.387499999997</v>
      </c>
      <c r="L37" s="1173"/>
      <c r="M37" s="1372">
        <f t="shared" si="3"/>
        <v>28672.387500000001</v>
      </c>
      <c r="N37" s="1173"/>
      <c r="O37" s="1173"/>
      <c r="P37" s="1173"/>
      <c r="Q37" s="1172">
        <f t="shared" si="4"/>
        <v>2744.0454750000004</v>
      </c>
      <c r="R37" s="1173"/>
      <c r="S37" s="1172">
        <f t="shared" si="5"/>
        <v>31416.432975</v>
      </c>
      <c r="T37" s="1373"/>
      <c r="U37" s="1380"/>
      <c r="V37" s="1380"/>
      <c r="W37" s="1208"/>
      <c r="X37" s="1208"/>
      <c r="Y37" s="1208"/>
      <c r="Z37" s="1208"/>
      <c r="AA37" s="1208"/>
      <c r="AB37" s="1208"/>
      <c r="AC37" s="1208"/>
      <c r="AD37" s="1208"/>
      <c r="AE37" s="1208"/>
      <c r="AF37" s="1208"/>
      <c r="AG37" s="1208"/>
      <c r="AH37" s="1208"/>
      <c r="AI37" s="1208"/>
      <c r="AJ37" s="1208"/>
      <c r="AK37" s="1208"/>
      <c r="AL37" s="1208"/>
      <c r="AM37" s="1208"/>
      <c r="AN37" s="1208"/>
      <c r="AO37" s="1208"/>
      <c r="AP37" s="1208"/>
      <c r="AQ37" s="1208"/>
      <c r="AR37" s="1208"/>
      <c r="AS37" s="1208"/>
      <c r="AT37" s="1208"/>
      <c r="AU37" s="1208"/>
      <c r="AV37" s="1208"/>
      <c r="AW37" s="1208"/>
      <c r="AX37" s="1208"/>
      <c r="AY37" s="1208"/>
      <c r="AZ37" s="1208"/>
      <c r="BA37" s="1208"/>
      <c r="BB37" s="1208"/>
      <c r="BC37" s="1208"/>
      <c r="BD37" s="1208"/>
      <c r="BE37" s="1208"/>
      <c r="BF37" s="1208"/>
    </row>
    <row r="38" spans="1:58" ht="16" customHeight="1" x14ac:dyDescent="0.35">
      <c r="A38" s="1382"/>
      <c r="B38" s="1163" t="s">
        <v>1125</v>
      </c>
      <c r="C38" s="1163">
        <v>22</v>
      </c>
      <c r="D38" s="1132"/>
      <c r="E38" s="1379">
        <v>29919.772500000003</v>
      </c>
      <c r="F38" s="1173"/>
      <c r="G38" s="1172">
        <f t="shared" si="0"/>
        <v>2916.1846050000008</v>
      </c>
      <c r="H38" s="1173"/>
      <c r="I38" s="1172">
        <f t="shared" si="1"/>
        <v>7450.0233525000003</v>
      </c>
      <c r="J38" s="1173"/>
      <c r="K38" s="1172">
        <f t="shared" si="2"/>
        <v>40285.772500000006</v>
      </c>
      <c r="L38" s="1173"/>
      <c r="M38" s="1372">
        <f t="shared" si="3"/>
        <v>29919.772500000003</v>
      </c>
      <c r="N38" s="1173"/>
      <c r="O38" s="1173"/>
      <c r="P38" s="1173"/>
      <c r="Q38" s="1172">
        <f t="shared" si="4"/>
        <v>2916.1846050000008</v>
      </c>
      <c r="R38" s="1173"/>
      <c r="S38" s="1172">
        <f t="shared" si="5"/>
        <v>32835.957105000001</v>
      </c>
      <c r="T38" s="1373"/>
      <c r="U38" s="1293"/>
      <c r="V38" s="1293"/>
      <c r="W38" s="1208"/>
      <c r="X38" s="1208"/>
      <c r="Y38" s="1208"/>
      <c r="Z38" s="1208"/>
      <c r="AA38" s="1208"/>
      <c r="AB38" s="1208"/>
      <c r="AC38" s="1208"/>
      <c r="AD38" s="1208"/>
      <c r="AE38" s="1208"/>
      <c r="AF38" s="1208"/>
      <c r="AG38" s="1208"/>
      <c r="AH38" s="1208"/>
      <c r="AI38" s="1208"/>
      <c r="AJ38" s="1208"/>
      <c r="AK38" s="1208"/>
      <c r="AL38" s="1208"/>
      <c r="AM38" s="1208"/>
      <c r="AN38" s="1208"/>
      <c r="AO38" s="1208"/>
      <c r="AP38" s="1208"/>
      <c r="AQ38" s="1208"/>
      <c r="AR38" s="1208"/>
      <c r="AS38" s="1208"/>
      <c r="AT38" s="1208"/>
      <c r="AU38" s="1208"/>
      <c r="AV38" s="1208"/>
      <c r="AW38" s="1208"/>
      <c r="AX38" s="1208"/>
      <c r="AY38" s="1208"/>
      <c r="AZ38" s="1208"/>
      <c r="BA38" s="1208"/>
      <c r="BB38" s="1208"/>
      <c r="BC38" s="1208"/>
      <c r="BD38" s="1208"/>
      <c r="BE38" s="1208"/>
      <c r="BF38" s="1208"/>
    </row>
    <row r="39" spans="1:58" ht="16" customHeight="1" x14ac:dyDescent="0.35">
      <c r="A39" s="1382"/>
      <c r="B39" s="1154" t="s">
        <v>1125</v>
      </c>
      <c r="C39" s="1163">
        <v>23</v>
      </c>
      <c r="D39" s="1132"/>
      <c r="E39" s="1379">
        <v>31053.105000000003</v>
      </c>
      <c r="F39" s="1173"/>
      <c r="G39" s="1172">
        <f t="shared" si="0"/>
        <v>3072.5844900000006</v>
      </c>
      <c r="H39" s="1173"/>
      <c r="I39" s="1172">
        <f t="shared" si="1"/>
        <v>7732.2231450000008</v>
      </c>
      <c r="J39" s="1173"/>
      <c r="K39" s="1172">
        <f t="shared" si="2"/>
        <v>41858.105000000003</v>
      </c>
      <c r="L39" s="1173"/>
      <c r="M39" s="1372">
        <f t="shared" si="3"/>
        <v>31053.105000000003</v>
      </c>
      <c r="N39" s="1173"/>
      <c r="O39" s="1173"/>
      <c r="P39" s="1173"/>
      <c r="Q39" s="1172">
        <f t="shared" si="4"/>
        <v>3072.5844900000006</v>
      </c>
      <c r="R39" s="1173"/>
      <c r="S39" s="1172">
        <f t="shared" si="5"/>
        <v>34125.689490000004</v>
      </c>
      <c r="T39" s="1373"/>
      <c r="U39" s="1293"/>
      <c r="V39" s="1293"/>
      <c r="W39" s="1208"/>
      <c r="X39" s="1208"/>
      <c r="Y39" s="1208"/>
      <c r="Z39" s="1208"/>
      <c r="AA39" s="1208"/>
      <c r="AB39" s="1208"/>
      <c r="AC39" s="1208"/>
      <c r="AD39" s="1208"/>
      <c r="AE39" s="1208"/>
      <c r="AF39" s="1208"/>
      <c r="AG39" s="1208"/>
      <c r="AH39" s="1208"/>
      <c r="AI39" s="1208"/>
      <c r="AJ39" s="1208"/>
      <c r="AK39" s="1208"/>
      <c r="AL39" s="1208"/>
      <c r="AM39" s="1208"/>
      <c r="AN39" s="1208"/>
      <c r="AO39" s="1208"/>
      <c r="AP39" s="1208"/>
      <c r="AQ39" s="1208"/>
      <c r="AR39" s="1208"/>
      <c r="AS39" s="1208"/>
      <c r="AT39" s="1208"/>
      <c r="AU39" s="1208"/>
      <c r="AV39" s="1208"/>
      <c r="AW39" s="1208"/>
      <c r="AX39" s="1208"/>
      <c r="AY39" s="1208"/>
      <c r="AZ39" s="1208"/>
      <c r="BA39" s="1208"/>
      <c r="BB39" s="1208"/>
      <c r="BC39" s="1208"/>
      <c r="BD39" s="1208"/>
      <c r="BE39" s="1208"/>
      <c r="BF39" s="1208"/>
    </row>
    <row r="40" spans="1:58" ht="16" customHeight="1" x14ac:dyDescent="0.35">
      <c r="A40" s="1382" t="s">
        <v>1126</v>
      </c>
      <c r="B40" s="1163" t="s">
        <v>1125</v>
      </c>
      <c r="C40" s="1384">
        <v>24</v>
      </c>
      <c r="D40" s="1376"/>
      <c r="E40" s="1379">
        <v>32233.702500000003</v>
      </c>
      <c r="F40" s="1173"/>
      <c r="G40" s="1172">
        <f t="shared" si="0"/>
        <v>3235.5069450000005</v>
      </c>
      <c r="H40" s="1173"/>
      <c r="I40" s="1172">
        <f t="shared" si="1"/>
        <v>8026.1919225000011</v>
      </c>
      <c r="J40" s="1173"/>
      <c r="K40" s="1172">
        <f t="shared" si="2"/>
        <v>43495.702499999999</v>
      </c>
      <c r="L40" s="1173"/>
      <c r="M40" s="1372">
        <f t="shared" si="3"/>
        <v>32233.702500000003</v>
      </c>
      <c r="N40" s="1173"/>
      <c r="O40" s="1173"/>
      <c r="P40" s="1173"/>
      <c r="Q40" s="1172">
        <f t="shared" si="4"/>
        <v>3235.5069450000005</v>
      </c>
      <c r="R40" s="1173"/>
      <c r="S40" s="1172">
        <f t="shared" si="5"/>
        <v>35469.209445</v>
      </c>
      <c r="T40" s="1373"/>
      <c r="U40" s="1380"/>
      <c r="V40" s="1380"/>
      <c r="W40" s="1208"/>
      <c r="X40" s="1208"/>
      <c r="Y40" s="1208"/>
      <c r="Z40" s="1208"/>
      <c r="AA40" s="1208"/>
      <c r="AB40" s="1208"/>
      <c r="AC40" s="1208"/>
      <c r="AD40" s="1208"/>
      <c r="AE40" s="1208"/>
      <c r="AF40" s="1208"/>
      <c r="AG40" s="1208"/>
      <c r="AH40" s="1208"/>
      <c r="AI40" s="1208"/>
      <c r="AJ40" s="1208"/>
      <c r="AK40" s="1208"/>
      <c r="AL40" s="1208"/>
      <c r="AM40" s="1208"/>
      <c r="AN40" s="1208"/>
      <c r="AO40" s="1208"/>
      <c r="AP40" s="1208"/>
      <c r="AQ40" s="1208"/>
      <c r="AR40" s="1208"/>
      <c r="AS40" s="1208"/>
      <c r="AT40" s="1208"/>
      <c r="AU40" s="1208"/>
      <c r="AV40" s="1208"/>
      <c r="AW40" s="1208"/>
      <c r="AX40" s="1208"/>
      <c r="AY40" s="1208"/>
      <c r="AZ40" s="1208"/>
      <c r="BA40" s="1208"/>
      <c r="BB40" s="1208"/>
      <c r="BC40" s="1208"/>
      <c r="BD40" s="1208"/>
      <c r="BE40" s="1208"/>
      <c r="BF40" s="1208"/>
    </row>
    <row r="41" spans="1:58" ht="16" customHeight="1" x14ac:dyDescent="0.35">
      <c r="A41" s="1382" t="s">
        <v>1126</v>
      </c>
      <c r="B41" s="1163"/>
      <c r="C41" s="1163">
        <v>25</v>
      </c>
      <c r="D41" s="1132"/>
      <c r="E41" s="1379">
        <v>33412.245000000003</v>
      </c>
      <c r="F41" s="1173"/>
      <c r="G41" s="1172">
        <f t="shared" si="0"/>
        <v>3398.1458100000004</v>
      </c>
      <c r="H41" s="1173"/>
      <c r="I41" s="1172">
        <f t="shared" si="1"/>
        <v>8319.6490050000011</v>
      </c>
      <c r="J41" s="1173"/>
      <c r="K41" s="1172">
        <f t="shared" si="2"/>
        <v>45130.245000000003</v>
      </c>
      <c r="L41" s="1173"/>
      <c r="M41" s="1372">
        <f t="shared" si="3"/>
        <v>33412.245000000003</v>
      </c>
      <c r="N41" s="1173"/>
      <c r="O41" s="1173"/>
      <c r="P41" s="1173"/>
      <c r="Q41" s="1172">
        <f t="shared" si="4"/>
        <v>3398.1458100000004</v>
      </c>
      <c r="R41" s="1173"/>
      <c r="S41" s="1172">
        <f t="shared" si="5"/>
        <v>36810.390810000004</v>
      </c>
      <c r="T41" s="1373"/>
      <c r="U41" s="1293"/>
      <c r="V41" s="1293"/>
      <c r="W41" s="1208"/>
      <c r="X41" s="1208"/>
      <c r="Y41" s="1208"/>
      <c r="Z41" s="1208"/>
      <c r="AA41" s="1208"/>
      <c r="AB41" s="1208"/>
      <c r="AC41" s="1208"/>
      <c r="AD41" s="1208"/>
      <c r="AE41" s="1208"/>
      <c r="AF41" s="1208"/>
      <c r="AG41" s="1208"/>
      <c r="AH41" s="1208"/>
      <c r="AI41" s="1208"/>
      <c r="AJ41" s="1208"/>
      <c r="AK41" s="1208"/>
      <c r="AL41" s="1208"/>
      <c r="AM41" s="1208"/>
      <c r="AN41" s="1208"/>
      <c r="AO41" s="1208"/>
      <c r="AP41" s="1208"/>
      <c r="AQ41" s="1208"/>
      <c r="AR41" s="1208"/>
      <c r="AS41" s="1208"/>
      <c r="AT41" s="1208"/>
      <c r="AU41" s="1208"/>
      <c r="AV41" s="1208"/>
      <c r="AW41" s="1208"/>
      <c r="AX41" s="1208"/>
      <c r="AY41" s="1208"/>
      <c r="AZ41" s="1208"/>
      <c r="BA41" s="1208"/>
      <c r="BB41" s="1208"/>
      <c r="BC41" s="1208"/>
      <c r="BD41" s="1208"/>
      <c r="BE41" s="1208"/>
      <c r="BF41" s="1208"/>
    </row>
    <row r="42" spans="1:58" ht="16" customHeight="1" x14ac:dyDescent="0.35">
      <c r="A42" s="1382" t="s">
        <v>1126</v>
      </c>
      <c r="B42" s="1154"/>
      <c r="C42" s="1163">
        <v>26</v>
      </c>
      <c r="D42" s="1132"/>
      <c r="E42" s="1379">
        <v>34576.402500000004</v>
      </c>
      <c r="F42" s="1173"/>
      <c r="G42" s="1172">
        <f t="shared" si="0"/>
        <v>3558.7995450000008</v>
      </c>
      <c r="H42" s="1173"/>
      <c r="I42" s="1172">
        <f t="shared" si="1"/>
        <v>8609.5242225000002</v>
      </c>
      <c r="J42" s="1173"/>
      <c r="K42" s="1172">
        <f t="shared" si="2"/>
        <v>46745.402500000004</v>
      </c>
      <c r="L42" s="1173"/>
      <c r="M42" s="1372">
        <f t="shared" si="3"/>
        <v>34576.402500000004</v>
      </c>
      <c r="N42" s="1173"/>
      <c r="O42" s="1173"/>
      <c r="P42" s="1173"/>
      <c r="Q42" s="1172">
        <f t="shared" si="4"/>
        <v>3558.7995450000008</v>
      </c>
      <c r="R42" s="1173"/>
      <c r="S42" s="1172">
        <f t="shared" si="5"/>
        <v>38135.202045000005</v>
      </c>
      <c r="T42" s="1373"/>
      <c r="U42" s="1293"/>
      <c r="V42" s="1293"/>
      <c r="W42" s="1208"/>
      <c r="X42" s="1208"/>
      <c r="Y42" s="1208"/>
      <c r="Z42" s="1208"/>
      <c r="AA42" s="1208"/>
      <c r="AB42" s="1208"/>
      <c r="AC42" s="1208"/>
      <c r="AD42" s="1208"/>
      <c r="AE42" s="1208"/>
      <c r="AF42" s="1208"/>
      <c r="AG42" s="1208"/>
      <c r="AH42" s="1208"/>
      <c r="AI42" s="1208"/>
      <c r="AJ42" s="1208"/>
      <c r="AK42" s="1208"/>
      <c r="AL42" s="1208"/>
      <c r="AM42" s="1208"/>
      <c r="AN42" s="1208"/>
      <c r="AO42" s="1208"/>
      <c r="AP42" s="1208"/>
      <c r="AQ42" s="1208"/>
      <c r="AR42" s="1208"/>
      <c r="AS42" s="1208"/>
      <c r="AT42" s="1208"/>
      <c r="AU42" s="1208"/>
      <c r="AV42" s="1208"/>
      <c r="AW42" s="1208"/>
      <c r="AX42" s="1208"/>
      <c r="AY42" s="1208"/>
      <c r="AZ42" s="1208"/>
      <c r="BA42" s="1208"/>
      <c r="BB42" s="1208"/>
      <c r="BC42" s="1208"/>
      <c r="BD42" s="1208"/>
      <c r="BE42" s="1208"/>
      <c r="BF42" s="1208"/>
    </row>
    <row r="43" spans="1:58" ht="16" customHeight="1" x14ac:dyDescent="0.35">
      <c r="A43" s="1382" t="s">
        <v>1126</v>
      </c>
      <c r="B43" s="1163" t="s">
        <v>1127</v>
      </c>
      <c r="C43" s="1384">
        <v>27</v>
      </c>
      <c r="D43" s="1376"/>
      <c r="E43" s="1379">
        <v>35744.670000000006</v>
      </c>
      <c r="F43" s="1173"/>
      <c r="G43" s="1172">
        <f t="shared" si="0"/>
        <v>3720.0204600000011</v>
      </c>
      <c r="H43" s="1173"/>
      <c r="I43" s="1172">
        <f t="shared" si="1"/>
        <v>8900.4228300000013</v>
      </c>
      <c r="J43" s="1173"/>
      <c r="K43" s="1172">
        <f t="shared" si="2"/>
        <v>48364.670000000006</v>
      </c>
      <c r="L43" s="1173"/>
      <c r="M43" s="1372">
        <f t="shared" si="3"/>
        <v>35744.670000000006</v>
      </c>
      <c r="N43" s="1173"/>
      <c r="O43" s="1173"/>
      <c r="P43" s="1173"/>
      <c r="Q43" s="1172">
        <f t="shared" si="4"/>
        <v>3720.0204600000011</v>
      </c>
      <c r="R43" s="1173"/>
      <c r="S43" s="1172">
        <f t="shared" si="5"/>
        <v>39464.690460000005</v>
      </c>
      <c r="T43" s="1373"/>
      <c r="U43" s="1380"/>
      <c r="V43" s="1380"/>
      <c r="W43" s="1208"/>
      <c r="X43" s="1208"/>
      <c r="Y43" s="1208"/>
      <c r="Z43" s="1208"/>
      <c r="AA43" s="1208"/>
      <c r="AB43" s="1208"/>
      <c r="AC43" s="1208"/>
      <c r="AD43" s="1208"/>
      <c r="AE43" s="1208"/>
      <c r="AF43" s="1208"/>
      <c r="AG43" s="1208"/>
      <c r="AH43" s="1208"/>
      <c r="AI43" s="1208"/>
      <c r="AJ43" s="1208"/>
      <c r="AK43" s="1208"/>
      <c r="AL43" s="1208"/>
      <c r="AM43" s="1208"/>
      <c r="AN43" s="1208"/>
      <c r="AO43" s="1208"/>
      <c r="AP43" s="1208"/>
      <c r="AQ43" s="1208"/>
      <c r="AR43" s="1208"/>
      <c r="AS43" s="1208"/>
      <c r="AT43" s="1208"/>
      <c r="AU43" s="1208"/>
      <c r="AV43" s="1208"/>
      <c r="AW43" s="1208"/>
      <c r="AX43" s="1208"/>
      <c r="AY43" s="1208"/>
      <c r="AZ43" s="1208"/>
      <c r="BA43" s="1208"/>
      <c r="BB43" s="1208"/>
      <c r="BC43" s="1208"/>
      <c r="BD43" s="1208"/>
      <c r="BE43" s="1208"/>
      <c r="BF43" s="1208"/>
    </row>
    <row r="44" spans="1:58" ht="16" customHeight="1" x14ac:dyDescent="0.35">
      <c r="A44" s="1382"/>
      <c r="B44" s="1163" t="s">
        <v>1127</v>
      </c>
      <c r="C44" s="1163">
        <v>28</v>
      </c>
      <c r="D44" s="1132"/>
      <c r="E44" s="1379">
        <v>37122.547500000001</v>
      </c>
      <c r="F44" s="1173"/>
      <c r="G44" s="1172">
        <f t="shared" si="0"/>
        <v>3910.1675550000004</v>
      </c>
      <c r="H44" s="1173"/>
      <c r="I44" s="1172">
        <f t="shared" si="1"/>
        <v>9243.5143275000009</v>
      </c>
      <c r="J44" s="1173"/>
      <c r="K44" s="1172">
        <f t="shared" si="2"/>
        <v>50276.547500000001</v>
      </c>
      <c r="L44" s="1173"/>
      <c r="M44" s="1372">
        <f t="shared" si="3"/>
        <v>37122.547500000001</v>
      </c>
      <c r="N44" s="1173"/>
      <c r="O44" s="1173"/>
      <c r="P44" s="1173"/>
      <c r="Q44" s="1172">
        <f t="shared" si="4"/>
        <v>3910.1675550000004</v>
      </c>
      <c r="R44" s="1173"/>
      <c r="S44" s="1172">
        <f t="shared" si="5"/>
        <v>41032.715055000001</v>
      </c>
      <c r="T44" s="1373"/>
      <c r="U44" s="1293"/>
      <c r="V44" s="1293"/>
      <c r="W44" s="1208"/>
      <c r="X44" s="1208"/>
      <c r="Y44" s="1208"/>
      <c r="Z44" s="1208"/>
      <c r="AA44" s="1208"/>
      <c r="AB44" s="1208"/>
      <c r="AC44" s="1208"/>
      <c r="AD44" s="1208"/>
      <c r="AE44" s="1208"/>
      <c r="AF44" s="1208"/>
      <c r="AG44" s="1208"/>
      <c r="AH44" s="1208"/>
      <c r="AI44" s="1208"/>
      <c r="AJ44" s="1208"/>
      <c r="AK44" s="1208"/>
      <c r="AL44" s="1208"/>
      <c r="AM44" s="1208"/>
      <c r="AN44" s="1208"/>
      <c r="AO44" s="1208"/>
      <c r="AP44" s="1208"/>
      <c r="AQ44" s="1208"/>
      <c r="AR44" s="1208"/>
      <c r="AS44" s="1208"/>
      <c r="AT44" s="1208"/>
      <c r="AU44" s="1208"/>
      <c r="AV44" s="1208"/>
      <c r="AW44" s="1208"/>
      <c r="AX44" s="1208"/>
      <c r="AY44" s="1208"/>
      <c r="AZ44" s="1208"/>
      <c r="BA44" s="1208"/>
      <c r="BB44" s="1208"/>
      <c r="BC44" s="1208"/>
      <c r="BD44" s="1208"/>
      <c r="BE44" s="1208"/>
      <c r="BF44" s="1208"/>
    </row>
    <row r="45" spans="1:58" ht="16" customHeight="1" x14ac:dyDescent="0.35">
      <c r="A45" s="1382"/>
      <c r="B45" s="1154" t="s">
        <v>1127</v>
      </c>
      <c r="C45" s="1163">
        <v>29</v>
      </c>
      <c r="D45" s="1132"/>
      <c r="E45" s="1379">
        <v>38502.480000000003</v>
      </c>
      <c r="F45" s="1173"/>
      <c r="G45" s="1172">
        <f t="shared" si="0"/>
        <v>4100.5982400000012</v>
      </c>
      <c r="H45" s="1173"/>
      <c r="I45" s="1172">
        <f t="shared" si="1"/>
        <v>9587.1175200000016</v>
      </c>
      <c r="J45" s="1173"/>
      <c r="K45" s="1172">
        <f t="shared" si="2"/>
        <v>52190.48</v>
      </c>
      <c r="L45" s="1173"/>
      <c r="M45" s="1372">
        <f t="shared" si="3"/>
        <v>38502.480000000003</v>
      </c>
      <c r="N45" s="1173"/>
      <c r="O45" s="1173"/>
      <c r="P45" s="1173"/>
      <c r="Q45" s="1172">
        <f t="shared" si="4"/>
        <v>4100.5982400000012</v>
      </c>
      <c r="R45" s="1173"/>
      <c r="S45" s="1172">
        <f t="shared" si="5"/>
        <v>42603.078240000003</v>
      </c>
      <c r="T45" s="1373"/>
      <c r="U45" s="1293"/>
      <c r="V45" s="1293"/>
      <c r="W45" s="1208"/>
      <c r="X45" s="1208"/>
      <c r="Y45" s="1208"/>
      <c r="Z45" s="1208"/>
      <c r="AA45" s="1208"/>
      <c r="AB45" s="1208"/>
      <c r="AC45" s="1208"/>
      <c r="AD45" s="1208"/>
      <c r="AE45" s="1208"/>
      <c r="AF45" s="1208"/>
      <c r="AG45" s="1208"/>
      <c r="AH45" s="1208"/>
      <c r="AI45" s="1208"/>
      <c r="AJ45" s="1208"/>
      <c r="AK45" s="1208"/>
      <c r="AL45" s="1208"/>
      <c r="AM45" s="1208"/>
      <c r="AN45" s="1208"/>
      <c r="AO45" s="1208"/>
      <c r="AP45" s="1208"/>
      <c r="AQ45" s="1208"/>
      <c r="AR45" s="1208"/>
      <c r="AS45" s="1208"/>
      <c r="AT45" s="1208"/>
      <c r="AU45" s="1208"/>
      <c r="AV45" s="1208"/>
      <c r="AW45" s="1208"/>
      <c r="AX45" s="1208"/>
      <c r="AY45" s="1208"/>
      <c r="AZ45" s="1208"/>
      <c r="BA45" s="1208"/>
      <c r="BB45" s="1208"/>
      <c r="BC45" s="1208"/>
      <c r="BD45" s="1208"/>
      <c r="BE45" s="1208"/>
      <c r="BF45" s="1208"/>
    </row>
    <row r="46" spans="1:58" ht="16" customHeight="1" x14ac:dyDescent="0.35">
      <c r="A46" s="1382" t="s">
        <v>1128</v>
      </c>
      <c r="B46" s="1163" t="s">
        <v>1127</v>
      </c>
      <c r="C46" s="1384">
        <v>30</v>
      </c>
      <c r="D46" s="1376"/>
      <c r="E46" s="1379">
        <v>39880.357500000006</v>
      </c>
      <c r="F46" s="1173"/>
      <c r="G46" s="1172">
        <f t="shared" si="0"/>
        <v>4290.7453350000014</v>
      </c>
      <c r="H46" s="1173"/>
      <c r="I46" s="1172">
        <f t="shared" si="1"/>
        <v>9930.2090175000012</v>
      </c>
      <c r="J46" s="1173"/>
      <c r="K46" s="1172">
        <f t="shared" si="2"/>
        <v>54101.357500000006</v>
      </c>
      <c r="L46" s="1173"/>
      <c r="M46" s="1372">
        <f t="shared" si="3"/>
        <v>39880.357500000006</v>
      </c>
      <c r="N46" s="1173"/>
      <c r="O46" s="1173"/>
      <c r="P46" s="1173"/>
      <c r="Q46" s="1172">
        <f t="shared" si="4"/>
        <v>4290.7453350000014</v>
      </c>
      <c r="R46" s="1173"/>
      <c r="S46" s="1172">
        <f t="shared" si="5"/>
        <v>44171.102835000005</v>
      </c>
      <c r="T46" s="1373"/>
      <c r="U46" s="1380"/>
      <c r="V46" s="1380"/>
      <c r="W46" s="1208"/>
      <c r="X46" s="1208"/>
      <c r="Y46" s="1208"/>
      <c r="Z46" s="1208"/>
      <c r="AA46" s="1208"/>
      <c r="AB46" s="1208"/>
      <c r="AC46" s="1208"/>
      <c r="AD46" s="1208"/>
      <c r="AE46" s="1208"/>
      <c r="AF46" s="1208"/>
      <c r="AG46" s="1208"/>
      <c r="AH46" s="1208"/>
      <c r="AI46" s="1208"/>
      <c r="AJ46" s="1208"/>
      <c r="AK46" s="1208"/>
      <c r="AL46" s="1208"/>
      <c r="AM46" s="1208"/>
      <c r="AN46" s="1208"/>
      <c r="AO46" s="1208"/>
      <c r="AP46" s="1208"/>
      <c r="AQ46" s="1208"/>
      <c r="AR46" s="1208"/>
      <c r="AS46" s="1208"/>
      <c r="AT46" s="1208"/>
      <c r="AU46" s="1208"/>
      <c r="AV46" s="1208"/>
      <c r="AW46" s="1208"/>
      <c r="AX46" s="1208"/>
      <c r="AY46" s="1208"/>
      <c r="AZ46" s="1208"/>
      <c r="BA46" s="1208"/>
      <c r="BB46" s="1208"/>
      <c r="BC46" s="1208"/>
      <c r="BD46" s="1208"/>
      <c r="BE46" s="1208"/>
      <c r="BF46" s="1208"/>
    </row>
    <row r="47" spans="1:58" ht="16" customHeight="1" x14ac:dyDescent="0.35">
      <c r="A47" s="1382" t="s">
        <v>1128</v>
      </c>
      <c r="B47" s="1163"/>
      <c r="C47" s="1163">
        <v>31</v>
      </c>
      <c r="D47" s="1132"/>
      <c r="E47" s="1379">
        <v>41540.797500000001</v>
      </c>
      <c r="F47" s="1173"/>
      <c r="G47" s="1172">
        <f t="shared" si="0"/>
        <v>4519.8860550000009</v>
      </c>
      <c r="H47" s="1173"/>
      <c r="I47" s="1172">
        <f t="shared" si="1"/>
        <v>10343.6585775</v>
      </c>
      <c r="J47" s="1173"/>
      <c r="K47" s="1172">
        <f t="shared" si="2"/>
        <v>56404.797500000001</v>
      </c>
      <c r="L47" s="1173"/>
      <c r="M47" s="1372">
        <f t="shared" si="3"/>
        <v>41540.797500000001</v>
      </c>
      <c r="N47" s="1173"/>
      <c r="O47" s="1173"/>
      <c r="P47" s="1173"/>
      <c r="Q47" s="1172">
        <f t="shared" si="4"/>
        <v>4519.8860550000009</v>
      </c>
      <c r="R47" s="1173"/>
      <c r="S47" s="1172">
        <f t="shared" si="5"/>
        <v>46060.683555000003</v>
      </c>
      <c r="T47" s="1373"/>
      <c r="U47" s="1293"/>
      <c r="V47" s="1293"/>
      <c r="W47" s="1208"/>
      <c r="X47" s="1208"/>
      <c r="Y47" s="1208"/>
      <c r="Z47" s="1208"/>
      <c r="AA47" s="1208"/>
      <c r="AB47" s="1208"/>
      <c r="AC47" s="1208"/>
      <c r="AD47" s="1208"/>
      <c r="AE47" s="1208"/>
      <c r="AF47" s="1208"/>
      <c r="AG47" s="1208"/>
      <c r="AH47" s="1208"/>
      <c r="AI47" s="1208"/>
      <c r="AJ47" s="1208"/>
      <c r="AK47" s="1208"/>
      <c r="AL47" s="1208"/>
      <c r="AM47" s="1208"/>
      <c r="AN47" s="1208"/>
      <c r="AO47" s="1208"/>
      <c r="AP47" s="1208"/>
      <c r="AQ47" s="1208"/>
      <c r="AR47" s="1208"/>
      <c r="AS47" s="1208"/>
      <c r="AT47" s="1208"/>
      <c r="AU47" s="1208"/>
      <c r="AV47" s="1208"/>
      <c r="AW47" s="1208"/>
      <c r="AX47" s="1208"/>
      <c r="AY47" s="1208"/>
      <c r="AZ47" s="1208"/>
      <c r="BA47" s="1208"/>
      <c r="BB47" s="1208"/>
      <c r="BC47" s="1208"/>
      <c r="BD47" s="1208"/>
      <c r="BE47" s="1208"/>
      <c r="BF47" s="1208"/>
    </row>
    <row r="48" spans="1:58" ht="16" customHeight="1" x14ac:dyDescent="0.35">
      <c r="A48" s="1382" t="s">
        <v>1128</v>
      </c>
      <c r="B48" s="1154"/>
      <c r="C48" s="1163">
        <v>32</v>
      </c>
      <c r="D48" s="1132"/>
      <c r="E48" s="1379">
        <v>43201.237500000003</v>
      </c>
      <c r="F48" s="1173"/>
      <c r="G48" s="1172">
        <f t="shared" si="0"/>
        <v>4749.0267750000012</v>
      </c>
      <c r="H48" s="1173"/>
      <c r="I48" s="1172">
        <f t="shared" si="1"/>
        <v>10757.108137500001</v>
      </c>
      <c r="J48" s="1173"/>
      <c r="K48" s="1172">
        <f t="shared" si="2"/>
        <v>58707.237500000003</v>
      </c>
      <c r="L48" s="1173"/>
      <c r="M48" s="1372">
        <f t="shared" si="3"/>
        <v>43201.237500000003</v>
      </c>
      <c r="N48" s="1173"/>
      <c r="O48" s="1173"/>
      <c r="P48" s="1173"/>
      <c r="Q48" s="1172">
        <f t="shared" si="4"/>
        <v>4749.0267750000012</v>
      </c>
      <c r="R48" s="1173"/>
      <c r="S48" s="1172">
        <f t="shared" si="5"/>
        <v>47950.264275000001</v>
      </c>
      <c r="T48" s="1373"/>
      <c r="U48" s="1293"/>
      <c r="V48" s="1293"/>
      <c r="W48" s="1208"/>
      <c r="X48" s="1208"/>
      <c r="Y48" s="1208"/>
      <c r="Z48" s="1208"/>
      <c r="AA48" s="1208"/>
      <c r="AB48" s="1208"/>
      <c r="AC48" s="1208"/>
      <c r="AD48" s="1208"/>
      <c r="AE48" s="1208"/>
      <c r="AF48" s="1208"/>
      <c r="AG48" s="1208"/>
      <c r="AH48" s="1208"/>
      <c r="AI48" s="1208"/>
      <c r="AJ48" s="1208"/>
      <c r="AK48" s="1208"/>
      <c r="AL48" s="1208"/>
      <c r="AM48" s="1208"/>
      <c r="AN48" s="1208"/>
      <c r="AO48" s="1208"/>
      <c r="AP48" s="1208"/>
      <c r="AQ48" s="1208"/>
      <c r="AR48" s="1208"/>
      <c r="AS48" s="1208"/>
      <c r="AT48" s="1208"/>
      <c r="AU48" s="1208"/>
      <c r="AV48" s="1208"/>
      <c r="AW48" s="1208"/>
      <c r="AX48" s="1208"/>
      <c r="AY48" s="1208"/>
      <c r="AZ48" s="1208"/>
      <c r="BA48" s="1208"/>
      <c r="BB48" s="1208"/>
      <c r="BC48" s="1208"/>
      <c r="BD48" s="1208"/>
      <c r="BE48" s="1208"/>
      <c r="BF48" s="1208"/>
    </row>
    <row r="49" spans="1:58" ht="16" customHeight="1" x14ac:dyDescent="0.35">
      <c r="A49" s="1385" t="s">
        <v>1128</v>
      </c>
      <c r="B49" s="1163" t="s">
        <v>1129</v>
      </c>
      <c r="C49" s="1384">
        <v>33</v>
      </c>
      <c r="D49" s="1376"/>
      <c r="E49" s="1379">
        <v>44862.705000000002</v>
      </c>
      <c r="F49" s="1173"/>
      <c r="G49" s="1172">
        <f t="shared" si="0"/>
        <v>4978.3092900000011</v>
      </c>
      <c r="H49" s="1173"/>
      <c r="I49" s="1172">
        <f t="shared" si="1"/>
        <v>11170.813545000001</v>
      </c>
      <c r="J49" s="1173"/>
      <c r="K49" s="1172">
        <f t="shared" si="2"/>
        <v>61011.705000000002</v>
      </c>
      <c r="L49" s="1173"/>
      <c r="M49" s="1372">
        <f t="shared" si="3"/>
        <v>44862.705000000002</v>
      </c>
      <c r="N49" s="1173"/>
      <c r="O49" s="1173"/>
      <c r="P49" s="1173"/>
      <c r="Q49" s="1172">
        <f t="shared" si="4"/>
        <v>4978.3092900000011</v>
      </c>
      <c r="R49" s="1173"/>
      <c r="S49" s="1172">
        <f t="shared" si="5"/>
        <v>49841.014290000006</v>
      </c>
      <c r="T49" s="1373"/>
      <c r="U49" s="1380"/>
      <c r="V49" s="1380"/>
      <c r="W49" s="1208"/>
      <c r="X49" s="1208"/>
      <c r="Y49" s="1208"/>
      <c r="Z49" s="1208"/>
      <c r="AA49" s="1208"/>
      <c r="AB49" s="1208"/>
      <c r="AC49" s="1208"/>
      <c r="AD49" s="1208"/>
      <c r="AE49" s="1208"/>
      <c r="AF49" s="1208"/>
      <c r="AG49" s="1208"/>
      <c r="AH49" s="1208"/>
      <c r="AI49" s="1208"/>
      <c r="AJ49" s="1208"/>
      <c r="AK49" s="1208"/>
      <c r="AL49" s="1208"/>
      <c r="AM49" s="1208"/>
      <c r="AN49" s="1208"/>
      <c r="AO49" s="1208"/>
      <c r="AP49" s="1208"/>
      <c r="AQ49" s="1208"/>
      <c r="AR49" s="1208"/>
      <c r="AS49" s="1208"/>
      <c r="AT49" s="1208"/>
      <c r="AU49" s="1208"/>
      <c r="AV49" s="1208"/>
      <c r="AW49" s="1208"/>
      <c r="AX49" s="1208"/>
      <c r="AY49" s="1208"/>
      <c r="AZ49" s="1208"/>
      <c r="BA49" s="1208"/>
      <c r="BB49" s="1208"/>
      <c r="BC49" s="1208"/>
      <c r="BD49" s="1208"/>
      <c r="BE49" s="1208"/>
      <c r="BF49" s="1208"/>
    </row>
    <row r="50" spans="1:58" ht="16" customHeight="1" x14ac:dyDescent="0.35">
      <c r="A50" s="1386"/>
      <c r="B50" s="1163" t="s">
        <v>1129</v>
      </c>
      <c r="C50" s="1163">
        <v>34</v>
      </c>
      <c r="D50" s="1132"/>
      <c r="E50" s="1379">
        <v>47179.717500000006</v>
      </c>
      <c r="F50" s="1173"/>
      <c r="G50" s="1172">
        <f t="shared" si="0"/>
        <v>5298.0570150000012</v>
      </c>
      <c r="H50" s="1173"/>
      <c r="I50" s="1172">
        <f t="shared" si="1"/>
        <v>11747.749657500002</v>
      </c>
      <c r="J50" s="1173"/>
      <c r="K50" s="1172">
        <f t="shared" si="2"/>
        <v>64225.717500000006</v>
      </c>
      <c r="L50" s="1173"/>
      <c r="M50" s="1372">
        <f t="shared" si="3"/>
        <v>47179.717500000006</v>
      </c>
      <c r="N50" s="1173"/>
      <c r="O50" s="1173"/>
      <c r="P50" s="1173"/>
      <c r="Q50" s="1172">
        <f t="shared" si="4"/>
        <v>5298.0570150000012</v>
      </c>
      <c r="R50" s="1173"/>
      <c r="S50" s="1172">
        <f t="shared" si="5"/>
        <v>52477.774515000005</v>
      </c>
      <c r="T50" s="1373"/>
      <c r="U50" s="1293"/>
      <c r="V50" s="1293"/>
      <c r="W50" s="1208"/>
      <c r="X50" s="1208"/>
      <c r="Y50" s="1208"/>
      <c r="Z50" s="1208"/>
      <c r="AA50" s="1208"/>
      <c r="AB50" s="1208"/>
      <c r="AC50" s="1208"/>
      <c r="AD50" s="1208"/>
      <c r="AE50" s="1208"/>
      <c r="AF50" s="1208"/>
      <c r="AG50" s="1208"/>
      <c r="AH50" s="1208"/>
      <c r="AI50" s="1208"/>
      <c r="AJ50" s="1208"/>
      <c r="AK50" s="1208"/>
      <c r="AL50" s="1208"/>
      <c r="AM50" s="1208"/>
      <c r="AN50" s="1208"/>
      <c r="AO50" s="1208"/>
      <c r="AP50" s="1208"/>
      <c r="AQ50" s="1208"/>
      <c r="AR50" s="1208"/>
      <c r="AS50" s="1208"/>
      <c r="AT50" s="1208"/>
      <c r="AU50" s="1208"/>
      <c r="AV50" s="1208"/>
      <c r="AW50" s="1208"/>
      <c r="AX50" s="1208"/>
      <c r="AY50" s="1208"/>
      <c r="AZ50" s="1208"/>
      <c r="BA50" s="1208"/>
      <c r="BB50" s="1208"/>
      <c r="BC50" s="1208"/>
      <c r="BD50" s="1208"/>
      <c r="BE50" s="1208"/>
      <c r="BF50" s="1208"/>
    </row>
    <row r="51" spans="1:58" ht="16" customHeight="1" x14ac:dyDescent="0.35">
      <c r="A51" s="1385"/>
      <c r="B51" s="1154" t="s">
        <v>1129</v>
      </c>
      <c r="C51" s="1163">
        <v>35</v>
      </c>
      <c r="D51" s="1132"/>
      <c r="E51" s="1379">
        <v>49497.757500000007</v>
      </c>
      <c r="F51" s="1173"/>
      <c r="G51" s="1172">
        <f t="shared" si="0"/>
        <v>5617.9465350000019</v>
      </c>
      <c r="H51" s="1173"/>
      <c r="I51" s="1172">
        <f t="shared" si="1"/>
        <v>12324.941617500002</v>
      </c>
      <c r="J51" s="1173"/>
      <c r="K51" s="1172">
        <f t="shared" si="2"/>
        <v>67440.757500000007</v>
      </c>
      <c r="L51" s="1173"/>
      <c r="M51" s="1372">
        <f t="shared" si="3"/>
        <v>49497.757500000007</v>
      </c>
      <c r="N51" s="1173"/>
      <c r="O51" s="1173"/>
      <c r="P51" s="1173"/>
      <c r="Q51" s="1172">
        <f t="shared" si="4"/>
        <v>5617.9465350000019</v>
      </c>
      <c r="R51" s="1173"/>
      <c r="S51" s="1172">
        <f t="shared" si="5"/>
        <v>55115.70403500001</v>
      </c>
      <c r="T51" s="1373"/>
      <c r="U51" s="1293"/>
      <c r="V51" s="1293"/>
      <c r="W51" s="1208"/>
      <c r="X51" s="1208"/>
      <c r="Y51" s="1208"/>
      <c r="Z51" s="1208"/>
      <c r="AA51" s="1208"/>
      <c r="AB51" s="1208"/>
      <c r="AC51" s="1208"/>
      <c r="AD51" s="1208"/>
      <c r="AE51" s="1208"/>
      <c r="AF51" s="1208"/>
      <c r="AG51" s="1208"/>
      <c r="AH51" s="1208"/>
      <c r="AI51" s="1208"/>
      <c r="AJ51" s="1208"/>
      <c r="AK51" s="1208"/>
      <c r="AL51" s="1208"/>
      <c r="AM51" s="1208"/>
      <c r="AN51" s="1208"/>
      <c r="AO51" s="1208"/>
      <c r="AP51" s="1208"/>
      <c r="AQ51" s="1208"/>
      <c r="AR51" s="1208"/>
      <c r="AS51" s="1208"/>
      <c r="AT51" s="1208"/>
      <c r="AU51" s="1208"/>
      <c r="AV51" s="1208"/>
      <c r="AW51" s="1208"/>
      <c r="AX51" s="1208"/>
      <c r="AY51" s="1208"/>
      <c r="AZ51" s="1208"/>
      <c r="BA51" s="1208"/>
      <c r="BB51" s="1208"/>
      <c r="BC51" s="1208"/>
      <c r="BD51" s="1208"/>
      <c r="BE51" s="1208"/>
      <c r="BF51" s="1208"/>
    </row>
    <row r="52" spans="1:58" ht="16" customHeight="1" x14ac:dyDescent="0.35">
      <c r="A52" s="1385" t="s">
        <v>1130</v>
      </c>
      <c r="B52" s="1163" t="s">
        <v>1129</v>
      </c>
      <c r="C52" s="1163">
        <v>36</v>
      </c>
      <c r="D52" s="1132"/>
      <c r="E52" s="1379">
        <v>51816.825000000004</v>
      </c>
      <c r="F52" s="1173"/>
      <c r="G52" s="1172">
        <f t="shared" si="0"/>
        <v>5937.9778500000011</v>
      </c>
      <c r="H52" s="1173"/>
      <c r="I52" s="1172">
        <f t="shared" si="1"/>
        <v>12902.389425000001</v>
      </c>
      <c r="J52" s="1173"/>
      <c r="K52" s="1172">
        <f t="shared" si="2"/>
        <v>70656.825000000012</v>
      </c>
      <c r="L52" s="1173"/>
      <c r="M52" s="1372">
        <f t="shared" si="3"/>
        <v>51816.825000000004</v>
      </c>
      <c r="N52" s="1173"/>
      <c r="O52" s="1173"/>
      <c r="P52" s="1173"/>
      <c r="Q52" s="1172">
        <f t="shared" si="4"/>
        <v>5937.9778500000011</v>
      </c>
      <c r="R52" s="1173"/>
      <c r="S52" s="1172">
        <f t="shared" si="5"/>
        <v>57754.802850000007</v>
      </c>
      <c r="T52" s="1373"/>
      <c r="U52" s="1293"/>
      <c r="V52" s="1293"/>
      <c r="W52" s="1208"/>
      <c r="X52" s="1208"/>
      <c r="Y52" s="1208"/>
      <c r="Z52" s="1208"/>
      <c r="AA52" s="1208"/>
      <c r="AB52" s="1208"/>
      <c r="AC52" s="1208"/>
      <c r="AD52" s="1208"/>
      <c r="AE52" s="1208"/>
      <c r="AF52" s="1208"/>
      <c r="AG52" s="1208"/>
      <c r="AH52" s="1208"/>
      <c r="AI52" s="1208"/>
      <c r="AJ52" s="1208"/>
      <c r="AK52" s="1208"/>
      <c r="AL52" s="1208"/>
      <c r="AM52" s="1208"/>
      <c r="AN52" s="1208"/>
      <c r="AO52" s="1208"/>
      <c r="AP52" s="1208"/>
      <c r="AQ52" s="1208"/>
      <c r="AR52" s="1208"/>
      <c r="AS52" s="1208"/>
      <c r="AT52" s="1208"/>
      <c r="AU52" s="1208"/>
      <c r="AV52" s="1208"/>
      <c r="AW52" s="1208"/>
      <c r="AX52" s="1208"/>
      <c r="AY52" s="1208"/>
      <c r="AZ52" s="1208"/>
      <c r="BA52" s="1208"/>
      <c r="BB52" s="1208"/>
      <c r="BC52" s="1208"/>
      <c r="BD52" s="1208"/>
      <c r="BE52" s="1208"/>
      <c r="BF52" s="1208"/>
    </row>
    <row r="53" spans="1:58" ht="16" customHeight="1" x14ac:dyDescent="0.35">
      <c r="A53" s="1385" t="s">
        <v>1130</v>
      </c>
      <c r="B53" s="1163"/>
      <c r="C53" s="1163">
        <v>37</v>
      </c>
      <c r="D53" s="1132"/>
      <c r="E53" s="1379">
        <v>53555.355000000003</v>
      </c>
      <c r="F53" s="1173"/>
      <c r="G53" s="1172">
        <f t="shared" si="0"/>
        <v>6177.8949900000007</v>
      </c>
      <c r="H53" s="1173"/>
      <c r="I53" s="1172">
        <f t="shared" si="1"/>
        <v>13335.283395</v>
      </c>
      <c r="J53" s="1173"/>
      <c r="K53" s="1172">
        <f t="shared" si="2"/>
        <v>73068.35500000001</v>
      </c>
      <c r="L53" s="1173"/>
      <c r="M53" s="1372">
        <f t="shared" si="3"/>
        <v>53555.355000000003</v>
      </c>
      <c r="N53" s="1173"/>
      <c r="O53" s="1173"/>
      <c r="P53" s="1173"/>
      <c r="Q53" s="1172">
        <f t="shared" si="4"/>
        <v>6177.8949900000007</v>
      </c>
      <c r="R53" s="1173"/>
      <c r="S53" s="1172">
        <f t="shared" si="5"/>
        <v>59733.249990000004</v>
      </c>
      <c r="T53" s="1373"/>
      <c r="U53" s="1293"/>
      <c r="V53" s="1293"/>
      <c r="W53" s="1208"/>
      <c r="X53" s="1208"/>
      <c r="Y53" s="1208"/>
      <c r="Z53" s="1208"/>
      <c r="AA53" s="1208"/>
      <c r="AB53" s="1208"/>
      <c r="AC53" s="1208"/>
      <c r="AD53" s="1208"/>
      <c r="AE53" s="1208"/>
      <c r="AF53" s="1208"/>
      <c r="AG53" s="1208"/>
      <c r="AH53" s="1208"/>
      <c r="AI53" s="1208"/>
      <c r="AJ53" s="1208"/>
      <c r="AK53" s="1208"/>
      <c r="AL53" s="1208"/>
      <c r="AM53" s="1208"/>
      <c r="AN53" s="1208"/>
      <c r="AO53" s="1208"/>
      <c r="AP53" s="1208"/>
      <c r="AQ53" s="1208"/>
      <c r="AR53" s="1208"/>
      <c r="AS53" s="1208"/>
      <c r="AT53" s="1208"/>
      <c r="AU53" s="1208"/>
      <c r="AV53" s="1208"/>
      <c r="AW53" s="1208"/>
      <c r="AX53" s="1208"/>
      <c r="AY53" s="1208"/>
      <c r="AZ53" s="1208"/>
      <c r="BA53" s="1208"/>
      <c r="BB53" s="1208"/>
      <c r="BC53" s="1208"/>
      <c r="BD53" s="1208"/>
      <c r="BE53" s="1208"/>
      <c r="BF53" s="1208"/>
    </row>
    <row r="54" spans="1:58" ht="16" customHeight="1" x14ac:dyDescent="0.35">
      <c r="A54" s="1385" t="s">
        <v>1130</v>
      </c>
      <c r="B54" s="1154"/>
      <c r="C54" s="1163">
        <v>38</v>
      </c>
      <c r="D54" s="1132"/>
      <c r="E54" s="1379">
        <v>55291.83</v>
      </c>
      <c r="F54" s="1173"/>
      <c r="G54" s="1172">
        <f t="shared" si="0"/>
        <v>6417.5285400000012</v>
      </c>
      <c r="H54" s="1173"/>
      <c r="I54" s="1172">
        <f t="shared" si="1"/>
        <v>13767.66567</v>
      </c>
      <c r="J54" s="1173"/>
      <c r="K54" s="1172">
        <f t="shared" si="2"/>
        <v>75477.83</v>
      </c>
      <c r="L54" s="1173"/>
      <c r="M54" s="1372">
        <f t="shared" si="3"/>
        <v>55291.83</v>
      </c>
      <c r="N54" s="1173"/>
      <c r="O54" s="1173"/>
      <c r="P54" s="1173"/>
      <c r="Q54" s="1172">
        <f t="shared" si="4"/>
        <v>6417.5285400000012</v>
      </c>
      <c r="R54" s="1173"/>
      <c r="S54" s="1172">
        <f t="shared" si="5"/>
        <v>61709.358540000001</v>
      </c>
      <c r="T54" s="1373"/>
      <c r="U54" s="1293"/>
      <c r="V54" s="1293"/>
      <c r="W54" s="1208"/>
      <c r="X54" s="1208"/>
      <c r="Y54" s="1208"/>
      <c r="Z54" s="1208"/>
      <c r="AA54" s="1208"/>
      <c r="AB54" s="1208"/>
      <c r="AC54" s="1208"/>
      <c r="AD54" s="1208"/>
      <c r="AE54" s="1208"/>
      <c r="AF54" s="1208"/>
      <c r="AG54" s="1208"/>
      <c r="AH54" s="1208"/>
      <c r="AI54" s="1208"/>
      <c r="AJ54" s="1208"/>
      <c r="AK54" s="1208"/>
      <c r="AL54" s="1208"/>
      <c r="AM54" s="1208"/>
      <c r="AN54" s="1208"/>
      <c r="AO54" s="1208"/>
      <c r="AP54" s="1208"/>
      <c r="AQ54" s="1208"/>
      <c r="AR54" s="1208"/>
      <c r="AS54" s="1208"/>
      <c r="AT54" s="1208"/>
      <c r="AU54" s="1208"/>
      <c r="AV54" s="1208"/>
      <c r="AW54" s="1208"/>
      <c r="AX54" s="1208"/>
      <c r="AY54" s="1208"/>
      <c r="AZ54" s="1208"/>
      <c r="BA54" s="1208"/>
      <c r="BB54" s="1208"/>
      <c r="BC54" s="1208"/>
      <c r="BD54" s="1208"/>
      <c r="BE54" s="1208"/>
      <c r="BF54" s="1208"/>
    </row>
    <row r="55" spans="1:58" ht="16" customHeight="1" x14ac:dyDescent="0.35">
      <c r="A55" s="1385" t="s">
        <v>1130</v>
      </c>
      <c r="B55" s="1163" t="s">
        <v>1131</v>
      </c>
      <c r="C55" s="1163">
        <v>39</v>
      </c>
      <c r="D55" s="1132"/>
      <c r="E55" s="1379">
        <v>57029.332500000004</v>
      </c>
      <c r="F55" s="1173"/>
      <c r="G55" s="1172">
        <f t="shared" si="0"/>
        <v>6657.3038850000012</v>
      </c>
      <c r="H55" s="1173"/>
      <c r="I55" s="1172">
        <f t="shared" si="1"/>
        <v>14200.303792500001</v>
      </c>
      <c r="J55" s="1173"/>
      <c r="K55" s="1172">
        <f t="shared" si="2"/>
        <v>77886.332500000004</v>
      </c>
      <c r="L55" s="1173"/>
      <c r="M55" s="1372">
        <f t="shared" si="3"/>
        <v>57029.332500000004</v>
      </c>
      <c r="N55" s="1173"/>
      <c r="O55" s="1173"/>
      <c r="P55" s="1173"/>
      <c r="Q55" s="1172">
        <f t="shared" si="4"/>
        <v>6657.3038850000012</v>
      </c>
      <c r="R55" s="1173"/>
      <c r="S55" s="1172">
        <f t="shared" si="5"/>
        <v>63686.636385000005</v>
      </c>
      <c r="T55" s="1373"/>
      <c r="U55" s="1293"/>
      <c r="V55" s="1293"/>
      <c r="W55" s="1208"/>
      <c r="X55" s="1208"/>
      <c r="Y55" s="1208"/>
      <c r="Z55" s="1208"/>
      <c r="AA55" s="1208"/>
      <c r="AB55" s="1208"/>
      <c r="AC55" s="1208"/>
      <c r="AD55" s="1208"/>
      <c r="AE55" s="1208"/>
      <c r="AF55" s="1208"/>
      <c r="AG55" s="1208"/>
      <c r="AH55" s="1208"/>
      <c r="AI55" s="1208"/>
      <c r="AJ55" s="1208"/>
      <c r="AK55" s="1208"/>
      <c r="AL55" s="1208"/>
      <c r="AM55" s="1208"/>
      <c r="AN55" s="1208"/>
      <c r="AO55" s="1208"/>
      <c r="AP55" s="1208"/>
      <c r="AQ55" s="1208"/>
      <c r="AR55" s="1208"/>
      <c r="AS55" s="1208"/>
      <c r="AT55" s="1208"/>
      <c r="AU55" s="1208"/>
      <c r="AV55" s="1208"/>
      <c r="AW55" s="1208"/>
      <c r="AX55" s="1208"/>
      <c r="AY55" s="1208"/>
      <c r="AZ55" s="1208"/>
      <c r="BA55" s="1208"/>
      <c r="BB55" s="1208"/>
      <c r="BC55" s="1208"/>
      <c r="BD55" s="1208"/>
      <c r="BE55" s="1208"/>
      <c r="BF55" s="1208"/>
    </row>
    <row r="56" spans="1:58" ht="16" customHeight="1" x14ac:dyDescent="0.35">
      <c r="A56" s="1385"/>
      <c r="B56" s="1163" t="s">
        <v>1131</v>
      </c>
      <c r="C56" s="1163">
        <v>40</v>
      </c>
      <c r="D56" s="1132"/>
      <c r="E56" s="1379">
        <v>58766.835000000006</v>
      </c>
      <c r="F56" s="1173"/>
      <c r="G56" s="1172">
        <f t="shared" si="0"/>
        <v>6897.0792300000012</v>
      </c>
      <c r="H56" s="1173"/>
      <c r="I56" s="1172">
        <f t="shared" si="1"/>
        <v>14632.941915000001</v>
      </c>
      <c r="J56" s="1173"/>
      <c r="K56" s="1172">
        <f t="shared" si="2"/>
        <v>80296.835000000006</v>
      </c>
      <c r="L56" s="1173"/>
      <c r="M56" s="1372">
        <f t="shared" si="3"/>
        <v>58766.835000000006</v>
      </c>
      <c r="N56" s="1173"/>
      <c r="O56" s="1173"/>
      <c r="P56" s="1173"/>
      <c r="Q56" s="1172">
        <f t="shared" si="4"/>
        <v>6897.0792300000012</v>
      </c>
      <c r="R56" s="1173"/>
      <c r="S56" s="1172">
        <f t="shared" si="5"/>
        <v>65663.914230000009</v>
      </c>
      <c r="T56" s="1373"/>
      <c r="U56" s="1293"/>
      <c r="V56" s="1293"/>
      <c r="W56" s="1208"/>
      <c r="X56" s="1208"/>
      <c r="Y56" s="1208"/>
      <c r="Z56" s="1208"/>
      <c r="AA56" s="1208"/>
      <c r="AB56" s="1208"/>
      <c r="AC56" s="1208"/>
      <c r="AD56" s="1208"/>
      <c r="AE56" s="1208"/>
      <c r="AF56" s="1208"/>
      <c r="AG56" s="1208"/>
      <c r="AH56" s="1208"/>
      <c r="AI56" s="1208"/>
      <c r="AJ56" s="1208"/>
      <c r="AK56" s="1208"/>
      <c r="AL56" s="1208"/>
      <c r="AM56" s="1208"/>
      <c r="AN56" s="1208"/>
      <c r="AO56" s="1208"/>
      <c r="AP56" s="1208"/>
      <c r="AQ56" s="1208"/>
      <c r="AR56" s="1208"/>
      <c r="AS56" s="1208"/>
      <c r="AT56" s="1208"/>
      <c r="AU56" s="1208"/>
      <c r="AV56" s="1208"/>
      <c r="AW56" s="1208"/>
      <c r="AX56" s="1208"/>
      <c r="AY56" s="1208"/>
      <c r="AZ56" s="1208"/>
      <c r="BA56" s="1208"/>
      <c r="BB56" s="1208"/>
      <c r="BC56" s="1208"/>
      <c r="BD56" s="1208"/>
      <c r="BE56" s="1208"/>
      <c r="BF56" s="1208"/>
    </row>
    <row r="57" spans="1:58" ht="16" customHeight="1" x14ac:dyDescent="0.35">
      <c r="A57" s="1385"/>
      <c r="B57" s="1154" t="s">
        <v>1131</v>
      </c>
      <c r="C57" s="1163">
        <v>41</v>
      </c>
      <c r="D57" s="1132"/>
      <c r="E57" s="1379">
        <v>60506.392500000002</v>
      </c>
      <c r="F57" s="1173"/>
      <c r="G57" s="1172">
        <f t="shared" si="0"/>
        <v>7137.1381650000012</v>
      </c>
      <c r="H57" s="1173"/>
      <c r="I57" s="1172">
        <f t="shared" si="1"/>
        <v>15066.091732500001</v>
      </c>
      <c r="J57" s="1173"/>
      <c r="K57" s="1172">
        <f t="shared" si="2"/>
        <v>82709.392500000002</v>
      </c>
      <c r="L57" s="1173"/>
      <c r="M57" s="1372">
        <f t="shared" si="3"/>
        <v>60506.392500000002</v>
      </c>
      <c r="N57" s="1173"/>
      <c r="O57" s="1173"/>
      <c r="P57" s="1173"/>
      <c r="Q57" s="1172">
        <f t="shared" si="4"/>
        <v>7137.1381650000012</v>
      </c>
      <c r="R57" s="1173"/>
      <c r="S57" s="1172">
        <f t="shared" si="5"/>
        <v>67643.530664999998</v>
      </c>
      <c r="T57" s="1373"/>
      <c r="U57" s="1293"/>
      <c r="V57" s="1293"/>
      <c r="W57" s="1208"/>
      <c r="X57" s="1208"/>
      <c r="Y57" s="1208"/>
      <c r="Z57" s="1208"/>
      <c r="AA57" s="1208"/>
      <c r="AB57" s="1208"/>
      <c r="AC57" s="1208"/>
      <c r="AD57" s="1208"/>
      <c r="AE57" s="1208"/>
      <c r="AF57" s="1208"/>
      <c r="AG57" s="1208"/>
      <c r="AH57" s="1208"/>
      <c r="AI57" s="1208"/>
      <c r="AJ57" s="1208"/>
      <c r="AK57" s="1208"/>
      <c r="AL57" s="1208"/>
      <c r="AM57" s="1208"/>
      <c r="AN57" s="1208"/>
      <c r="AO57" s="1208"/>
      <c r="AP57" s="1208"/>
      <c r="AQ57" s="1208"/>
      <c r="AR57" s="1208"/>
      <c r="AS57" s="1208"/>
      <c r="AT57" s="1208"/>
      <c r="AU57" s="1208"/>
      <c r="AV57" s="1208"/>
      <c r="AW57" s="1208"/>
      <c r="AX57" s="1208"/>
      <c r="AY57" s="1208"/>
      <c r="AZ57" s="1208"/>
      <c r="BA57" s="1208"/>
      <c r="BB57" s="1208"/>
      <c r="BC57" s="1208"/>
      <c r="BD57" s="1208"/>
      <c r="BE57" s="1208"/>
      <c r="BF57" s="1208"/>
    </row>
    <row r="58" spans="1:58" ht="16" customHeight="1" x14ac:dyDescent="0.35">
      <c r="A58" s="1385" t="s">
        <v>1132</v>
      </c>
      <c r="B58" s="1163" t="s">
        <v>1131</v>
      </c>
      <c r="C58" s="1163">
        <v>42</v>
      </c>
      <c r="D58" s="1132"/>
      <c r="E58" s="1379">
        <v>62243.895000000004</v>
      </c>
      <c r="F58" s="1173"/>
      <c r="G58" s="1172">
        <f t="shared" si="0"/>
        <v>7376.9135100000012</v>
      </c>
      <c r="H58" s="1173"/>
      <c r="I58" s="1172">
        <f t="shared" si="1"/>
        <v>15498.729855000001</v>
      </c>
      <c r="J58" s="1173"/>
      <c r="K58" s="1172">
        <f t="shared" si="2"/>
        <v>85119.895000000004</v>
      </c>
      <c r="L58" s="1173"/>
      <c r="M58" s="1372">
        <f t="shared" si="3"/>
        <v>62243.895000000004</v>
      </c>
      <c r="N58" s="1173"/>
      <c r="O58" s="1173"/>
      <c r="P58" s="1173"/>
      <c r="Q58" s="1172">
        <f t="shared" si="4"/>
        <v>7376.9135100000012</v>
      </c>
      <c r="R58" s="1173"/>
      <c r="S58" s="1172">
        <f t="shared" si="5"/>
        <v>69620.808510000003</v>
      </c>
      <c r="T58" s="1373"/>
      <c r="U58" s="1293"/>
      <c r="V58" s="1293"/>
      <c r="W58" s="1208"/>
      <c r="X58" s="1208"/>
      <c r="Y58" s="1208"/>
      <c r="Z58" s="1208"/>
      <c r="AA58" s="1208"/>
      <c r="AB58" s="1208"/>
      <c r="AC58" s="1208"/>
      <c r="AD58" s="1208"/>
      <c r="AE58" s="1208"/>
      <c r="AF58" s="1208"/>
      <c r="AG58" s="1208"/>
      <c r="AH58" s="1208"/>
      <c r="AI58" s="1208"/>
      <c r="AJ58" s="1208"/>
      <c r="AK58" s="1208"/>
      <c r="AL58" s="1208"/>
      <c r="AM58" s="1208"/>
      <c r="AN58" s="1208"/>
      <c r="AO58" s="1208"/>
      <c r="AP58" s="1208"/>
      <c r="AQ58" s="1208"/>
      <c r="AR58" s="1208"/>
      <c r="AS58" s="1208"/>
      <c r="AT58" s="1208"/>
      <c r="AU58" s="1208"/>
      <c r="AV58" s="1208"/>
      <c r="AW58" s="1208"/>
      <c r="AX58" s="1208"/>
      <c r="AY58" s="1208"/>
      <c r="AZ58" s="1208"/>
      <c r="BA58" s="1208"/>
      <c r="BB58" s="1208"/>
      <c r="BC58" s="1208"/>
      <c r="BD58" s="1208"/>
      <c r="BE58" s="1208"/>
      <c r="BF58" s="1208"/>
    </row>
    <row r="59" spans="1:58" ht="16" customHeight="1" x14ac:dyDescent="0.35">
      <c r="A59" s="1385" t="s">
        <v>1132</v>
      </c>
      <c r="B59" s="1163"/>
      <c r="C59" s="1163">
        <v>43</v>
      </c>
      <c r="D59" s="1132"/>
      <c r="E59" s="1379">
        <v>63980.37</v>
      </c>
      <c r="F59" s="1173"/>
      <c r="G59" s="1172">
        <f t="shared" si="0"/>
        <v>7616.5470600000008</v>
      </c>
      <c r="H59" s="1173"/>
      <c r="I59" s="1172">
        <f t="shared" si="1"/>
        <v>15931.112130000001</v>
      </c>
      <c r="J59" s="1173"/>
      <c r="K59" s="1172">
        <f t="shared" si="2"/>
        <v>87528.37</v>
      </c>
      <c r="L59" s="1173"/>
      <c r="M59" s="1372">
        <f t="shared" si="3"/>
        <v>63980.37</v>
      </c>
      <c r="N59" s="1173"/>
      <c r="O59" s="1173"/>
      <c r="P59" s="1173"/>
      <c r="Q59" s="1172">
        <f t="shared" si="4"/>
        <v>7616.5470600000008</v>
      </c>
      <c r="R59" s="1173"/>
      <c r="S59" s="1172">
        <f t="shared" si="5"/>
        <v>71596.917060000007</v>
      </c>
      <c r="T59" s="1373"/>
      <c r="U59" s="1293"/>
      <c r="V59" s="1293"/>
      <c r="W59" s="1208"/>
      <c r="X59" s="1208"/>
      <c r="Y59" s="1208"/>
      <c r="Z59" s="1208"/>
      <c r="AA59" s="1208"/>
      <c r="AB59" s="1208"/>
      <c r="AC59" s="1208"/>
      <c r="AD59" s="1208"/>
      <c r="AE59" s="1208"/>
      <c r="AF59" s="1208"/>
      <c r="AG59" s="1208"/>
      <c r="AH59" s="1208"/>
      <c r="AI59" s="1208"/>
      <c r="AJ59" s="1208"/>
      <c r="AK59" s="1208"/>
      <c r="AL59" s="1208"/>
      <c r="AM59" s="1208"/>
      <c r="AN59" s="1208"/>
      <c r="AO59" s="1208"/>
      <c r="AP59" s="1208"/>
      <c r="AQ59" s="1208"/>
      <c r="AR59" s="1208"/>
      <c r="AS59" s="1208"/>
      <c r="AT59" s="1208"/>
      <c r="AU59" s="1208"/>
      <c r="AV59" s="1208"/>
      <c r="AW59" s="1208"/>
      <c r="AX59" s="1208"/>
      <c r="AY59" s="1208"/>
      <c r="AZ59" s="1208"/>
      <c r="BA59" s="1208"/>
      <c r="BB59" s="1208"/>
      <c r="BC59" s="1208"/>
      <c r="BD59" s="1208"/>
      <c r="BE59" s="1208"/>
      <c r="BF59" s="1208"/>
    </row>
    <row r="60" spans="1:58" ht="16" customHeight="1" x14ac:dyDescent="0.35">
      <c r="A60" s="1385" t="s">
        <v>1132</v>
      </c>
      <c r="B60" s="1154"/>
      <c r="C60" s="1163">
        <v>44</v>
      </c>
      <c r="D60" s="1132"/>
      <c r="E60" s="1379">
        <v>65718.900000000009</v>
      </c>
      <c r="F60" s="1173"/>
      <c r="G60" s="1172">
        <f t="shared" si="0"/>
        <v>7856.4642000000022</v>
      </c>
      <c r="H60" s="1173"/>
      <c r="I60" s="1172">
        <f t="shared" si="1"/>
        <v>16364.006100000002</v>
      </c>
      <c r="J60" s="1173"/>
      <c r="K60" s="1172">
        <f t="shared" si="2"/>
        <v>89938.900000000009</v>
      </c>
      <c r="L60" s="1173"/>
      <c r="M60" s="1372">
        <f t="shared" si="3"/>
        <v>65718.900000000009</v>
      </c>
      <c r="N60" s="1173"/>
      <c r="O60" s="1173"/>
      <c r="P60" s="1173"/>
      <c r="Q60" s="1172">
        <f t="shared" si="4"/>
        <v>7856.4642000000022</v>
      </c>
      <c r="R60" s="1173"/>
      <c r="S60" s="1172">
        <f t="shared" si="5"/>
        <v>73575.364200000011</v>
      </c>
      <c r="T60" s="1373"/>
      <c r="U60" s="1293"/>
      <c r="V60" s="1293"/>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V60" s="1208"/>
      <c r="AW60" s="1208"/>
      <c r="AX60" s="1208"/>
      <c r="AY60" s="1208"/>
      <c r="AZ60" s="1208"/>
      <c r="BA60" s="1208"/>
      <c r="BB60" s="1208"/>
      <c r="BC60" s="1208"/>
      <c r="BD60" s="1208"/>
      <c r="BE60" s="1208"/>
      <c r="BF60" s="1208"/>
    </row>
    <row r="61" spans="1:58" ht="16" customHeight="1" x14ac:dyDescent="0.35">
      <c r="A61" s="1385" t="s">
        <v>1132</v>
      </c>
      <c r="B61" s="1163" t="s">
        <v>1133</v>
      </c>
      <c r="C61" s="1163">
        <v>45</v>
      </c>
      <c r="D61" s="1132"/>
      <c r="E61" s="1379">
        <v>67456.402500000011</v>
      </c>
      <c r="F61" s="1173"/>
      <c r="G61" s="1172">
        <f t="shared" si="0"/>
        <v>8096.2395450000022</v>
      </c>
      <c r="H61" s="1173"/>
      <c r="I61" s="1172">
        <f t="shared" si="1"/>
        <v>16796.644222500003</v>
      </c>
      <c r="J61" s="1173"/>
      <c r="K61" s="1172">
        <f t="shared" si="2"/>
        <v>92349.402500000011</v>
      </c>
      <c r="L61" s="1173"/>
      <c r="M61" s="1372">
        <f t="shared" si="3"/>
        <v>67456.402500000011</v>
      </c>
      <c r="N61" s="1173"/>
      <c r="O61" s="1173"/>
      <c r="P61" s="1173"/>
      <c r="Q61" s="1172">
        <f t="shared" si="4"/>
        <v>8096.2395450000022</v>
      </c>
      <c r="R61" s="1173"/>
      <c r="S61" s="1172">
        <f t="shared" si="5"/>
        <v>75552.642045000015</v>
      </c>
      <c r="T61" s="1373"/>
      <c r="U61" s="1293"/>
      <c r="V61" s="1293"/>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V61" s="1208"/>
      <c r="AW61" s="1208"/>
      <c r="AX61" s="1208"/>
      <c r="AY61" s="1208"/>
      <c r="AZ61" s="1208"/>
      <c r="BA61" s="1208"/>
      <c r="BB61" s="1208"/>
      <c r="BC61" s="1208"/>
      <c r="BD61" s="1208"/>
      <c r="BE61" s="1208"/>
      <c r="BF61" s="1208"/>
    </row>
    <row r="62" spans="1:58" ht="16" customHeight="1" x14ac:dyDescent="0.35">
      <c r="A62" s="1385"/>
      <c r="B62" s="1163" t="s">
        <v>1133</v>
      </c>
      <c r="C62" s="1163">
        <v>46</v>
      </c>
      <c r="D62" s="1132"/>
      <c r="E62" s="1379">
        <v>69193.904999999999</v>
      </c>
      <c r="F62" s="1173"/>
      <c r="G62" s="1172">
        <f t="shared" si="0"/>
        <v>8336.0148900000004</v>
      </c>
      <c r="H62" s="1173"/>
      <c r="I62" s="1172">
        <f t="shared" si="1"/>
        <v>17229.282345</v>
      </c>
      <c r="J62" s="1173"/>
      <c r="K62" s="1172">
        <f t="shared" si="2"/>
        <v>94758.904999999999</v>
      </c>
      <c r="L62" s="1173"/>
      <c r="M62" s="1372">
        <f t="shared" si="3"/>
        <v>69193.904999999999</v>
      </c>
      <c r="N62" s="1173"/>
      <c r="O62" s="1173"/>
      <c r="P62" s="1173"/>
      <c r="Q62" s="1172">
        <f t="shared" si="4"/>
        <v>8336.0148900000004</v>
      </c>
      <c r="R62" s="1173"/>
      <c r="S62" s="1172">
        <f t="shared" si="5"/>
        <v>77529.919890000005</v>
      </c>
      <c r="T62" s="1373"/>
      <c r="U62" s="1293"/>
      <c r="V62" s="1293"/>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V62" s="1208"/>
      <c r="AW62" s="1208"/>
      <c r="AX62" s="1208"/>
      <c r="AY62" s="1208"/>
      <c r="AZ62" s="1208"/>
      <c r="BA62" s="1208"/>
      <c r="BB62" s="1208"/>
      <c r="BC62" s="1208"/>
      <c r="BD62" s="1208"/>
      <c r="BE62" s="1208"/>
      <c r="BF62" s="1208"/>
    </row>
    <row r="63" spans="1:58" ht="16" customHeight="1" x14ac:dyDescent="0.35">
      <c r="A63" s="1385"/>
      <c r="B63" s="1163" t="s">
        <v>1133</v>
      </c>
      <c r="C63" s="1163">
        <v>47</v>
      </c>
      <c r="D63" s="1132"/>
      <c r="E63" s="1379">
        <v>70931.407500000001</v>
      </c>
      <c r="F63" s="1173"/>
      <c r="G63" s="1172">
        <f t="shared" si="0"/>
        <v>8575.7902350000004</v>
      </c>
      <c r="H63" s="1173"/>
      <c r="I63" s="1172">
        <f t="shared" si="1"/>
        <v>17661.9204675</v>
      </c>
      <c r="J63" s="1173"/>
      <c r="K63" s="1172">
        <f t="shared" si="2"/>
        <v>97169.407500000001</v>
      </c>
      <c r="L63" s="1173"/>
      <c r="M63" s="1372">
        <f t="shared" si="3"/>
        <v>70931.407500000001</v>
      </c>
      <c r="N63" s="1173"/>
      <c r="O63" s="1173"/>
      <c r="P63" s="1173"/>
      <c r="Q63" s="1172">
        <f t="shared" si="4"/>
        <v>8575.7902350000004</v>
      </c>
      <c r="R63" s="1173"/>
      <c r="S63" s="1172">
        <f t="shared" si="5"/>
        <v>79507.197734999994</v>
      </c>
      <c r="T63" s="1373"/>
      <c r="U63" s="1293"/>
      <c r="V63" s="1293"/>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8"/>
      <c r="AU63" s="1208"/>
      <c r="AV63" s="1208"/>
      <c r="AW63" s="1208"/>
      <c r="AX63" s="1208"/>
      <c r="AY63" s="1208"/>
      <c r="AZ63" s="1208"/>
      <c r="BA63" s="1208"/>
      <c r="BB63" s="1208"/>
      <c r="BC63" s="1208"/>
      <c r="BD63" s="1208"/>
      <c r="BE63" s="1208"/>
      <c r="BF63" s="1208"/>
    </row>
    <row r="64" spans="1:58" ht="16" customHeight="1" x14ac:dyDescent="0.35">
      <c r="A64" s="1385"/>
      <c r="B64" s="1163" t="s">
        <v>1133</v>
      </c>
      <c r="C64" s="1163">
        <v>48</v>
      </c>
      <c r="D64" s="1132"/>
      <c r="E64" s="1379">
        <v>72669.9375</v>
      </c>
      <c r="F64" s="1173"/>
      <c r="G64" s="1172">
        <f t="shared" si="0"/>
        <v>8815.707375</v>
      </c>
      <c r="H64" s="1173"/>
      <c r="I64" s="1172">
        <f t="shared" si="1"/>
        <v>18094.814437500001</v>
      </c>
      <c r="J64" s="1173"/>
      <c r="K64" s="1172">
        <f t="shared" si="2"/>
        <v>99580.9375</v>
      </c>
      <c r="L64" s="1173"/>
      <c r="M64" s="1372">
        <f t="shared" si="3"/>
        <v>72669.9375</v>
      </c>
      <c r="N64" s="1173"/>
      <c r="O64" s="1173"/>
      <c r="P64" s="1173"/>
      <c r="Q64" s="1172">
        <f t="shared" si="4"/>
        <v>8815.707375</v>
      </c>
      <c r="R64" s="1173"/>
      <c r="S64" s="1172">
        <f t="shared" si="5"/>
        <v>81485.644874999998</v>
      </c>
      <c r="T64" s="1373"/>
      <c r="U64" s="1293"/>
      <c r="V64" s="1293"/>
      <c r="W64" s="1208"/>
      <c r="X64" s="1208"/>
      <c r="Y64" s="1208"/>
      <c r="Z64" s="1208"/>
      <c r="AA64" s="1208"/>
      <c r="AB64" s="1208"/>
      <c r="AC64" s="1208"/>
      <c r="AD64" s="1208"/>
      <c r="AE64" s="1208"/>
      <c r="AF64" s="1208"/>
      <c r="AG64" s="1208"/>
      <c r="AH64" s="1208"/>
      <c r="AI64" s="1208"/>
      <c r="AJ64" s="1208"/>
      <c r="AK64" s="1208"/>
      <c r="AL64" s="1208"/>
      <c r="AM64" s="1208"/>
      <c r="AN64" s="1208"/>
      <c r="AO64" s="1208"/>
      <c r="AP64" s="1208"/>
      <c r="AQ64" s="1208"/>
      <c r="AR64" s="1208"/>
      <c r="AS64" s="1208"/>
      <c r="AT64" s="1208"/>
      <c r="AU64" s="1208"/>
      <c r="AV64" s="1208"/>
      <c r="AW64" s="1208"/>
      <c r="AX64" s="1208"/>
      <c r="AY64" s="1208"/>
      <c r="AZ64" s="1208"/>
      <c r="BA64" s="1208"/>
      <c r="BB64" s="1208"/>
      <c r="BC64" s="1208"/>
      <c r="BD64" s="1208"/>
      <c r="BE64" s="1208"/>
      <c r="BF64" s="1208"/>
    </row>
    <row r="65" spans="1:58" ht="9" customHeight="1" thickBot="1" x14ac:dyDescent="0.4">
      <c r="A65" s="1387"/>
      <c r="B65" s="1388"/>
      <c r="C65" s="1388"/>
      <c r="D65" s="1389"/>
      <c r="E65" s="1390"/>
      <c r="F65" s="1391"/>
      <c r="G65" s="1390"/>
      <c r="H65" s="1390"/>
      <c r="I65" s="1390"/>
      <c r="J65" s="1391"/>
      <c r="K65" s="1390"/>
      <c r="L65" s="1391"/>
      <c r="M65" s="1392"/>
      <c r="N65" s="1391"/>
      <c r="O65" s="1391"/>
      <c r="P65" s="1391"/>
      <c r="Q65" s="1393"/>
      <c r="R65" s="1391"/>
      <c r="S65" s="1393"/>
      <c r="T65" s="1394"/>
      <c r="U65" s="1208"/>
      <c r="V65" s="1208"/>
      <c r="W65" s="1208"/>
      <c r="X65" s="1208"/>
      <c r="Y65" s="1208"/>
      <c r="Z65" s="1208"/>
      <c r="AA65" s="1208"/>
      <c r="AB65" s="1208"/>
      <c r="AC65" s="1208"/>
      <c r="AD65" s="1208"/>
      <c r="AE65" s="1208"/>
      <c r="AF65" s="1208"/>
      <c r="AG65" s="1208"/>
      <c r="AH65" s="1208"/>
      <c r="AI65" s="1208"/>
      <c r="AJ65" s="1208"/>
      <c r="AK65" s="1208"/>
      <c r="AL65" s="1208"/>
      <c r="AM65" s="1208"/>
      <c r="AN65" s="1208"/>
      <c r="AO65" s="1208"/>
      <c r="AP65" s="1208"/>
      <c r="AQ65" s="1208"/>
      <c r="AR65" s="1208"/>
      <c r="AS65" s="1208"/>
      <c r="AT65" s="1208"/>
      <c r="AU65" s="1208"/>
      <c r="AV65" s="1208"/>
      <c r="AW65" s="1208"/>
      <c r="AX65" s="1208"/>
      <c r="AY65" s="1208"/>
      <c r="AZ65" s="1208"/>
      <c r="BA65" s="1208"/>
      <c r="BB65" s="1208"/>
      <c r="BC65" s="1208"/>
      <c r="BD65" s="1208"/>
      <c r="BE65" s="1208"/>
      <c r="BF65" s="1208"/>
    </row>
    <row r="66" spans="1:58" ht="6.75" customHeight="1" thickTop="1" x14ac:dyDescent="0.35">
      <c r="A66" s="1208"/>
      <c r="B66" s="1208"/>
      <c r="C66" s="1208"/>
      <c r="D66" s="1208"/>
      <c r="E66" s="1208"/>
      <c r="F66" s="1208"/>
      <c r="G66" s="1208"/>
      <c r="H66" s="1208"/>
      <c r="I66" s="1208"/>
      <c r="J66" s="1208"/>
      <c r="K66" s="1208"/>
      <c r="L66" s="1305"/>
      <c r="M66" s="1208"/>
      <c r="N66" s="1208"/>
      <c r="O66" s="1208"/>
      <c r="P66" s="1208"/>
      <c r="Q66" s="1208"/>
      <c r="R66" s="1208"/>
      <c r="S66" s="1208"/>
      <c r="T66" s="1208"/>
      <c r="U66" s="1208"/>
      <c r="V66" s="1208"/>
      <c r="W66" s="1208"/>
      <c r="X66" s="1208"/>
      <c r="Y66" s="1208"/>
      <c r="Z66" s="1208"/>
      <c r="AA66" s="1208"/>
      <c r="AB66" s="1208"/>
      <c r="AC66" s="1208"/>
      <c r="AD66" s="1208"/>
      <c r="AE66" s="1208"/>
      <c r="AF66" s="1208"/>
      <c r="AG66" s="1208"/>
      <c r="AH66" s="1208"/>
      <c r="AI66" s="1208"/>
      <c r="AJ66" s="1208"/>
      <c r="AK66" s="1208"/>
      <c r="AL66" s="1208"/>
      <c r="AM66" s="1208"/>
      <c r="AN66" s="1208"/>
      <c r="AO66" s="1208"/>
      <c r="AP66" s="1208"/>
      <c r="AQ66" s="1208"/>
      <c r="AR66" s="1208"/>
      <c r="AS66" s="1208"/>
      <c r="AT66" s="1208"/>
      <c r="AU66" s="1208"/>
      <c r="AV66" s="1208"/>
      <c r="AW66" s="1208"/>
      <c r="AX66" s="1208"/>
      <c r="AY66" s="1208"/>
      <c r="AZ66" s="1208"/>
      <c r="BA66" s="1208"/>
      <c r="BB66" s="1208"/>
      <c r="BC66" s="1208"/>
      <c r="BD66" s="1208"/>
      <c r="BE66" s="1208"/>
      <c r="BF66" s="1208"/>
    </row>
    <row r="67" spans="1:58" ht="30" customHeight="1" thickBot="1" x14ac:dyDescent="0.4">
      <c r="A67" s="2040" t="s">
        <v>1134</v>
      </c>
      <c r="B67" s="2041"/>
      <c r="C67" s="2041"/>
      <c r="D67" s="2041"/>
      <c r="E67" s="2041"/>
      <c r="F67" s="2041"/>
      <c r="G67" s="2041"/>
      <c r="H67" s="2041"/>
      <c r="I67" s="2041"/>
      <c r="J67" s="2041"/>
      <c r="K67" s="2041"/>
      <c r="L67" s="2041"/>
      <c r="M67" s="2041"/>
      <c r="N67" s="2041"/>
      <c r="O67" s="2041"/>
      <c r="P67" s="2041"/>
      <c r="Q67" s="2041"/>
      <c r="R67" s="2041"/>
      <c r="S67" s="2041"/>
      <c r="T67" s="2041"/>
      <c r="U67" s="1208"/>
      <c r="V67" s="1208"/>
      <c r="W67" s="1208"/>
      <c r="X67" s="1208"/>
      <c r="Y67" s="1208"/>
      <c r="Z67" s="1208"/>
      <c r="AA67" s="1208"/>
      <c r="AB67" s="1208"/>
      <c r="AC67" s="1208"/>
      <c r="AD67" s="1208"/>
      <c r="AE67" s="1208"/>
      <c r="AF67" s="1208"/>
      <c r="AG67" s="1208"/>
      <c r="AH67" s="1208"/>
      <c r="AI67" s="1208"/>
      <c r="AJ67" s="1208"/>
      <c r="AK67" s="1208"/>
      <c r="AL67" s="1208"/>
      <c r="AM67" s="1208"/>
      <c r="AN67" s="1208"/>
      <c r="AO67" s="1208"/>
      <c r="AP67" s="1208"/>
      <c r="AQ67" s="1208"/>
      <c r="AR67" s="1208"/>
      <c r="AS67" s="1208"/>
      <c r="AT67" s="1208"/>
      <c r="AU67" s="1208"/>
      <c r="AV67" s="1208"/>
      <c r="AW67" s="1208"/>
      <c r="AX67" s="1208"/>
      <c r="AY67" s="1208"/>
      <c r="AZ67" s="1208"/>
      <c r="BA67" s="1208"/>
      <c r="BB67" s="1208"/>
      <c r="BC67" s="1208"/>
      <c r="BD67" s="1208"/>
      <c r="BE67" s="1208"/>
      <c r="BF67" s="1208"/>
    </row>
    <row r="68" spans="1:58" x14ac:dyDescent="0.35">
      <c r="A68" s="1395"/>
      <c r="B68" s="1396"/>
      <c r="C68" s="1396"/>
      <c r="D68" s="1396"/>
      <c r="E68" s="1396"/>
      <c r="F68" s="1396"/>
      <c r="G68" s="1396" t="s">
        <v>1135</v>
      </c>
      <c r="H68" s="1396"/>
      <c r="I68" s="1397" t="s">
        <v>1136</v>
      </c>
      <c r="J68" s="1208"/>
      <c r="K68" s="1208"/>
      <c r="L68" s="1208"/>
      <c r="M68" s="1208"/>
      <c r="N68" s="1208"/>
      <c r="O68" s="1208"/>
      <c r="P68" s="1208"/>
      <c r="Q68" s="1208"/>
      <c r="R68" s="1208"/>
      <c r="S68" s="1208"/>
      <c r="T68" s="1208"/>
      <c r="U68" s="1208"/>
      <c r="V68" s="1208"/>
      <c r="W68" s="1208"/>
      <c r="X68" s="1208"/>
      <c r="Y68" s="1208"/>
      <c r="Z68" s="1208"/>
      <c r="AA68" s="1208"/>
      <c r="AB68" s="1208"/>
      <c r="AC68" s="1208"/>
      <c r="AD68" s="1208"/>
      <c r="AE68" s="1208"/>
      <c r="AF68" s="1208"/>
      <c r="AG68" s="1208"/>
      <c r="AH68" s="1208"/>
      <c r="AI68" s="1208"/>
      <c r="AJ68" s="1208"/>
      <c r="AK68" s="1208"/>
      <c r="AL68" s="1208"/>
      <c r="AM68" s="1208"/>
      <c r="AN68" s="1208"/>
      <c r="AO68" s="1208"/>
      <c r="AP68" s="1208"/>
      <c r="AQ68" s="1208"/>
      <c r="AR68" s="1208"/>
      <c r="AS68" s="1208"/>
      <c r="AT68" s="1208"/>
      <c r="AU68" s="1208"/>
      <c r="AV68" s="1208"/>
      <c r="AW68" s="1208"/>
      <c r="AX68" s="1208"/>
      <c r="AY68" s="1208"/>
      <c r="AZ68" s="1208"/>
      <c r="BA68" s="1208"/>
      <c r="BB68" s="1208"/>
      <c r="BC68" s="1208"/>
      <c r="BD68" s="1208"/>
      <c r="BE68" s="1208"/>
      <c r="BF68" s="1208"/>
    </row>
    <row r="69" spans="1:58" x14ac:dyDescent="0.35">
      <c r="A69" s="1162" t="s">
        <v>1137</v>
      </c>
      <c r="B69" s="1132"/>
      <c r="C69" s="1132"/>
      <c r="D69" s="1132"/>
      <c r="E69" s="1132"/>
      <c r="F69" s="1132"/>
      <c r="G69" s="1398">
        <v>36.08</v>
      </c>
      <c r="H69" s="1132"/>
      <c r="I69" s="1399" t="s">
        <v>372</v>
      </c>
      <c r="J69" s="1208"/>
      <c r="K69" s="1208"/>
      <c r="L69" s="1208"/>
      <c r="M69" s="1208"/>
      <c r="N69" s="1208"/>
      <c r="O69" s="1208"/>
      <c r="P69" s="1208"/>
      <c r="Q69" s="1208"/>
      <c r="R69" s="1208"/>
      <c r="S69" s="1208"/>
      <c r="T69" s="1208"/>
      <c r="U69" s="1208"/>
      <c r="V69" s="1208"/>
      <c r="W69" s="1208"/>
      <c r="X69" s="1208"/>
      <c r="Y69" s="1208"/>
      <c r="Z69" s="1208"/>
      <c r="AA69" s="1208"/>
      <c r="AB69" s="1208"/>
      <c r="AC69" s="1208"/>
      <c r="AD69" s="1208"/>
      <c r="AE69" s="1208"/>
      <c r="AF69" s="1208"/>
      <c r="AG69" s="1208"/>
      <c r="AH69" s="1208"/>
      <c r="AI69" s="1208"/>
      <c r="AJ69" s="1208"/>
      <c r="AK69" s="1208"/>
      <c r="AL69" s="1208"/>
      <c r="AM69" s="1208"/>
      <c r="AN69" s="1208"/>
      <c r="AO69" s="1208"/>
      <c r="AP69" s="1208"/>
      <c r="AQ69" s="1208"/>
      <c r="AR69" s="1208"/>
      <c r="AS69" s="1208"/>
      <c r="AT69" s="1208"/>
      <c r="AU69" s="1208"/>
      <c r="AV69" s="1208"/>
      <c r="AW69" s="1208"/>
      <c r="AX69" s="1208"/>
      <c r="AY69" s="1208"/>
      <c r="AZ69" s="1208"/>
      <c r="BA69" s="1208"/>
      <c r="BB69" s="1208"/>
      <c r="BC69" s="1208"/>
      <c r="BD69" s="1208"/>
      <c r="BE69" s="1208"/>
      <c r="BF69" s="1208"/>
    </row>
    <row r="70" spans="1:58" ht="16" thickBot="1" x14ac:dyDescent="0.4">
      <c r="A70" s="1400" t="s">
        <v>1138</v>
      </c>
      <c r="B70" s="1302"/>
      <c r="C70" s="1302"/>
      <c r="D70" s="1302"/>
      <c r="E70" s="1302"/>
      <c r="F70" s="1302"/>
      <c r="G70" s="1401">
        <v>29.03</v>
      </c>
      <c r="H70" s="1302"/>
      <c r="I70" s="1402" t="s">
        <v>372</v>
      </c>
      <c r="J70" s="1208"/>
      <c r="K70" s="1208"/>
      <c r="L70" s="1208"/>
      <c r="M70" s="1208"/>
      <c r="N70" s="1208"/>
      <c r="O70" s="1208"/>
      <c r="P70" s="1208"/>
      <c r="Q70" s="1208"/>
      <c r="R70" s="1208"/>
      <c r="S70" s="1208"/>
      <c r="T70" s="1208"/>
      <c r="U70" s="1208"/>
      <c r="V70" s="1208"/>
      <c r="W70" s="1208"/>
      <c r="X70" s="1208"/>
      <c r="Y70" s="1208"/>
      <c r="Z70" s="1208"/>
      <c r="AA70" s="1208"/>
      <c r="AB70" s="1208"/>
      <c r="AC70" s="1208"/>
      <c r="AD70" s="1208"/>
      <c r="AE70" s="1208"/>
      <c r="AF70" s="1208"/>
      <c r="AG70" s="1208"/>
      <c r="AH70" s="1208"/>
      <c r="AI70" s="1208"/>
      <c r="AJ70" s="1208"/>
      <c r="AK70" s="1208"/>
      <c r="AL70" s="1208"/>
      <c r="AM70" s="1208"/>
      <c r="AN70" s="1208"/>
      <c r="AO70" s="1208"/>
      <c r="AP70" s="1208"/>
      <c r="AQ70" s="1208"/>
      <c r="AR70" s="1208"/>
      <c r="AS70" s="1208"/>
      <c r="AT70" s="1208"/>
      <c r="AU70" s="1208"/>
      <c r="AV70" s="1208"/>
      <c r="AW70" s="1208"/>
      <c r="AX70" s="1208"/>
      <c r="AY70" s="1208"/>
      <c r="AZ70" s="1208"/>
      <c r="BA70" s="1208"/>
      <c r="BB70" s="1208"/>
      <c r="BC70" s="1208"/>
      <c r="BD70" s="1208"/>
      <c r="BE70" s="1208"/>
      <c r="BF70" s="1208"/>
    </row>
    <row r="71" spans="1:58" x14ac:dyDescent="0.35">
      <c r="A71" s="1208"/>
      <c r="B71" s="1208"/>
      <c r="C71" s="1208"/>
      <c r="D71" s="1208"/>
      <c r="E71" s="1208"/>
      <c r="F71" s="1208"/>
      <c r="G71" s="1208"/>
      <c r="H71" s="1208"/>
      <c r="I71" s="1208"/>
      <c r="J71" s="1208"/>
      <c r="K71" s="1208"/>
      <c r="L71" s="1208"/>
      <c r="M71" s="1208"/>
      <c r="N71" s="1208"/>
      <c r="O71" s="1208"/>
      <c r="P71" s="1208"/>
      <c r="Q71" s="1208"/>
      <c r="R71" s="1208"/>
      <c r="S71" s="1208"/>
      <c r="T71" s="1208"/>
      <c r="U71" s="1208"/>
      <c r="V71" s="1208"/>
      <c r="W71" s="1208"/>
      <c r="X71" s="1208"/>
      <c r="Y71" s="1208"/>
      <c r="Z71" s="1208"/>
      <c r="AA71" s="1208"/>
      <c r="AB71" s="1208"/>
      <c r="AC71" s="1208"/>
      <c r="AD71" s="1208"/>
      <c r="AE71" s="1208"/>
      <c r="AF71" s="1208"/>
      <c r="AG71" s="1208"/>
      <c r="AH71" s="1208"/>
      <c r="AI71" s="1208"/>
      <c r="AJ71" s="1208"/>
      <c r="AK71" s="1208"/>
      <c r="AL71" s="1208"/>
      <c r="AM71" s="1208"/>
      <c r="AN71" s="1208"/>
      <c r="AO71" s="1208"/>
      <c r="AP71" s="1208"/>
      <c r="AQ71" s="1208"/>
      <c r="AR71" s="1208"/>
      <c r="AS71" s="1208"/>
      <c r="AT71" s="1208"/>
      <c r="AU71" s="1208"/>
      <c r="AV71" s="1208"/>
      <c r="AW71" s="1208"/>
      <c r="AX71" s="1208"/>
      <c r="AY71" s="1208"/>
      <c r="AZ71" s="1208"/>
      <c r="BA71" s="1208"/>
      <c r="BB71" s="1208"/>
      <c r="BC71" s="1208"/>
      <c r="BD71" s="1208"/>
      <c r="BE71" s="1208"/>
      <c r="BF71" s="1208"/>
    </row>
    <row r="72" spans="1:58" x14ac:dyDescent="0.35">
      <c r="A72" s="1208"/>
      <c r="B72" s="1208"/>
      <c r="C72" s="1208"/>
      <c r="D72" s="1208"/>
      <c r="E72" s="1208"/>
      <c r="F72" s="1208"/>
      <c r="G72" s="1208"/>
      <c r="H72" s="1208"/>
      <c r="I72" s="1208"/>
      <c r="J72" s="1208"/>
      <c r="K72" s="1208"/>
      <c r="L72" s="1208"/>
      <c r="M72" s="1208"/>
      <c r="N72" s="1208"/>
      <c r="O72" s="1208"/>
      <c r="P72" s="1208"/>
      <c r="Q72" s="1208"/>
      <c r="R72" s="1208"/>
      <c r="S72" s="1208"/>
      <c r="T72" s="1208"/>
      <c r="U72" s="1208"/>
      <c r="V72" s="1208"/>
      <c r="W72" s="1208"/>
      <c r="X72" s="1208"/>
      <c r="Y72" s="1208"/>
      <c r="Z72" s="1208"/>
      <c r="AA72" s="1208"/>
      <c r="AB72" s="1208"/>
      <c r="AC72" s="1208"/>
      <c r="AD72" s="1208"/>
      <c r="AE72" s="1208"/>
      <c r="AF72" s="1208"/>
      <c r="AG72" s="1208"/>
      <c r="AH72" s="1208"/>
      <c r="AI72" s="1208"/>
      <c r="AJ72" s="1208"/>
      <c r="AK72" s="1208"/>
      <c r="AL72" s="1208"/>
      <c r="AM72" s="1208"/>
      <c r="AN72" s="1208"/>
      <c r="AO72" s="1208"/>
      <c r="AP72" s="1208"/>
      <c r="AQ72" s="1208"/>
      <c r="AR72" s="1208"/>
      <c r="AS72" s="1208"/>
      <c r="AT72" s="1208"/>
      <c r="AU72" s="1208"/>
      <c r="AV72" s="1208"/>
      <c r="AW72" s="1208"/>
      <c r="AX72" s="1208"/>
      <c r="AY72" s="1208"/>
      <c r="AZ72" s="1208"/>
      <c r="BA72" s="1208"/>
      <c r="BB72" s="1208"/>
      <c r="BC72" s="1208"/>
      <c r="BD72" s="1208"/>
      <c r="BE72" s="1208"/>
      <c r="BF72" s="1208"/>
    </row>
    <row r="73" spans="1:58" x14ac:dyDescent="0.35">
      <c r="A73" s="1208"/>
      <c r="B73" s="1208"/>
      <c r="C73" s="1208"/>
      <c r="D73" s="1208"/>
      <c r="E73" s="1208"/>
      <c r="F73" s="1208"/>
      <c r="G73" s="1208"/>
      <c r="H73" s="1208"/>
      <c r="I73" s="1208"/>
      <c r="J73" s="1208"/>
      <c r="K73" s="1208"/>
      <c r="L73" s="1208"/>
      <c r="M73" s="1208"/>
      <c r="N73" s="1208"/>
      <c r="O73" s="1208"/>
      <c r="P73" s="1208"/>
      <c r="Q73" s="1208"/>
      <c r="R73" s="1208"/>
      <c r="S73" s="1208"/>
      <c r="T73" s="1208"/>
      <c r="U73" s="1208"/>
      <c r="V73" s="1208"/>
      <c r="W73" s="1208"/>
      <c r="X73" s="1208"/>
      <c r="Y73" s="1208"/>
      <c r="Z73" s="1208"/>
      <c r="AA73" s="1208"/>
      <c r="AB73" s="1208"/>
      <c r="AC73" s="1208"/>
      <c r="AD73" s="1208"/>
      <c r="AE73" s="1208"/>
      <c r="AF73" s="1208"/>
      <c r="AG73" s="1208"/>
      <c r="AH73" s="1208"/>
      <c r="AI73" s="1208"/>
      <c r="AJ73" s="1208"/>
      <c r="AK73" s="1208"/>
      <c r="AL73" s="1208"/>
      <c r="AM73" s="1208"/>
      <c r="AN73" s="1208"/>
      <c r="AO73" s="1208"/>
      <c r="AP73" s="1208"/>
      <c r="AQ73" s="1208"/>
      <c r="AR73" s="1208"/>
      <c r="AS73" s="1208"/>
      <c r="AT73" s="1208"/>
      <c r="AU73" s="1208"/>
      <c r="AV73" s="1208"/>
      <c r="AW73" s="1208"/>
      <c r="AX73" s="1208"/>
      <c r="AY73" s="1208"/>
      <c r="AZ73" s="1208"/>
      <c r="BA73" s="1208"/>
      <c r="BB73" s="1208"/>
      <c r="BC73" s="1208"/>
      <c r="BD73" s="1208"/>
      <c r="BE73" s="1208"/>
      <c r="BF73" s="1208"/>
    </row>
    <row r="74" spans="1:58" x14ac:dyDescent="0.35">
      <c r="A74" s="1208"/>
      <c r="B74" s="1208"/>
      <c r="C74" s="1208"/>
      <c r="D74" s="1208"/>
      <c r="E74" s="1208"/>
      <c r="F74" s="1208"/>
      <c r="G74" s="1208"/>
      <c r="H74" s="1208"/>
      <c r="I74" s="1208"/>
      <c r="J74" s="1208"/>
      <c r="K74" s="1208"/>
      <c r="L74" s="1208"/>
      <c r="M74" s="1208"/>
      <c r="N74" s="1208"/>
      <c r="O74" s="1208"/>
      <c r="P74" s="1208"/>
      <c r="Q74" s="1208"/>
      <c r="R74" s="1208"/>
      <c r="S74" s="1208"/>
      <c r="T74" s="1208"/>
      <c r="U74" s="1208"/>
      <c r="V74" s="1208"/>
      <c r="W74" s="1208"/>
      <c r="X74" s="1208"/>
      <c r="Y74" s="1208"/>
      <c r="Z74" s="1208"/>
      <c r="AA74" s="1208"/>
      <c r="AB74" s="1208"/>
      <c r="AC74" s="1208"/>
      <c r="AD74" s="1208"/>
      <c r="AE74" s="1208"/>
      <c r="AF74" s="1208"/>
      <c r="AG74" s="1208"/>
      <c r="AH74" s="1208"/>
      <c r="AI74" s="1208"/>
      <c r="AJ74" s="1208"/>
      <c r="AK74" s="1208"/>
      <c r="AL74" s="1208"/>
      <c r="AM74" s="1208"/>
      <c r="AN74" s="1208"/>
      <c r="AO74" s="1208"/>
      <c r="AP74" s="1208"/>
      <c r="AQ74" s="1208"/>
      <c r="AR74" s="1208"/>
      <c r="AS74" s="1208"/>
      <c r="AT74" s="1208"/>
      <c r="AU74" s="1208"/>
      <c r="AV74" s="1208"/>
      <c r="AW74" s="1208"/>
      <c r="AX74" s="1208"/>
      <c r="AY74" s="1208"/>
      <c r="AZ74" s="1208"/>
      <c r="BA74" s="1208"/>
      <c r="BB74" s="1208"/>
      <c r="BC74" s="1208"/>
      <c r="BD74" s="1208"/>
      <c r="BE74" s="1208"/>
      <c r="BF74" s="1208"/>
    </row>
    <row r="75" spans="1:58" x14ac:dyDescent="0.35">
      <c r="A75" s="1208"/>
      <c r="B75" s="1208"/>
      <c r="C75" s="1208"/>
      <c r="D75" s="1208"/>
      <c r="E75" s="1208"/>
      <c r="F75" s="1208"/>
      <c r="G75" s="1208"/>
      <c r="H75" s="1208"/>
      <c r="I75" s="1208"/>
      <c r="J75" s="1208"/>
      <c r="K75" s="1208"/>
      <c r="L75" s="1208"/>
      <c r="M75" s="1208"/>
      <c r="N75" s="1208"/>
      <c r="O75" s="1208"/>
      <c r="P75" s="1208"/>
      <c r="Q75" s="1208"/>
      <c r="R75" s="1208"/>
      <c r="S75" s="1208"/>
      <c r="T75" s="1208"/>
      <c r="U75" s="1208"/>
      <c r="V75" s="1208"/>
      <c r="W75" s="1208"/>
      <c r="X75" s="1208"/>
      <c r="Y75" s="1208"/>
      <c r="Z75" s="1208"/>
      <c r="AA75" s="1208"/>
      <c r="AB75" s="1208"/>
      <c r="AC75" s="1208"/>
      <c r="AD75" s="1208"/>
      <c r="AE75" s="1208"/>
      <c r="AF75" s="1208"/>
      <c r="AG75" s="1208"/>
      <c r="AH75" s="1208"/>
      <c r="AI75" s="1208"/>
      <c r="AJ75" s="1208"/>
      <c r="AK75" s="1208"/>
      <c r="AL75" s="1208"/>
      <c r="AM75" s="1208"/>
      <c r="AN75" s="1208"/>
      <c r="AO75" s="1208"/>
      <c r="AP75" s="1208"/>
      <c r="AQ75" s="1208"/>
      <c r="AR75" s="1208"/>
      <c r="AS75" s="1208"/>
      <c r="AT75" s="1208"/>
      <c r="AU75" s="1208"/>
      <c r="AV75" s="1208"/>
      <c r="AW75" s="1208"/>
      <c r="AX75" s="1208"/>
      <c r="AY75" s="1208"/>
      <c r="AZ75" s="1208"/>
      <c r="BA75" s="1208"/>
      <c r="BB75" s="1208"/>
      <c r="BC75" s="1208"/>
      <c r="BD75" s="1208"/>
      <c r="BE75" s="1208"/>
      <c r="BF75" s="1208"/>
    </row>
    <row r="76" spans="1:58" x14ac:dyDescent="0.35">
      <c r="A76" s="1208"/>
      <c r="B76" s="1208"/>
      <c r="C76" s="1208"/>
      <c r="D76" s="1208"/>
      <c r="E76" s="1208"/>
      <c r="F76" s="1208"/>
      <c r="G76" s="1208"/>
      <c r="H76" s="1208"/>
      <c r="I76" s="1208"/>
      <c r="J76" s="1208"/>
      <c r="K76" s="1208"/>
      <c r="L76" s="1208"/>
      <c r="M76" s="1208"/>
      <c r="N76" s="1208"/>
      <c r="O76" s="1208"/>
      <c r="P76" s="1208"/>
      <c r="Q76" s="1208"/>
      <c r="R76" s="1208"/>
      <c r="S76" s="1208"/>
      <c r="T76" s="1208"/>
      <c r="U76" s="1208"/>
      <c r="V76" s="1208"/>
      <c r="W76" s="1208"/>
      <c r="X76" s="1208"/>
      <c r="Y76" s="1208"/>
      <c r="Z76" s="1208"/>
      <c r="AA76" s="1208"/>
      <c r="AB76" s="1208"/>
      <c r="AC76" s="1208"/>
      <c r="AD76" s="1208"/>
      <c r="AE76" s="1208"/>
      <c r="AF76" s="1208"/>
      <c r="AG76" s="1208"/>
      <c r="AH76" s="1208"/>
      <c r="AI76" s="1208"/>
      <c r="AJ76" s="1208"/>
      <c r="AK76" s="1208"/>
      <c r="AL76" s="1208"/>
      <c r="AM76" s="1208"/>
      <c r="AN76" s="1208"/>
      <c r="AO76" s="1208"/>
      <c r="AP76" s="1208"/>
      <c r="AQ76" s="1208"/>
      <c r="AR76" s="1208"/>
      <c r="AS76" s="1208"/>
      <c r="AT76" s="1208"/>
      <c r="AU76" s="1208"/>
      <c r="AV76" s="1208"/>
      <c r="AW76" s="1208"/>
      <c r="AX76" s="1208"/>
      <c r="AY76" s="1208"/>
      <c r="AZ76" s="1208"/>
      <c r="BA76" s="1208"/>
      <c r="BB76" s="1208"/>
      <c r="BC76" s="1208"/>
      <c r="BD76" s="1208"/>
      <c r="BE76" s="1208"/>
      <c r="BF76" s="1208"/>
    </row>
    <row r="77" spans="1:58" x14ac:dyDescent="0.35">
      <c r="A77" s="1208"/>
      <c r="B77" s="1208"/>
      <c r="C77" s="1208"/>
      <c r="D77" s="1208"/>
      <c r="E77" s="1208"/>
      <c r="F77" s="1208"/>
      <c r="G77" s="1208"/>
      <c r="H77" s="1208"/>
      <c r="I77" s="1208"/>
      <c r="J77" s="1208"/>
      <c r="K77" s="1208"/>
      <c r="L77" s="1208"/>
      <c r="M77" s="1208"/>
      <c r="N77" s="1208"/>
      <c r="O77" s="1208"/>
      <c r="P77" s="1208"/>
      <c r="Q77" s="1208"/>
      <c r="R77" s="1208"/>
      <c r="S77" s="1208"/>
      <c r="T77" s="1208"/>
      <c r="U77" s="1208"/>
      <c r="V77" s="1208"/>
      <c r="W77" s="1208"/>
      <c r="X77" s="1208"/>
      <c r="Y77" s="1208"/>
      <c r="Z77" s="1208"/>
      <c r="AA77" s="1208"/>
      <c r="AB77" s="1208"/>
      <c r="AC77" s="1208"/>
      <c r="AD77" s="1208"/>
      <c r="AE77" s="1208"/>
      <c r="AF77" s="1208"/>
      <c r="AG77" s="1208"/>
      <c r="AH77" s="1208"/>
      <c r="AI77" s="1208"/>
      <c r="AJ77" s="1208"/>
      <c r="AK77" s="1208"/>
      <c r="AL77" s="1208"/>
      <c r="AM77" s="1208"/>
      <c r="AN77" s="1208"/>
      <c r="AO77" s="1208"/>
      <c r="AP77" s="1208"/>
      <c r="AQ77" s="1208"/>
      <c r="AR77" s="1208"/>
      <c r="AS77" s="1208"/>
      <c r="AT77" s="1208"/>
      <c r="AU77" s="1208"/>
      <c r="AV77" s="1208"/>
      <c r="AW77" s="1208"/>
      <c r="AX77" s="1208"/>
      <c r="AY77" s="1208"/>
      <c r="AZ77" s="1208"/>
      <c r="BA77" s="1208"/>
      <c r="BB77" s="1208"/>
      <c r="BC77" s="1208"/>
      <c r="BD77" s="1208"/>
      <c r="BE77" s="1208"/>
      <c r="BF77" s="1208"/>
    </row>
    <row r="78" spans="1:58" x14ac:dyDescent="0.35">
      <c r="A78" s="1208"/>
      <c r="B78" s="1208"/>
      <c r="C78" s="1208"/>
      <c r="D78" s="1208"/>
      <c r="E78" s="1208"/>
      <c r="F78" s="1208"/>
      <c r="G78" s="1208"/>
      <c r="H78" s="1208"/>
      <c r="I78" s="1208"/>
      <c r="J78" s="1208"/>
      <c r="K78" s="1208"/>
      <c r="L78" s="1208"/>
      <c r="M78" s="1208"/>
      <c r="N78" s="1208"/>
      <c r="O78" s="1208"/>
      <c r="P78" s="1208"/>
      <c r="Q78" s="1208"/>
      <c r="R78" s="1208"/>
      <c r="S78" s="1208"/>
      <c r="T78" s="1208"/>
      <c r="U78" s="1208"/>
      <c r="V78" s="1208"/>
      <c r="W78" s="1208"/>
      <c r="X78" s="1208"/>
      <c r="Y78" s="1208"/>
      <c r="Z78" s="1208"/>
      <c r="AA78" s="1208"/>
      <c r="AB78" s="1208"/>
      <c r="AC78" s="1208"/>
      <c r="AD78" s="1208"/>
      <c r="AE78" s="1208"/>
      <c r="AF78" s="1208"/>
      <c r="AG78" s="1208"/>
      <c r="AH78" s="1208"/>
      <c r="AI78" s="1208"/>
      <c r="AJ78" s="1208"/>
      <c r="AK78" s="1208"/>
      <c r="AL78" s="1208"/>
      <c r="AM78" s="1208"/>
      <c r="AN78" s="1208"/>
      <c r="AO78" s="1208"/>
      <c r="AP78" s="1208"/>
      <c r="AQ78" s="1208"/>
      <c r="AR78" s="1208"/>
      <c r="AS78" s="1208"/>
      <c r="AT78" s="1208"/>
      <c r="AU78" s="1208"/>
      <c r="AV78" s="1208"/>
      <c r="AW78" s="1208"/>
      <c r="AX78" s="1208"/>
      <c r="AY78" s="1208"/>
      <c r="AZ78" s="1208"/>
      <c r="BA78" s="1208"/>
      <c r="BB78" s="1208"/>
      <c r="BC78" s="1208"/>
      <c r="BD78" s="1208"/>
      <c r="BE78" s="1208"/>
      <c r="BF78" s="1208"/>
    </row>
    <row r="79" spans="1:58" x14ac:dyDescent="0.35">
      <c r="A79" s="1208"/>
      <c r="B79" s="1208"/>
      <c r="C79" s="1208"/>
      <c r="D79" s="1208"/>
      <c r="E79" s="1208"/>
      <c r="F79" s="1208"/>
      <c r="G79" s="1208"/>
      <c r="H79" s="1208"/>
      <c r="I79" s="1208"/>
      <c r="J79" s="1208"/>
      <c r="K79" s="1208"/>
      <c r="L79" s="1208"/>
      <c r="M79" s="1208"/>
      <c r="N79" s="1208"/>
      <c r="O79" s="1208"/>
      <c r="P79" s="1208"/>
      <c r="Q79" s="1208"/>
      <c r="R79" s="1208"/>
      <c r="S79" s="1208"/>
      <c r="T79" s="1208"/>
      <c r="U79" s="1208"/>
      <c r="V79" s="1208"/>
      <c r="W79" s="1208"/>
      <c r="X79" s="1208"/>
      <c r="Y79" s="1208"/>
      <c r="Z79" s="1208"/>
      <c r="AA79" s="1208"/>
      <c r="AB79" s="1208"/>
      <c r="AC79" s="1208"/>
      <c r="AD79" s="1208"/>
      <c r="AE79" s="1208"/>
      <c r="AF79" s="1208"/>
      <c r="AG79" s="1208"/>
      <c r="AH79" s="1208"/>
      <c r="AI79" s="1208"/>
      <c r="AJ79" s="1208"/>
      <c r="AK79" s="1208"/>
      <c r="AL79" s="1208"/>
      <c r="AM79" s="1208"/>
      <c r="AN79" s="1208"/>
      <c r="AO79" s="1208"/>
      <c r="AP79" s="1208"/>
      <c r="AQ79" s="1208"/>
      <c r="AR79" s="1208"/>
      <c r="AS79" s="1208"/>
      <c r="AT79" s="1208"/>
      <c r="AU79" s="1208"/>
      <c r="AV79" s="1208"/>
      <c r="AW79" s="1208"/>
      <c r="AX79" s="1208"/>
      <c r="AY79" s="1208"/>
      <c r="AZ79" s="1208"/>
      <c r="BA79" s="1208"/>
      <c r="BB79" s="1208"/>
      <c r="BC79" s="1208"/>
      <c r="BD79" s="1208"/>
      <c r="BE79" s="1208"/>
      <c r="BF79" s="1208"/>
    </row>
    <row r="80" spans="1:58" x14ac:dyDescent="0.35">
      <c r="A80" s="1208"/>
      <c r="B80" s="1208"/>
      <c r="C80" s="1208"/>
      <c r="D80" s="1208"/>
      <c r="E80" s="1208"/>
      <c r="F80" s="1208"/>
      <c r="G80" s="1208"/>
      <c r="H80" s="1208"/>
      <c r="I80" s="1208"/>
      <c r="J80" s="1208"/>
      <c r="K80" s="1208"/>
      <c r="L80" s="1208"/>
      <c r="M80" s="1208"/>
      <c r="N80" s="1208"/>
      <c r="O80" s="1208"/>
      <c r="P80" s="1208"/>
      <c r="Q80" s="1208"/>
      <c r="R80" s="1208"/>
      <c r="S80" s="1208"/>
      <c r="T80" s="1208"/>
      <c r="U80" s="1208"/>
      <c r="V80" s="1208"/>
      <c r="W80" s="1208"/>
      <c r="X80" s="1208"/>
      <c r="Y80" s="1208"/>
      <c r="Z80" s="1208"/>
      <c r="AA80" s="1208"/>
      <c r="AB80" s="1208"/>
      <c r="AC80" s="1208"/>
      <c r="AD80" s="1208"/>
      <c r="AE80" s="1208"/>
      <c r="AF80" s="1208"/>
      <c r="AG80" s="1208"/>
      <c r="AH80" s="1208"/>
      <c r="AI80" s="1208"/>
      <c r="AJ80" s="1208"/>
      <c r="AK80" s="1208"/>
      <c r="AL80" s="1208"/>
      <c r="AM80" s="1208"/>
      <c r="AN80" s="1208"/>
      <c r="AO80" s="1208"/>
      <c r="AP80" s="1208"/>
      <c r="AQ80" s="1208"/>
      <c r="AR80" s="1208"/>
      <c r="AS80" s="1208"/>
      <c r="AT80" s="1208"/>
      <c r="AU80" s="1208"/>
      <c r="AV80" s="1208"/>
      <c r="AW80" s="1208"/>
      <c r="AX80" s="1208"/>
      <c r="AY80" s="1208"/>
      <c r="AZ80" s="1208"/>
      <c r="BA80" s="1208"/>
      <c r="BB80" s="1208"/>
      <c r="BC80" s="1208"/>
      <c r="BD80" s="1208"/>
      <c r="BE80" s="1208"/>
      <c r="BF80" s="1208"/>
    </row>
    <row r="81" spans="1:58" x14ac:dyDescent="0.35">
      <c r="A81" s="1208"/>
      <c r="B81" s="1208"/>
      <c r="C81" s="1208"/>
      <c r="D81" s="1208"/>
      <c r="E81" s="1208"/>
      <c r="F81" s="1208"/>
      <c r="G81" s="1208"/>
      <c r="H81" s="1208"/>
      <c r="I81" s="1208"/>
      <c r="J81" s="1208"/>
      <c r="K81" s="1208"/>
      <c r="L81" s="1208"/>
      <c r="M81" s="1208"/>
      <c r="N81" s="1208"/>
      <c r="O81" s="1208"/>
      <c r="P81" s="1208"/>
      <c r="Q81" s="1208"/>
      <c r="R81" s="1208"/>
      <c r="S81" s="1208"/>
      <c r="T81" s="1208"/>
      <c r="U81" s="1208"/>
      <c r="V81" s="1208"/>
      <c r="W81" s="1208"/>
      <c r="X81" s="1208"/>
      <c r="Y81" s="1208"/>
      <c r="Z81" s="1208"/>
      <c r="AA81" s="1208"/>
      <c r="AB81" s="1208"/>
      <c r="AC81" s="1208"/>
      <c r="AD81" s="1208"/>
      <c r="AE81" s="1208"/>
      <c r="AF81" s="1208"/>
      <c r="AG81" s="1208"/>
      <c r="AH81" s="1208"/>
      <c r="AI81" s="1208"/>
      <c r="AJ81" s="1208"/>
      <c r="AK81" s="1208"/>
      <c r="AL81" s="1208"/>
      <c r="AM81" s="1208"/>
      <c r="AN81" s="1208"/>
      <c r="AO81" s="1208"/>
      <c r="AP81" s="1208"/>
      <c r="AQ81" s="1208"/>
      <c r="AR81" s="1208"/>
      <c r="AS81" s="1208"/>
      <c r="AT81" s="1208"/>
      <c r="AU81" s="1208"/>
      <c r="AV81" s="1208"/>
      <c r="AW81" s="1208"/>
      <c r="AX81" s="1208"/>
      <c r="AY81" s="1208"/>
      <c r="AZ81" s="1208"/>
      <c r="BA81" s="1208"/>
      <c r="BB81" s="1208"/>
      <c r="BC81" s="1208"/>
      <c r="BD81" s="1208"/>
      <c r="BE81" s="1208"/>
      <c r="BF81" s="1208"/>
    </row>
    <row r="82" spans="1:58" x14ac:dyDescent="0.35">
      <c r="A82" s="1208"/>
      <c r="B82" s="1208"/>
      <c r="C82" s="1208"/>
      <c r="D82" s="1208"/>
      <c r="E82" s="1208"/>
      <c r="F82" s="1208"/>
      <c r="G82" s="1208"/>
      <c r="H82" s="1208"/>
      <c r="I82" s="1208"/>
      <c r="J82" s="1208"/>
      <c r="K82" s="1208"/>
      <c r="L82" s="1208"/>
      <c r="M82" s="1208"/>
      <c r="N82" s="1208"/>
      <c r="O82" s="1208"/>
      <c r="P82" s="1208"/>
      <c r="Q82" s="1208"/>
      <c r="R82" s="1208"/>
      <c r="S82" s="1208"/>
      <c r="T82" s="1208"/>
      <c r="U82" s="1208"/>
      <c r="V82" s="1208"/>
      <c r="W82" s="1208"/>
      <c r="X82" s="1208"/>
      <c r="Y82" s="1208"/>
      <c r="Z82" s="1208"/>
      <c r="AA82" s="1208"/>
      <c r="AB82" s="1208"/>
      <c r="AC82" s="1208"/>
      <c r="AD82" s="1208"/>
      <c r="AE82" s="1208"/>
      <c r="AF82" s="1208"/>
      <c r="AG82" s="1208"/>
      <c r="AH82" s="1208"/>
      <c r="AI82" s="1208"/>
      <c r="AJ82" s="1208"/>
      <c r="AK82" s="1208"/>
      <c r="AL82" s="1208"/>
      <c r="AM82" s="1208"/>
      <c r="AN82" s="1208"/>
      <c r="AO82" s="1208"/>
      <c r="AP82" s="1208"/>
      <c r="AQ82" s="1208"/>
      <c r="AR82" s="1208"/>
      <c r="AS82" s="1208"/>
      <c r="AT82" s="1208"/>
      <c r="AU82" s="1208"/>
      <c r="AV82" s="1208"/>
      <c r="AW82" s="1208"/>
      <c r="AX82" s="1208"/>
      <c r="AY82" s="1208"/>
      <c r="AZ82" s="1208"/>
      <c r="BA82" s="1208"/>
      <c r="BB82" s="1208"/>
      <c r="BC82" s="1208"/>
      <c r="BD82" s="1208"/>
      <c r="BE82" s="1208"/>
      <c r="BF82" s="1208"/>
    </row>
    <row r="83" spans="1:58" x14ac:dyDescent="0.35">
      <c r="A83" s="1208"/>
      <c r="B83" s="1208"/>
      <c r="C83" s="1208"/>
      <c r="D83" s="1208"/>
      <c r="E83" s="1208"/>
      <c r="F83" s="1208"/>
      <c r="G83" s="1208"/>
      <c r="H83" s="1208"/>
      <c r="I83" s="1208"/>
      <c r="J83" s="1208"/>
      <c r="K83" s="1208"/>
      <c r="L83" s="1208"/>
      <c r="M83" s="1208"/>
      <c r="N83" s="1208"/>
      <c r="O83" s="1208"/>
      <c r="P83" s="1208"/>
      <c r="Q83" s="1208"/>
      <c r="R83" s="1208"/>
      <c r="S83" s="1208"/>
      <c r="T83" s="1208"/>
      <c r="U83" s="1208"/>
      <c r="V83" s="1208"/>
      <c r="W83" s="1208"/>
      <c r="X83" s="1208"/>
      <c r="Y83" s="1208"/>
      <c r="Z83" s="1208"/>
      <c r="AA83" s="1208"/>
      <c r="AB83" s="1208"/>
      <c r="AC83" s="1208"/>
      <c r="AD83" s="1208"/>
      <c r="AE83" s="1208"/>
      <c r="AF83" s="1208"/>
      <c r="AG83" s="1208"/>
      <c r="AH83" s="1208"/>
      <c r="AI83" s="1208"/>
      <c r="AJ83" s="1208"/>
      <c r="AK83" s="1208"/>
      <c r="AL83" s="1208"/>
      <c r="AM83" s="1208"/>
      <c r="AN83" s="1208"/>
      <c r="AO83" s="1208"/>
      <c r="AP83" s="1208"/>
      <c r="AQ83" s="1208"/>
      <c r="AR83" s="1208"/>
      <c r="AS83" s="1208"/>
      <c r="AT83" s="1208"/>
      <c r="AU83" s="1208"/>
      <c r="AV83" s="1208"/>
      <c r="AW83" s="1208"/>
      <c r="AX83" s="1208"/>
      <c r="AY83" s="1208"/>
      <c r="AZ83" s="1208"/>
      <c r="BA83" s="1208"/>
      <c r="BB83" s="1208"/>
      <c r="BC83" s="1208"/>
      <c r="BD83" s="1208"/>
      <c r="BE83" s="1208"/>
      <c r="BF83" s="1208"/>
    </row>
    <row r="84" spans="1:58" x14ac:dyDescent="0.35">
      <c r="A84" s="1208"/>
      <c r="B84" s="1208"/>
      <c r="C84" s="1208"/>
      <c r="D84" s="1208"/>
      <c r="E84" s="1208"/>
      <c r="F84" s="1208"/>
      <c r="G84" s="1208"/>
      <c r="H84" s="1208"/>
      <c r="I84" s="1208"/>
      <c r="J84" s="1208"/>
      <c r="K84" s="1208"/>
      <c r="L84" s="1208"/>
      <c r="M84" s="1208"/>
      <c r="N84" s="1208"/>
      <c r="O84" s="1208"/>
      <c r="P84" s="1208"/>
      <c r="Q84" s="1208"/>
      <c r="R84" s="1208"/>
      <c r="S84" s="1208"/>
      <c r="T84" s="1208"/>
      <c r="U84" s="1208"/>
      <c r="V84" s="1208"/>
      <c r="W84" s="1208"/>
      <c r="X84" s="1208"/>
      <c r="Y84" s="1208"/>
      <c r="Z84" s="1208"/>
      <c r="AA84" s="1208"/>
      <c r="AB84" s="1208"/>
      <c r="AC84" s="1208"/>
      <c r="AD84" s="1208"/>
      <c r="AE84" s="1208"/>
      <c r="AF84" s="1208"/>
      <c r="AG84" s="1208"/>
      <c r="AH84" s="1208"/>
      <c r="AI84" s="1208"/>
      <c r="AJ84" s="1208"/>
      <c r="AK84" s="1208"/>
      <c r="AL84" s="1208"/>
      <c r="AM84" s="1208"/>
      <c r="AN84" s="1208"/>
      <c r="AO84" s="1208"/>
      <c r="AP84" s="1208"/>
      <c r="AQ84" s="1208"/>
      <c r="AR84" s="1208"/>
      <c r="AS84" s="1208"/>
      <c r="AT84" s="1208"/>
      <c r="AU84" s="1208"/>
      <c r="AV84" s="1208"/>
      <c r="AW84" s="1208"/>
      <c r="AX84" s="1208"/>
      <c r="AY84" s="1208"/>
      <c r="AZ84" s="1208"/>
      <c r="BA84" s="1208"/>
      <c r="BB84" s="1208"/>
      <c r="BC84" s="1208"/>
      <c r="BD84" s="1208"/>
      <c r="BE84" s="1208"/>
      <c r="BF84" s="1208"/>
    </row>
    <row r="85" spans="1:58" x14ac:dyDescent="0.35">
      <c r="A85" s="1208"/>
      <c r="B85" s="1403"/>
      <c r="C85" s="1208"/>
      <c r="D85" s="1208"/>
      <c r="E85" s="1208"/>
      <c r="F85" s="1208"/>
      <c r="G85" s="1208"/>
      <c r="H85" s="1208"/>
      <c r="I85" s="1208"/>
      <c r="J85" s="1208"/>
      <c r="K85" s="1208"/>
      <c r="L85" s="1208"/>
      <c r="M85" s="1208"/>
      <c r="N85" s="1208"/>
      <c r="O85" s="1208"/>
      <c r="P85" s="1208"/>
      <c r="Q85" s="1208"/>
      <c r="R85" s="1208"/>
      <c r="S85" s="1208"/>
      <c r="T85" s="1208"/>
      <c r="U85" s="1208"/>
      <c r="V85" s="1208"/>
      <c r="W85" s="1208"/>
      <c r="X85" s="1208"/>
      <c r="Y85" s="1208"/>
      <c r="Z85" s="1208"/>
      <c r="AA85" s="1208"/>
      <c r="AB85" s="1208"/>
      <c r="AC85" s="1208"/>
      <c r="AD85" s="1208"/>
      <c r="AE85" s="1208"/>
      <c r="AF85" s="1208"/>
      <c r="AG85" s="1208"/>
      <c r="AH85" s="1208"/>
      <c r="AI85" s="1208"/>
      <c r="AJ85" s="1208"/>
      <c r="AK85" s="1208"/>
      <c r="AL85" s="1208"/>
      <c r="AM85" s="1208"/>
      <c r="AN85" s="1208"/>
      <c r="AO85" s="1208"/>
      <c r="AP85" s="1208"/>
      <c r="AQ85" s="1208"/>
      <c r="AR85" s="1208"/>
      <c r="AS85" s="1208"/>
      <c r="AT85" s="1208"/>
      <c r="AU85" s="1208"/>
      <c r="AV85" s="1208"/>
      <c r="AW85" s="1208"/>
      <c r="AX85" s="1208"/>
      <c r="AY85" s="1208"/>
      <c r="AZ85" s="1208"/>
      <c r="BA85" s="1208"/>
      <c r="BB85" s="1208"/>
      <c r="BC85" s="1208"/>
      <c r="BD85" s="1208"/>
      <c r="BE85" s="1208"/>
      <c r="BF85" s="1208"/>
    </row>
    <row r="86" spans="1:58" x14ac:dyDescent="0.35">
      <c r="A86" s="1208"/>
      <c r="B86" s="1208"/>
      <c r="C86" s="1208"/>
      <c r="D86" s="1208"/>
      <c r="E86" s="1208"/>
      <c r="F86" s="1208"/>
      <c r="G86" s="1208"/>
      <c r="H86" s="1208"/>
      <c r="I86" s="1208"/>
      <c r="J86" s="1208"/>
      <c r="K86" s="1208"/>
      <c r="L86" s="1208"/>
      <c r="M86" s="1208"/>
      <c r="N86" s="1208"/>
      <c r="O86" s="1208"/>
      <c r="P86" s="1208"/>
      <c r="Q86" s="1208"/>
      <c r="R86" s="1208"/>
      <c r="S86" s="1208"/>
      <c r="T86" s="1208"/>
      <c r="U86" s="1208"/>
      <c r="V86" s="1208"/>
      <c r="W86" s="1208"/>
      <c r="X86" s="1208"/>
      <c r="Y86" s="1208"/>
      <c r="Z86" s="1208"/>
      <c r="AA86" s="1208"/>
      <c r="AB86" s="1208"/>
      <c r="AC86" s="1208"/>
      <c r="AD86" s="1208"/>
      <c r="AE86" s="1208"/>
      <c r="AF86" s="1208"/>
      <c r="AG86" s="1208"/>
      <c r="AH86" s="1208"/>
      <c r="AI86" s="1208"/>
      <c r="AJ86" s="1208"/>
      <c r="AK86" s="1208"/>
      <c r="AL86" s="1208"/>
      <c r="AM86" s="1208"/>
      <c r="AN86" s="1208"/>
      <c r="AO86" s="1208"/>
      <c r="AP86" s="1208"/>
      <c r="AQ86" s="1208"/>
      <c r="AR86" s="1208"/>
      <c r="AS86" s="1208"/>
      <c r="AT86" s="1208"/>
      <c r="AU86" s="1208"/>
      <c r="AV86" s="1208"/>
      <c r="AW86" s="1208"/>
      <c r="AX86" s="1208"/>
      <c r="AY86" s="1208"/>
      <c r="AZ86" s="1208"/>
      <c r="BA86" s="1208"/>
      <c r="BB86" s="1208"/>
      <c r="BC86" s="1208"/>
      <c r="BD86" s="1208"/>
      <c r="BE86" s="1208"/>
      <c r="BF86" s="1208"/>
    </row>
    <row r="87" spans="1:58" x14ac:dyDescent="0.35">
      <c r="A87" s="1208"/>
      <c r="B87" s="1208"/>
      <c r="C87" s="1208"/>
      <c r="D87" s="1208"/>
      <c r="E87" s="1208"/>
      <c r="F87" s="1208"/>
      <c r="G87" s="1208"/>
      <c r="H87" s="1208"/>
      <c r="I87" s="1208"/>
      <c r="J87" s="1208"/>
      <c r="K87" s="1208"/>
      <c r="L87" s="1208"/>
      <c r="M87" s="1208"/>
      <c r="N87" s="1208"/>
      <c r="O87" s="1208"/>
      <c r="P87" s="1208"/>
      <c r="Q87" s="1208"/>
      <c r="R87" s="1208"/>
      <c r="S87" s="1208"/>
      <c r="T87" s="1208"/>
      <c r="U87" s="1208"/>
      <c r="V87" s="1208"/>
      <c r="W87" s="1208"/>
      <c r="X87" s="1208"/>
      <c r="Y87" s="1208"/>
      <c r="Z87" s="1208"/>
      <c r="AA87" s="1208"/>
      <c r="AB87" s="1208"/>
      <c r="AC87" s="1208"/>
      <c r="AD87" s="1208"/>
      <c r="AE87" s="1208"/>
      <c r="AF87" s="1208"/>
      <c r="AG87" s="1208"/>
      <c r="AH87" s="1208"/>
      <c r="AI87" s="1208"/>
      <c r="AJ87" s="1208"/>
      <c r="AK87" s="1208"/>
      <c r="AL87" s="1208"/>
      <c r="AM87" s="1208"/>
      <c r="AN87" s="1208"/>
      <c r="AO87" s="1208"/>
      <c r="AP87" s="1208"/>
      <c r="AQ87" s="1208"/>
      <c r="AR87" s="1208"/>
      <c r="AS87" s="1208"/>
      <c r="AT87" s="1208"/>
      <c r="AU87" s="1208"/>
      <c r="AV87" s="1208"/>
      <c r="AW87" s="1208"/>
      <c r="AX87" s="1208"/>
      <c r="AY87" s="1208"/>
      <c r="AZ87" s="1208"/>
      <c r="BA87" s="1208"/>
      <c r="BB87" s="1208"/>
      <c r="BC87" s="1208"/>
      <c r="BD87" s="1208"/>
      <c r="BE87" s="1208"/>
      <c r="BF87" s="1208"/>
    </row>
    <row r="88" spans="1:58" x14ac:dyDescent="0.35">
      <c r="A88" s="1208"/>
      <c r="B88" s="1208"/>
      <c r="C88" s="1208"/>
      <c r="D88" s="1208"/>
      <c r="E88" s="1208"/>
      <c r="F88" s="1208"/>
      <c r="G88" s="1208"/>
      <c r="H88" s="1208"/>
      <c r="I88" s="1208"/>
      <c r="J88" s="1208"/>
      <c r="K88" s="1208"/>
      <c r="L88" s="1208"/>
      <c r="M88" s="1208"/>
      <c r="N88" s="1208"/>
      <c r="O88" s="1208"/>
      <c r="P88" s="1208"/>
      <c r="Q88" s="1208"/>
      <c r="R88" s="1208"/>
      <c r="S88" s="1208"/>
      <c r="T88" s="1208"/>
      <c r="U88" s="1208"/>
      <c r="V88" s="1208"/>
      <c r="W88" s="1208"/>
      <c r="X88" s="1208"/>
      <c r="Y88" s="1208"/>
      <c r="Z88" s="1208"/>
      <c r="AA88" s="1208"/>
      <c r="AB88" s="1208"/>
      <c r="AC88" s="1208"/>
      <c r="AD88" s="1208"/>
      <c r="AE88" s="1208"/>
      <c r="AF88" s="1208"/>
      <c r="AG88" s="1208"/>
      <c r="AH88" s="1208"/>
      <c r="AI88" s="1208"/>
      <c r="AJ88" s="1208"/>
      <c r="AK88" s="1208"/>
      <c r="AL88" s="1208"/>
      <c r="AM88" s="1208"/>
      <c r="AN88" s="1208"/>
      <c r="AO88" s="1208"/>
      <c r="AP88" s="1208"/>
      <c r="AQ88" s="1208"/>
      <c r="AR88" s="1208"/>
      <c r="AS88" s="1208"/>
      <c r="AT88" s="1208"/>
      <c r="AU88" s="1208"/>
      <c r="AV88" s="1208"/>
      <c r="AW88" s="1208"/>
      <c r="AX88" s="1208"/>
      <c r="AY88" s="1208"/>
      <c r="AZ88" s="1208"/>
      <c r="BA88" s="1208"/>
      <c r="BB88" s="1208"/>
      <c r="BC88" s="1208"/>
      <c r="BD88" s="1208"/>
      <c r="BE88" s="1208"/>
      <c r="BF88" s="1208"/>
    </row>
    <row r="89" spans="1:58" x14ac:dyDescent="0.35">
      <c r="A89" s="1208"/>
      <c r="B89" s="1208"/>
      <c r="C89" s="1208"/>
      <c r="D89" s="1208"/>
      <c r="E89" s="1208"/>
      <c r="F89" s="1208"/>
      <c r="G89" s="1208"/>
      <c r="H89" s="1208"/>
      <c r="I89" s="1208"/>
      <c r="J89" s="1208"/>
      <c r="K89" s="1208"/>
      <c r="L89" s="1208"/>
      <c r="M89" s="1208"/>
      <c r="N89" s="1208"/>
      <c r="O89" s="1208"/>
      <c r="P89" s="1208"/>
      <c r="Q89" s="1208"/>
      <c r="R89" s="1208"/>
      <c r="S89" s="1208"/>
      <c r="T89" s="1208"/>
      <c r="U89" s="1208"/>
      <c r="V89" s="1208"/>
      <c r="W89" s="1208"/>
      <c r="X89" s="1208"/>
      <c r="Y89" s="1208"/>
      <c r="Z89" s="1208"/>
      <c r="AA89" s="1208"/>
      <c r="AB89" s="1208"/>
      <c r="AC89" s="1208"/>
      <c r="AD89" s="1208"/>
      <c r="AE89" s="1208"/>
      <c r="AF89" s="1208"/>
      <c r="AG89" s="1208"/>
      <c r="AH89" s="1208"/>
      <c r="AI89" s="1208"/>
      <c r="AJ89" s="1208"/>
      <c r="AK89" s="1208"/>
      <c r="AL89" s="1208"/>
      <c r="AM89" s="1208"/>
      <c r="AN89" s="1208"/>
      <c r="AO89" s="1208"/>
      <c r="AP89" s="1208"/>
      <c r="AQ89" s="1208"/>
      <c r="AR89" s="1208"/>
      <c r="AS89" s="1208"/>
      <c r="AT89" s="1208"/>
      <c r="AU89" s="1208"/>
      <c r="AV89" s="1208"/>
      <c r="AW89" s="1208"/>
      <c r="AX89" s="1208"/>
      <c r="AY89" s="1208"/>
      <c r="AZ89" s="1208"/>
      <c r="BA89" s="1208"/>
      <c r="BB89" s="1208"/>
      <c r="BC89" s="1208"/>
      <c r="BD89" s="1208"/>
      <c r="BE89" s="1208"/>
      <c r="BF89" s="1208"/>
    </row>
    <row r="90" spans="1:58" x14ac:dyDescent="0.35">
      <c r="A90" s="1208"/>
      <c r="B90" s="1208"/>
      <c r="C90" s="1208"/>
      <c r="D90" s="1208"/>
      <c r="E90" s="1208"/>
      <c r="F90" s="1208"/>
      <c r="G90" s="1208"/>
      <c r="H90" s="1208"/>
      <c r="I90" s="1208"/>
      <c r="J90" s="1208"/>
      <c r="K90" s="1208"/>
      <c r="L90" s="1208"/>
      <c r="M90" s="1208"/>
      <c r="N90" s="1208"/>
      <c r="O90" s="1208"/>
      <c r="P90" s="1208"/>
      <c r="Q90" s="1208"/>
      <c r="R90" s="1208"/>
      <c r="S90" s="1208"/>
      <c r="T90" s="1208"/>
      <c r="U90" s="1208"/>
      <c r="V90" s="1208"/>
      <c r="W90" s="1208"/>
      <c r="X90" s="1208"/>
      <c r="Y90" s="1208"/>
      <c r="Z90" s="1208"/>
      <c r="AA90" s="1208"/>
      <c r="AB90" s="1208"/>
      <c r="AC90" s="1208"/>
      <c r="AD90" s="1208"/>
      <c r="AE90" s="1208"/>
      <c r="AF90" s="1208"/>
      <c r="AG90" s="1208"/>
      <c r="AH90" s="1208"/>
      <c r="AI90" s="1208"/>
      <c r="AJ90" s="1208"/>
      <c r="AK90" s="1208"/>
      <c r="AL90" s="1208"/>
      <c r="AM90" s="1208"/>
      <c r="AN90" s="1208"/>
      <c r="AO90" s="1208"/>
      <c r="AP90" s="1208"/>
      <c r="AQ90" s="1208"/>
      <c r="AR90" s="1208"/>
      <c r="AS90" s="1208"/>
      <c r="AT90" s="1208"/>
      <c r="AU90" s="1208"/>
      <c r="AV90" s="1208"/>
      <c r="AW90" s="1208"/>
      <c r="AX90" s="1208"/>
      <c r="AY90" s="1208"/>
      <c r="AZ90" s="1208"/>
      <c r="BA90" s="1208"/>
      <c r="BB90" s="1208"/>
      <c r="BC90" s="1208"/>
      <c r="BD90" s="1208"/>
      <c r="BE90" s="1208"/>
      <c r="BF90" s="1208"/>
    </row>
    <row r="91" spans="1:58" x14ac:dyDescent="0.35">
      <c r="A91" s="1208"/>
      <c r="B91" s="1208"/>
      <c r="C91" s="1208"/>
      <c r="D91" s="1208"/>
      <c r="E91" s="1208"/>
      <c r="F91" s="1208"/>
      <c r="G91" s="1208"/>
      <c r="H91" s="1208"/>
      <c r="I91" s="1208"/>
      <c r="J91" s="1208"/>
      <c r="K91" s="1208"/>
      <c r="L91" s="1208"/>
      <c r="M91" s="1208"/>
      <c r="N91" s="1208"/>
      <c r="O91" s="1208"/>
      <c r="P91" s="1208"/>
      <c r="Q91" s="1208"/>
      <c r="R91" s="1208"/>
      <c r="S91" s="1208"/>
      <c r="T91" s="1208"/>
      <c r="U91" s="1208"/>
      <c r="V91" s="1208"/>
      <c r="W91" s="1208"/>
      <c r="X91" s="1208"/>
      <c r="Y91" s="1208"/>
      <c r="Z91" s="1208"/>
      <c r="AA91" s="1208"/>
      <c r="AB91" s="1208"/>
      <c r="AC91" s="1208"/>
      <c r="AD91" s="1208"/>
      <c r="AE91" s="1208"/>
      <c r="AF91" s="1208"/>
      <c r="AG91" s="1208"/>
      <c r="AH91" s="1208"/>
      <c r="AI91" s="1208"/>
      <c r="AJ91" s="1208"/>
      <c r="AK91" s="1208"/>
      <c r="AL91" s="1208"/>
      <c r="AM91" s="1208"/>
      <c r="AN91" s="1208"/>
      <c r="AO91" s="1208"/>
      <c r="AP91" s="1208"/>
      <c r="AQ91" s="1208"/>
      <c r="AR91" s="1208"/>
      <c r="AS91" s="1208"/>
      <c r="AT91" s="1208"/>
      <c r="AU91" s="1208"/>
      <c r="AV91" s="1208"/>
      <c r="AW91" s="1208"/>
      <c r="AX91" s="1208"/>
      <c r="AY91" s="1208"/>
      <c r="AZ91" s="1208"/>
      <c r="BA91" s="1208"/>
      <c r="BB91" s="1208"/>
      <c r="BC91" s="1208"/>
      <c r="BD91" s="1208"/>
      <c r="BE91" s="1208"/>
      <c r="BF91" s="1208"/>
    </row>
    <row r="92" spans="1:58" x14ac:dyDescent="0.35">
      <c r="A92" s="1208"/>
      <c r="B92" s="1208"/>
      <c r="C92" s="1208"/>
      <c r="D92" s="1208"/>
      <c r="E92" s="1208"/>
      <c r="F92" s="1208"/>
      <c r="G92" s="1208"/>
      <c r="H92" s="1208"/>
      <c r="I92" s="1208"/>
      <c r="J92" s="1208"/>
      <c r="K92" s="1208"/>
      <c r="L92" s="1208"/>
      <c r="M92" s="1208"/>
      <c r="N92" s="1208"/>
      <c r="O92" s="1208"/>
      <c r="P92" s="1208"/>
      <c r="Q92" s="1208"/>
      <c r="R92" s="1208"/>
      <c r="S92" s="1208"/>
      <c r="T92" s="1208"/>
      <c r="U92" s="1208"/>
      <c r="V92" s="1208"/>
      <c r="W92" s="1208"/>
      <c r="X92" s="1208"/>
      <c r="Y92" s="1208"/>
      <c r="Z92" s="1208"/>
      <c r="AA92" s="1208"/>
      <c r="AB92" s="1208"/>
      <c r="AC92" s="1208"/>
      <c r="AD92" s="1208"/>
      <c r="AE92" s="1208"/>
      <c r="AF92" s="1208"/>
      <c r="AG92" s="1208"/>
      <c r="AH92" s="1208"/>
      <c r="AI92" s="1208"/>
      <c r="AJ92" s="1208"/>
      <c r="AK92" s="1208"/>
      <c r="AL92" s="1208"/>
      <c r="AM92" s="1208"/>
      <c r="AN92" s="1208"/>
      <c r="AO92" s="1208"/>
      <c r="AP92" s="1208"/>
      <c r="AQ92" s="1208"/>
      <c r="AR92" s="1208"/>
      <c r="AS92" s="1208"/>
      <c r="AT92" s="1208"/>
      <c r="AU92" s="1208"/>
      <c r="AV92" s="1208"/>
      <c r="AW92" s="1208"/>
      <c r="AX92" s="1208"/>
      <c r="AY92" s="1208"/>
      <c r="AZ92" s="1208"/>
      <c r="BA92" s="1208"/>
      <c r="BB92" s="1208"/>
      <c r="BC92" s="1208"/>
      <c r="BD92" s="1208"/>
      <c r="BE92" s="1208"/>
      <c r="BF92" s="1208"/>
    </row>
    <row r="93" spans="1:58" x14ac:dyDescent="0.35">
      <c r="A93" s="1208"/>
      <c r="B93" s="1208"/>
      <c r="C93" s="1208"/>
      <c r="D93" s="1208"/>
      <c r="E93" s="1208"/>
      <c r="F93" s="1208"/>
      <c r="G93" s="1208"/>
      <c r="H93" s="1208"/>
      <c r="I93" s="1208"/>
      <c r="J93" s="1208"/>
      <c r="K93" s="1208"/>
      <c r="L93" s="1208"/>
      <c r="M93" s="1208"/>
      <c r="N93" s="1208"/>
      <c r="O93" s="1208"/>
      <c r="P93" s="1208"/>
      <c r="Q93" s="1208"/>
      <c r="R93" s="1208"/>
      <c r="S93" s="1208"/>
      <c r="T93" s="1208"/>
      <c r="U93" s="1208"/>
      <c r="V93" s="1208"/>
      <c r="W93" s="1208"/>
      <c r="X93" s="1208"/>
      <c r="Y93" s="1208"/>
      <c r="Z93" s="1208"/>
      <c r="AA93" s="1208"/>
      <c r="AB93" s="1208"/>
      <c r="AC93" s="1208"/>
      <c r="AD93" s="1208"/>
      <c r="AE93" s="1208"/>
      <c r="AF93" s="1208"/>
      <c r="AG93" s="1208"/>
      <c r="AH93" s="1208"/>
      <c r="AI93" s="1208"/>
      <c r="AJ93" s="1208"/>
      <c r="AK93" s="1208"/>
      <c r="AL93" s="1208"/>
      <c r="AM93" s="1208"/>
      <c r="AN93" s="1208"/>
      <c r="AO93" s="1208"/>
      <c r="AP93" s="1208"/>
      <c r="AQ93" s="1208"/>
      <c r="AR93" s="1208"/>
      <c r="AS93" s="1208"/>
      <c r="AT93" s="1208"/>
      <c r="AU93" s="1208"/>
      <c r="AV93" s="1208"/>
      <c r="AW93" s="1208"/>
      <c r="AX93" s="1208"/>
      <c r="AY93" s="1208"/>
      <c r="AZ93" s="1208"/>
      <c r="BA93" s="1208"/>
      <c r="BB93" s="1208"/>
      <c r="BC93" s="1208"/>
      <c r="BD93" s="1208"/>
      <c r="BE93" s="1208"/>
      <c r="BF93" s="1208"/>
    </row>
    <row r="94" spans="1:58" x14ac:dyDescent="0.35">
      <c r="A94" s="1208"/>
      <c r="B94" s="1208"/>
      <c r="C94" s="1208"/>
      <c r="D94" s="1208"/>
      <c r="E94" s="1208"/>
      <c r="F94" s="1208"/>
      <c r="G94" s="1208"/>
      <c r="H94" s="1208"/>
      <c r="I94" s="1208"/>
      <c r="J94" s="1208"/>
      <c r="K94" s="1208"/>
      <c r="L94" s="1208"/>
      <c r="M94" s="1208"/>
      <c r="N94" s="1208"/>
      <c r="O94" s="1208"/>
      <c r="P94" s="1208"/>
      <c r="Q94" s="1208"/>
      <c r="R94" s="1208"/>
      <c r="S94" s="1208"/>
      <c r="T94" s="1208"/>
      <c r="U94" s="1208"/>
      <c r="V94" s="1208"/>
      <c r="W94" s="1208"/>
      <c r="X94" s="1208"/>
      <c r="Y94" s="1208"/>
      <c r="Z94" s="1208"/>
      <c r="AA94" s="1208"/>
      <c r="AB94" s="1208"/>
      <c r="AC94" s="1208"/>
      <c r="AD94" s="1208"/>
      <c r="AE94" s="1208"/>
      <c r="AF94" s="1208"/>
      <c r="AG94" s="1208"/>
      <c r="AH94" s="1208"/>
      <c r="AI94" s="1208"/>
      <c r="AJ94" s="1208"/>
      <c r="AK94" s="1208"/>
      <c r="AL94" s="1208"/>
      <c r="AM94" s="1208"/>
      <c r="AN94" s="1208"/>
      <c r="AO94" s="1208"/>
      <c r="AP94" s="1208"/>
      <c r="AQ94" s="1208"/>
      <c r="AR94" s="1208"/>
      <c r="AS94" s="1208"/>
      <c r="AT94" s="1208"/>
      <c r="AU94" s="1208"/>
      <c r="AV94" s="1208"/>
      <c r="AW94" s="1208"/>
      <c r="AX94" s="1208"/>
      <c r="AY94" s="1208"/>
      <c r="AZ94" s="1208"/>
      <c r="BA94" s="1208"/>
      <c r="BB94" s="1208"/>
      <c r="BC94" s="1208"/>
      <c r="BD94" s="1208"/>
      <c r="BE94" s="1208"/>
      <c r="BF94" s="1208"/>
    </row>
    <row r="95" spans="1:58" x14ac:dyDescent="0.35">
      <c r="A95" s="1208"/>
      <c r="B95" s="1208"/>
      <c r="C95" s="1208"/>
      <c r="D95" s="1208"/>
      <c r="E95" s="1208"/>
      <c r="F95" s="1208"/>
      <c r="G95" s="1208"/>
      <c r="H95" s="1208"/>
      <c r="I95" s="1208"/>
      <c r="J95" s="1208"/>
      <c r="K95" s="1208"/>
      <c r="L95" s="1208"/>
      <c r="M95" s="1208"/>
      <c r="N95" s="1208"/>
      <c r="O95" s="1208"/>
      <c r="P95" s="1208"/>
      <c r="Q95" s="1208"/>
      <c r="R95" s="1208"/>
      <c r="S95" s="1208"/>
      <c r="T95" s="1208"/>
      <c r="U95" s="1208"/>
      <c r="V95" s="1208"/>
      <c r="W95" s="1208"/>
      <c r="X95" s="1208"/>
      <c r="Y95" s="1208"/>
      <c r="Z95" s="1208"/>
      <c r="AA95" s="1208"/>
      <c r="AB95" s="1208"/>
      <c r="AC95" s="1208"/>
      <c r="AD95" s="1208"/>
      <c r="AE95" s="1208"/>
      <c r="AF95" s="1208"/>
      <c r="AG95" s="1208"/>
      <c r="AH95" s="1208"/>
      <c r="AI95" s="1208"/>
      <c r="AJ95" s="1208"/>
      <c r="AK95" s="1208"/>
      <c r="AL95" s="1208"/>
      <c r="AM95" s="1208"/>
      <c r="AN95" s="1208"/>
      <c r="AO95" s="1208"/>
      <c r="AP95" s="1208"/>
      <c r="AQ95" s="1208"/>
      <c r="AR95" s="1208"/>
      <c r="AS95" s="1208"/>
      <c r="AT95" s="1208"/>
      <c r="AU95" s="1208"/>
      <c r="AV95" s="1208"/>
      <c r="AW95" s="1208"/>
      <c r="AX95" s="1208"/>
      <c r="AY95" s="1208"/>
      <c r="AZ95" s="1208"/>
      <c r="BA95" s="1208"/>
      <c r="BB95" s="1208"/>
      <c r="BC95" s="1208"/>
      <c r="BD95" s="1208"/>
      <c r="BE95" s="1208"/>
      <c r="BF95" s="1208"/>
    </row>
    <row r="96" spans="1:58" x14ac:dyDescent="0.35">
      <c r="A96" s="1208"/>
      <c r="B96" s="1208"/>
      <c r="C96" s="1208"/>
      <c r="D96" s="1208"/>
      <c r="E96" s="1208"/>
      <c r="F96" s="1208"/>
      <c r="G96" s="1208"/>
      <c r="H96" s="1208"/>
      <c r="I96" s="1208"/>
      <c r="J96" s="1208"/>
      <c r="K96" s="1208"/>
      <c r="L96" s="1208"/>
      <c r="M96" s="1208"/>
      <c r="N96" s="1208"/>
      <c r="O96" s="1208"/>
      <c r="P96" s="1208"/>
      <c r="Q96" s="1208"/>
      <c r="R96" s="1208"/>
      <c r="S96" s="1208"/>
      <c r="T96" s="1208"/>
      <c r="U96" s="1208"/>
      <c r="V96" s="1208"/>
      <c r="W96" s="1208"/>
      <c r="X96" s="1208"/>
      <c r="Y96" s="1208"/>
      <c r="Z96" s="1208"/>
      <c r="AA96" s="1208"/>
      <c r="AB96" s="1208"/>
      <c r="AC96" s="1208"/>
      <c r="AD96" s="1208"/>
      <c r="AE96" s="1208"/>
      <c r="AF96" s="1208"/>
      <c r="AG96" s="1208"/>
      <c r="AH96" s="1208"/>
      <c r="AI96" s="1208"/>
      <c r="AJ96" s="1208"/>
      <c r="AK96" s="1208"/>
      <c r="AL96" s="1208"/>
      <c r="AM96" s="1208"/>
      <c r="AN96" s="1208"/>
      <c r="AO96" s="1208"/>
      <c r="AP96" s="1208"/>
      <c r="AQ96" s="1208"/>
      <c r="AR96" s="1208"/>
      <c r="AS96" s="1208"/>
      <c r="AT96" s="1208"/>
      <c r="AU96" s="1208"/>
      <c r="AV96" s="1208"/>
      <c r="AW96" s="1208"/>
      <c r="AX96" s="1208"/>
      <c r="AY96" s="1208"/>
      <c r="AZ96" s="1208"/>
      <c r="BA96" s="1208"/>
      <c r="BB96" s="1208"/>
      <c r="BC96" s="1208"/>
      <c r="BD96" s="1208"/>
      <c r="BE96" s="1208"/>
      <c r="BF96" s="1208"/>
    </row>
    <row r="97" spans="1:58" x14ac:dyDescent="0.35">
      <c r="A97" s="1208"/>
      <c r="B97" s="1208"/>
      <c r="C97" s="1208"/>
      <c r="D97" s="1208"/>
      <c r="E97" s="1208"/>
      <c r="F97" s="1208"/>
      <c r="G97" s="1208"/>
      <c r="H97" s="1208"/>
      <c r="I97" s="1208"/>
      <c r="J97" s="1208"/>
      <c r="K97" s="1208"/>
      <c r="L97" s="1208"/>
      <c r="M97" s="1208"/>
      <c r="N97" s="1208"/>
      <c r="O97" s="1208"/>
      <c r="P97" s="1208"/>
      <c r="Q97" s="1208"/>
      <c r="R97" s="1208"/>
      <c r="S97" s="1208"/>
      <c r="T97" s="1208"/>
      <c r="U97" s="1208"/>
      <c r="V97" s="1208"/>
      <c r="W97" s="1208"/>
      <c r="X97" s="1208"/>
      <c r="Y97" s="1208"/>
      <c r="Z97" s="1208"/>
      <c r="AA97" s="1208"/>
      <c r="AB97" s="1208"/>
      <c r="AC97" s="1208"/>
      <c r="AD97" s="1208"/>
      <c r="AE97" s="1208"/>
      <c r="AF97" s="1208"/>
      <c r="AG97" s="1208"/>
      <c r="AH97" s="1208"/>
      <c r="AI97" s="1208"/>
      <c r="AJ97" s="1208"/>
      <c r="AK97" s="1208"/>
      <c r="AL97" s="1208"/>
      <c r="AM97" s="1208"/>
      <c r="AN97" s="1208"/>
      <c r="AO97" s="1208"/>
      <c r="AP97" s="1208"/>
      <c r="AQ97" s="1208"/>
      <c r="AR97" s="1208"/>
      <c r="AS97" s="1208"/>
      <c r="AT97" s="1208"/>
      <c r="AU97" s="1208"/>
      <c r="AV97" s="1208"/>
      <c r="AW97" s="1208"/>
      <c r="AX97" s="1208"/>
      <c r="AY97" s="1208"/>
      <c r="AZ97" s="1208"/>
      <c r="BA97" s="1208"/>
      <c r="BB97" s="1208"/>
      <c r="BC97" s="1208"/>
      <c r="BD97" s="1208"/>
      <c r="BE97" s="1208"/>
      <c r="BF97" s="1208"/>
    </row>
  </sheetData>
  <mergeCells count="3">
    <mergeCell ref="B7:C7"/>
    <mergeCell ref="A14:B14"/>
    <mergeCell ref="A67:T67"/>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J118"/>
  <sheetViews>
    <sheetView topLeftCell="A55" workbookViewId="0">
      <selection activeCell="C86" sqref="C86"/>
    </sheetView>
  </sheetViews>
  <sheetFormatPr defaultRowHeight="12.5" x14ac:dyDescent="0.25"/>
  <cols>
    <col min="1" max="1" width="10.1796875" bestFit="1" customWidth="1"/>
    <col min="2" max="2" width="36" customWidth="1"/>
    <col min="3" max="3" width="14.1796875" customWidth="1"/>
    <col min="4" max="4" width="12.54296875" style="1408" customWidth="1"/>
    <col min="5" max="5" width="0" hidden="1" customWidth="1"/>
    <col min="6" max="6" width="28.54296875" hidden="1" customWidth="1"/>
    <col min="7" max="9" width="0" hidden="1" customWidth="1"/>
    <col min="10" max="10" width="9.81640625" bestFit="1" customWidth="1"/>
    <col min="11" max="11" width="9.81640625" customWidth="1"/>
    <col min="13" max="13" width="27" customWidth="1"/>
    <col min="14" max="14" width="11.7265625" customWidth="1"/>
    <col min="20" max="20" width="29.1796875" customWidth="1"/>
    <col min="23" max="23" width="10" customWidth="1"/>
    <col min="24" max="24" width="9.54296875" customWidth="1"/>
    <col min="27" max="27" width="1" customWidth="1"/>
    <col min="32" max="32" width="19.7265625" customWidth="1"/>
  </cols>
  <sheetData>
    <row r="2" spans="1:30" x14ac:dyDescent="0.25">
      <c r="B2" s="1418" t="s">
        <v>1140</v>
      </c>
      <c r="C2" s="1418"/>
    </row>
    <row r="4" spans="1:30" ht="29" x14ac:dyDescent="0.35">
      <c r="B4" s="1429" t="s">
        <v>440</v>
      </c>
      <c r="C4" s="1433" t="s">
        <v>1152</v>
      </c>
      <c r="D4" s="1427" t="s">
        <v>1149</v>
      </c>
      <c r="F4" s="1419" t="s">
        <v>440</v>
      </c>
      <c r="G4" s="1420" t="s">
        <v>1146</v>
      </c>
      <c r="H4" s="1426" t="s">
        <v>1147</v>
      </c>
      <c r="J4" s="1427" t="s">
        <v>1148</v>
      </c>
      <c r="K4" s="1462"/>
    </row>
    <row r="5" spans="1:30" ht="14.5" x14ac:dyDescent="0.35">
      <c r="A5">
        <v>9257010</v>
      </c>
      <c r="B5" s="1407" t="s">
        <v>773</v>
      </c>
      <c r="C5" s="922">
        <v>3414.321483273884</v>
      </c>
      <c r="D5" s="1423">
        <v>9127.2900934680183</v>
      </c>
      <c r="F5" s="576" t="s">
        <v>773</v>
      </c>
      <c r="G5" s="922">
        <v>4553.8734266857555</v>
      </c>
      <c r="H5" s="632">
        <v>6456.5208567805876</v>
      </c>
      <c r="J5" s="18">
        <f t="shared" ref="J5:J26" si="0">G5+H5</f>
        <v>11010.394283466343</v>
      </c>
      <c r="K5" s="84"/>
      <c r="AD5" t="s">
        <v>67</v>
      </c>
    </row>
    <row r="6" spans="1:30" ht="14.5" x14ac:dyDescent="0.35">
      <c r="A6">
        <v>9257005</v>
      </c>
      <c r="B6" s="1407" t="s">
        <v>774</v>
      </c>
      <c r="C6" s="922">
        <v>4629.8247348200184</v>
      </c>
      <c r="D6" s="1423">
        <v>11554.910735821051</v>
      </c>
      <c r="F6" s="576" t="s">
        <v>774</v>
      </c>
      <c r="G6" s="922">
        <v>5973.1814070680621</v>
      </c>
      <c r="H6" s="632">
        <v>8390.5211297562782</v>
      </c>
      <c r="J6" s="18">
        <f t="shared" si="0"/>
        <v>14363.702536824341</v>
      </c>
      <c r="K6" s="84"/>
      <c r="AD6" t="s">
        <v>68</v>
      </c>
    </row>
    <row r="7" spans="1:30" ht="14.5" x14ac:dyDescent="0.35">
      <c r="A7">
        <v>9257025</v>
      </c>
      <c r="B7" s="1407" t="s">
        <v>776</v>
      </c>
      <c r="C7" s="922">
        <v>3907.0894289831836</v>
      </c>
      <c r="D7" s="1423">
        <v>10799.702738792777</v>
      </c>
      <c r="F7" s="576" t="s">
        <v>776</v>
      </c>
      <c r="G7" s="922">
        <v>5718.3340247761325</v>
      </c>
      <c r="H7" s="632">
        <v>8107.5030941023369</v>
      </c>
      <c r="J7" s="18">
        <f t="shared" si="0"/>
        <v>13825.837118878469</v>
      </c>
      <c r="K7" s="84"/>
      <c r="AD7" t="s">
        <v>69</v>
      </c>
    </row>
    <row r="8" spans="1:30" ht="14.5" x14ac:dyDescent="0.35">
      <c r="A8">
        <v>9257011</v>
      </c>
      <c r="B8" s="1407" t="s">
        <v>70</v>
      </c>
      <c r="C8" s="922">
        <v>3451.6628856968241</v>
      </c>
      <c r="D8" s="1423">
        <v>9310.7019399396449</v>
      </c>
      <c r="F8" s="576" t="s">
        <v>70</v>
      </c>
      <c r="G8" s="922">
        <v>4453.0222950401821</v>
      </c>
      <c r="H8" s="632">
        <v>6313.5332561406922</v>
      </c>
      <c r="J8" s="18">
        <f t="shared" si="0"/>
        <v>10766.555551180874</v>
      </c>
      <c r="K8" s="84"/>
      <c r="AD8" t="s">
        <v>70</v>
      </c>
    </row>
    <row r="9" spans="1:30" ht="14.5" x14ac:dyDescent="0.35">
      <c r="A9">
        <v>9257024</v>
      </c>
      <c r="B9" s="1407" t="s">
        <v>777</v>
      </c>
      <c r="C9" s="922">
        <v>4293.702724702157</v>
      </c>
      <c r="D9" s="1423">
        <v>11423.360723804921</v>
      </c>
      <c r="F9" s="576" t="s">
        <v>777</v>
      </c>
      <c r="G9" s="922">
        <v>5978.6992600751582</v>
      </c>
      <c r="H9" s="632">
        <v>8574.4936026672658</v>
      </c>
      <c r="J9" s="18">
        <f t="shared" si="0"/>
        <v>14553.192862742424</v>
      </c>
      <c r="K9" s="84"/>
      <c r="AD9" t="s">
        <v>71</v>
      </c>
    </row>
    <row r="10" spans="1:30" ht="14.5" x14ac:dyDescent="0.35">
      <c r="A10">
        <v>9257031</v>
      </c>
      <c r="B10" s="1407" t="s">
        <v>422</v>
      </c>
      <c r="C10" s="922">
        <v>4146.4759953838984</v>
      </c>
      <c r="D10" s="1423">
        <v>10683.350626495672</v>
      </c>
      <c r="F10" s="577" t="s">
        <v>422</v>
      </c>
      <c r="G10" s="922">
        <v>5545.9466481145691</v>
      </c>
      <c r="H10" s="632">
        <v>7863.0907908664258</v>
      </c>
      <c r="J10" s="18">
        <f t="shared" si="0"/>
        <v>13409.037438980995</v>
      </c>
      <c r="K10" s="84"/>
      <c r="AD10" t="s">
        <v>98</v>
      </c>
    </row>
    <row r="11" spans="1:30" ht="14.5" x14ac:dyDescent="0.35">
      <c r="A11">
        <v>9257033</v>
      </c>
      <c r="B11" s="1407" t="s">
        <v>768</v>
      </c>
      <c r="C11" s="922">
        <v>5526.9144372921028</v>
      </c>
      <c r="D11" s="1423">
        <v>14285.483447517036</v>
      </c>
      <c r="F11" s="576" t="s">
        <v>768</v>
      </c>
      <c r="G11" s="922">
        <v>7185.6612653145457</v>
      </c>
      <c r="H11" s="632">
        <v>10187.892258355743</v>
      </c>
      <c r="J11" s="18">
        <f t="shared" si="0"/>
        <v>17373.553523670289</v>
      </c>
      <c r="K11" s="84"/>
      <c r="AD11" t="s">
        <v>72</v>
      </c>
    </row>
    <row r="12" spans="1:30" ht="14.5" x14ac:dyDescent="0.35">
      <c r="A12">
        <v>9257008</v>
      </c>
      <c r="B12" s="1407" t="s">
        <v>87</v>
      </c>
      <c r="C12" s="922">
        <v>5975.745421592399</v>
      </c>
      <c r="D12" s="1423">
        <v>15572.341591163353</v>
      </c>
      <c r="F12" s="576" t="s">
        <v>87</v>
      </c>
      <c r="G12" s="922">
        <v>7566.029782286213</v>
      </c>
      <c r="H12" s="632">
        <v>10404.07003591544</v>
      </c>
      <c r="J12" s="18">
        <f t="shared" si="0"/>
        <v>17970.099818201652</v>
      </c>
      <c r="K12" s="84"/>
      <c r="AD12" t="s">
        <v>73</v>
      </c>
    </row>
    <row r="13" spans="1:30" ht="14.5" x14ac:dyDescent="0.35">
      <c r="A13">
        <v>9257034</v>
      </c>
      <c r="B13" s="1407" t="s">
        <v>769</v>
      </c>
      <c r="C13" s="922">
        <v>6314.2918317788881</v>
      </c>
      <c r="D13" s="1423">
        <v>16398.086344867806</v>
      </c>
      <c r="F13" s="576" t="s">
        <v>769</v>
      </c>
      <c r="G13" s="922">
        <v>8748.6890211647988</v>
      </c>
      <c r="H13" s="632">
        <v>13067.137642544349</v>
      </c>
      <c r="J13" s="18">
        <f t="shared" si="0"/>
        <v>21815.826663709147</v>
      </c>
      <c r="K13" s="84"/>
      <c r="AD13" t="s">
        <v>74</v>
      </c>
    </row>
    <row r="14" spans="1:30" ht="14.5" x14ac:dyDescent="0.35">
      <c r="A14">
        <v>9257002</v>
      </c>
      <c r="B14" s="1407" t="s">
        <v>775</v>
      </c>
      <c r="C14" s="922">
        <v>8125.9177368061028</v>
      </c>
      <c r="D14" s="1423">
        <v>21053.280214425573</v>
      </c>
      <c r="F14" s="576" t="s">
        <v>775</v>
      </c>
      <c r="G14" s="922">
        <v>10572.29268658719</v>
      </c>
      <c r="H14" s="632">
        <v>15311.774977101786</v>
      </c>
      <c r="J14" s="18">
        <f t="shared" si="0"/>
        <v>25884.067663688977</v>
      </c>
      <c r="K14" s="84"/>
      <c r="AD14" t="s">
        <v>75</v>
      </c>
    </row>
    <row r="15" spans="1:30" ht="14.5" x14ac:dyDescent="0.35">
      <c r="A15">
        <v>9257009</v>
      </c>
      <c r="B15" s="1407" t="s">
        <v>411</v>
      </c>
      <c r="C15" s="922">
        <v>8716.0405464586547</v>
      </c>
      <c r="D15" s="1423">
        <v>20946.072661764578</v>
      </c>
      <c r="F15" s="576" t="s">
        <v>411</v>
      </c>
      <c r="G15" s="922">
        <v>10236.555039190876</v>
      </c>
      <c r="H15" s="632">
        <v>14513.47565455272</v>
      </c>
      <c r="J15" s="18">
        <f t="shared" si="0"/>
        <v>24750.030693743596</v>
      </c>
      <c r="K15" s="84"/>
      <c r="AD15" t="s">
        <v>76</v>
      </c>
    </row>
    <row r="16" spans="1:30" ht="14.5" x14ac:dyDescent="0.35">
      <c r="A16">
        <v>9257029</v>
      </c>
      <c r="B16" s="1407" t="s">
        <v>1141</v>
      </c>
      <c r="C16" s="922">
        <v>2437.3898708228462</v>
      </c>
      <c r="D16" s="1423">
        <v>8220.7477702186588</v>
      </c>
      <c r="F16" s="576" t="s">
        <v>1141</v>
      </c>
      <c r="G16" s="922">
        <v>4958.1398052782142</v>
      </c>
      <c r="H16" s="632">
        <v>7145.0698999135702</v>
      </c>
      <c r="J16" s="18">
        <f t="shared" si="0"/>
        <v>12103.209705191784</v>
      </c>
      <c r="K16" s="84"/>
      <c r="AD16" t="s">
        <v>848</v>
      </c>
    </row>
    <row r="17" spans="1:30" ht="14.5" x14ac:dyDescent="0.35">
      <c r="A17">
        <v>9257032</v>
      </c>
      <c r="B17" s="1407" t="s">
        <v>770</v>
      </c>
      <c r="C17" s="922">
        <v>3903.7080799633391</v>
      </c>
      <c r="D17" s="1423">
        <v>10345.346312888778</v>
      </c>
      <c r="F17" s="577" t="s">
        <v>770</v>
      </c>
      <c r="G17" s="922">
        <v>5510.3576856667942</v>
      </c>
      <c r="H17" s="632">
        <v>7676.9952693376172</v>
      </c>
      <c r="J17" s="18">
        <f t="shared" si="0"/>
        <v>13187.352955004411</v>
      </c>
      <c r="K17" s="84"/>
      <c r="AD17" t="s">
        <v>934</v>
      </c>
    </row>
    <row r="18" spans="1:30" ht="14.5" x14ac:dyDescent="0.35">
      <c r="A18">
        <v>9257030</v>
      </c>
      <c r="B18" s="1407" t="s">
        <v>771</v>
      </c>
      <c r="C18" s="922">
        <v>4078.500979066137</v>
      </c>
      <c r="D18" s="1423">
        <v>10478.133721805712</v>
      </c>
      <c r="F18" s="576" t="s">
        <v>771</v>
      </c>
      <c r="G18" s="922">
        <v>5395.6868984626135</v>
      </c>
      <c r="H18" s="632">
        <v>7655.7018800272263</v>
      </c>
      <c r="J18" s="18">
        <f t="shared" si="0"/>
        <v>13051.38877848984</v>
      </c>
      <c r="K18" s="84"/>
      <c r="AD18" t="s">
        <v>933</v>
      </c>
    </row>
    <row r="19" spans="1:30" ht="14.5" x14ac:dyDescent="0.35">
      <c r="A19">
        <v>9257028</v>
      </c>
      <c r="B19" s="1407" t="s">
        <v>77</v>
      </c>
      <c r="C19" s="922">
        <v>4442.2561871329954</v>
      </c>
      <c r="D19" s="1423">
        <v>12504.381618407231</v>
      </c>
      <c r="F19" s="576" t="s">
        <v>77</v>
      </c>
      <c r="G19" s="922">
        <v>6701.3860197255999</v>
      </c>
      <c r="H19" s="632">
        <v>9674.2826558040197</v>
      </c>
      <c r="J19" s="18">
        <f t="shared" si="0"/>
        <v>16375.66867552962</v>
      </c>
      <c r="K19" s="84"/>
      <c r="AD19" t="s">
        <v>77</v>
      </c>
    </row>
    <row r="20" spans="1:30" ht="14.5" x14ac:dyDescent="0.35">
      <c r="A20">
        <v>9257021</v>
      </c>
      <c r="B20" s="1407" t="s">
        <v>778</v>
      </c>
      <c r="C20" s="922">
        <v>9700.1640048080189</v>
      </c>
      <c r="D20" s="1423">
        <v>24787.225174632291</v>
      </c>
      <c r="F20" s="576" t="s">
        <v>778</v>
      </c>
      <c r="G20" s="922">
        <v>12306.866995827164</v>
      </c>
      <c r="H20" s="632">
        <v>17448.781728220376</v>
      </c>
      <c r="J20" s="18">
        <f t="shared" si="0"/>
        <v>29755.64872404754</v>
      </c>
      <c r="K20" s="84"/>
      <c r="AD20" t="s">
        <v>78</v>
      </c>
    </row>
    <row r="21" spans="1:30" ht="14.5" x14ac:dyDescent="0.35">
      <c r="A21">
        <v>9257015</v>
      </c>
      <c r="B21" s="1407" t="s">
        <v>55</v>
      </c>
      <c r="C21" s="922">
        <v>14808.144107601689</v>
      </c>
      <c r="D21" s="1423">
        <v>35967.509649800013</v>
      </c>
      <c r="F21" s="577" t="s">
        <v>55</v>
      </c>
      <c r="G21" s="922">
        <v>17401.852131719708</v>
      </c>
      <c r="H21" s="632">
        <v>24672.495413828547</v>
      </c>
      <c r="J21" s="18">
        <f t="shared" si="0"/>
        <v>42074.347545548255</v>
      </c>
      <c r="K21" s="84"/>
      <c r="AD21" t="s">
        <v>55</v>
      </c>
    </row>
    <row r="22" spans="1:30" ht="14.5" x14ac:dyDescent="0.35">
      <c r="A22">
        <v>9257016</v>
      </c>
      <c r="B22" s="1407" t="s">
        <v>80</v>
      </c>
      <c r="C22" s="922">
        <v>6750.836348099283</v>
      </c>
      <c r="D22" s="1423">
        <v>16475.121407245097</v>
      </c>
      <c r="F22" s="577" t="s">
        <v>80</v>
      </c>
      <c r="G22" s="922">
        <v>9988.5439933259986</v>
      </c>
      <c r="H22" s="632">
        <v>13984.555429374912</v>
      </c>
      <c r="J22" s="18">
        <f t="shared" si="0"/>
        <v>23973.099422700911</v>
      </c>
      <c r="K22" s="84"/>
      <c r="M22" s="502">
        <f>SUM(J5:J22)</f>
        <v>336243.01396159944</v>
      </c>
      <c r="AD22" t="s">
        <v>80</v>
      </c>
    </row>
    <row r="23" spans="1:30" ht="14.5" x14ac:dyDescent="0.35">
      <c r="B23" s="1430" t="s">
        <v>1144</v>
      </c>
      <c r="C23" s="1432">
        <v>2581.6710058330173</v>
      </c>
      <c r="D23" s="1423">
        <v>6361.3563420944656</v>
      </c>
      <c r="F23" s="1428" t="s">
        <v>1144</v>
      </c>
      <c r="G23" s="1422">
        <v>3207.5374397159894</v>
      </c>
      <c r="H23" s="632">
        <v>4361.5028696700219</v>
      </c>
      <c r="J23" s="18">
        <f t="shared" si="0"/>
        <v>7569.0403093860114</v>
      </c>
      <c r="K23" s="84"/>
    </row>
    <row r="24" spans="1:30" ht="14.5" x14ac:dyDescent="0.35">
      <c r="B24" s="1407" t="s">
        <v>737</v>
      </c>
      <c r="C24" s="922">
        <v>5151.4082473863746</v>
      </c>
      <c r="D24" s="1423">
        <v>12625.374198306297</v>
      </c>
      <c r="F24" s="577" t="s">
        <v>737</v>
      </c>
      <c r="G24" s="1422">
        <v>5574.9693132635248</v>
      </c>
      <c r="H24" s="632">
        <v>7426.6462761774428</v>
      </c>
      <c r="J24" s="18">
        <f t="shared" si="0"/>
        <v>13001.615589440968</v>
      </c>
      <c r="K24" s="84"/>
    </row>
    <row r="25" spans="1:30" ht="14.5" x14ac:dyDescent="0.35">
      <c r="B25" s="1407" t="s">
        <v>1142</v>
      </c>
      <c r="C25" s="922">
        <v>14785.933942498188</v>
      </c>
      <c r="D25" s="1423">
        <v>36433.222686541027</v>
      </c>
      <c r="F25" s="576" t="s">
        <v>1142</v>
      </c>
      <c r="G25" s="1422">
        <v>18373.441700191575</v>
      </c>
      <c r="H25" s="632">
        <v>26050.516435382855</v>
      </c>
      <c r="J25" s="18">
        <f t="shared" si="0"/>
        <v>44423.95813557443</v>
      </c>
      <c r="K25" s="84"/>
    </row>
    <row r="26" spans="1:30" ht="14.5" x14ac:dyDescent="0.35">
      <c r="B26" s="1407" t="s">
        <v>1143</v>
      </c>
      <c r="C26" s="922">
        <v>2000</v>
      </c>
      <c r="D26" s="1423">
        <v>3500</v>
      </c>
      <c r="F26" s="577" t="s">
        <v>1143</v>
      </c>
      <c r="G26" s="1422">
        <v>1157.2398971127709</v>
      </c>
      <c r="H26" s="632">
        <v>8.5870039585329323</v>
      </c>
      <c r="J26" s="18">
        <f t="shared" si="0"/>
        <v>1165.8269010713038</v>
      </c>
      <c r="K26" s="84"/>
    </row>
    <row r="28" spans="1:30" ht="14.5" x14ac:dyDescent="0.35">
      <c r="B28" s="1424" t="s">
        <v>1145</v>
      </c>
      <c r="C28" s="1425">
        <f>SUM(C5:C26)</f>
        <v>129142.00000000001</v>
      </c>
      <c r="D28" s="1425">
        <f>SUM(D5:D26)</f>
        <v>328853.00000000006</v>
      </c>
      <c r="J28" s="1425">
        <f>SUM(J5:J26)</f>
        <v>402403.45489707217</v>
      </c>
      <c r="K28" s="1425"/>
    </row>
    <row r="30" spans="1:30" x14ac:dyDescent="0.25">
      <c r="B30" s="1418" t="s">
        <v>1150</v>
      </c>
      <c r="C30" s="1418"/>
    </row>
    <row r="32" spans="1:30" ht="29" x14ac:dyDescent="0.35">
      <c r="B32" s="1421" t="s">
        <v>66</v>
      </c>
      <c r="C32" s="1421"/>
      <c r="D32" s="1427" t="s">
        <v>1149</v>
      </c>
      <c r="J32" s="15" t="s">
        <v>1148</v>
      </c>
      <c r="K32" s="1463"/>
    </row>
    <row r="33" spans="1:11" x14ac:dyDescent="0.25">
      <c r="A33">
        <v>9257010</v>
      </c>
      <c r="B33" s="1407" t="s">
        <v>773</v>
      </c>
      <c r="C33" s="1407"/>
      <c r="D33" s="922">
        <v>17802.454171658334</v>
      </c>
      <c r="J33" s="18">
        <v>31687.816376183884</v>
      </c>
      <c r="K33" s="84"/>
    </row>
    <row r="34" spans="1:11" x14ac:dyDescent="0.25">
      <c r="A34">
        <v>9257005</v>
      </c>
      <c r="B34" s="1407" t="s">
        <v>774</v>
      </c>
      <c r="C34" s="1407"/>
      <c r="D34" s="922">
        <v>22133.461410024996</v>
      </c>
      <c r="J34" s="18">
        <v>38948.727318000892</v>
      </c>
      <c r="K34" s="84"/>
    </row>
    <row r="35" spans="1:11" x14ac:dyDescent="0.25">
      <c r="A35">
        <v>9257025</v>
      </c>
      <c r="B35" s="1407" t="s">
        <v>776</v>
      </c>
      <c r="C35" s="1407"/>
      <c r="D35" s="922">
        <v>21579.495367908337</v>
      </c>
      <c r="J35" s="18">
        <v>37857.486211684278</v>
      </c>
      <c r="K35" s="84"/>
    </row>
    <row r="36" spans="1:11" x14ac:dyDescent="0.25">
      <c r="A36">
        <v>9257011</v>
      </c>
      <c r="B36" s="1407" t="s">
        <v>70</v>
      </c>
      <c r="C36" s="1407"/>
      <c r="D36" s="922">
        <v>17827.634446299999</v>
      </c>
      <c r="J36" s="18">
        <v>29421.387443682441</v>
      </c>
      <c r="K36" s="84"/>
    </row>
    <row r="37" spans="1:11" x14ac:dyDescent="0.25">
      <c r="A37">
        <v>9257024</v>
      </c>
      <c r="B37" s="1407" t="s">
        <v>777</v>
      </c>
      <c r="C37" s="1407"/>
      <c r="D37" s="922">
        <v>23029.293194888651</v>
      </c>
      <c r="J37" s="18">
        <v>40332.178173680477</v>
      </c>
      <c r="K37" s="84"/>
    </row>
    <row r="38" spans="1:11" x14ac:dyDescent="0.25">
      <c r="A38">
        <v>9257031</v>
      </c>
      <c r="B38" s="1407" t="s">
        <v>422</v>
      </c>
      <c r="C38" s="1407"/>
      <c r="D38" s="922">
        <v>22284.543057875002</v>
      </c>
      <c r="J38" s="18">
        <v>37773.539491816082</v>
      </c>
      <c r="K38" s="84"/>
    </row>
    <row r="39" spans="1:11" x14ac:dyDescent="0.25">
      <c r="A39">
        <v>9257033</v>
      </c>
      <c r="B39" s="1407" t="s">
        <v>768</v>
      </c>
      <c r="C39" s="1407"/>
      <c r="D39" s="922">
        <v>26017.926735721419</v>
      </c>
      <c r="J39" s="18">
        <v>46393.778554537101</v>
      </c>
      <c r="K39" s="84"/>
    </row>
    <row r="40" spans="1:11" x14ac:dyDescent="0.25">
      <c r="A40">
        <v>9257008</v>
      </c>
      <c r="B40" s="1407" t="s">
        <v>87</v>
      </c>
      <c r="C40" s="1407"/>
      <c r="D40" s="922">
        <v>27361.666254131575</v>
      </c>
      <c r="J40" s="18">
        <v>46919.362614824415</v>
      </c>
      <c r="K40" s="84"/>
    </row>
    <row r="41" spans="1:11" x14ac:dyDescent="0.25">
      <c r="A41">
        <v>9257034</v>
      </c>
      <c r="B41" s="1407" t="s">
        <v>769</v>
      </c>
      <c r="C41" s="1407"/>
      <c r="D41" s="922">
        <v>32980.25916666667</v>
      </c>
      <c r="J41" s="18">
        <v>60457.553095244184</v>
      </c>
      <c r="K41" s="84"/>
    </row>
    <row r="42" spans="1:11" x14ac:dyDescent="0.25">
      <c r="A42">
        <v>9257002</v>
      </c>
      <c r="B42" s="1407" t="s">
        <v>775</v>
      </c>
      <c r="C42" s="1407"/>
      <c r="D42" s="922">
        <v>40901.179166666669</v>
      </c>
      <c r="J42" s="18">
        <v>71732.217309951229</v>
      </c>
      <c r="K42" s="84"/>
    </row>
    <row r="43" spans="1:11" x14ac:dyDescent="0.25">
      <c r="A43">
        <v>9257009</v>
      </c>
      <c r="B43" s="1407" t="s">
        <v>411</v>
      </c>
      <c r="C43" s="1407"/>
      <c r="D43" s="922">
        <v>37954.40833333334</v>
      </c>
      <c r="J43" s="18">
        <v>65751.015144488469</v>
      </c>
      <c r="K43" s="84"/>
    </row>
    <row r="44" spans="1:11" x14ac:dyDescent="0.25">
      <c r="A44">
        <v>9257029</v>
      </c>
      <c r="B44" s="1407" t="s">
        <v>1141</v>
      </c>
      <c r="C44" s="1407"/>
      <c r="D44" s="922">
        <v>17147.767030975003</v>
      </c>
      <c r="J44" s="18">
        <v>34835.603052338993</v>
      </c>
      <c r="K44" s="84"/>
    </row>
    <row r="45" spans="1:11" x14ac:dyDescent="0.25">
      <c r="A45">
        <v>9257032</v>
      </c>
      <c r="B45" s="1407" t="s">
        <v>770</v>
      </c>
      <c r="C45" s="1407"/>
      <c r="D45" s="922">
        <v>21579.495367908334</v>
      </c>
      <c r="J45" s="18">
        <v>35758.950718919223</v>
      </c>
      <c r="K45" s="84"/>
    </row>
    <row r="46" spans="1:11" x14ac:dyDescent="0.25">
      <c r="A46">
        <v>9257030</v>
      </c>
      <c r="B46" s="1407" t="s">
        <v>771</v>
      </c>
      <c r="C46" s="1407"/>
      <c r="D46" s="922">
        <v>21856.478388966669</v>
      </c>
      <c r="J46" s="18">
        <v>37563.689255138066</v>
      </c>
      <c r="K46" s="84"/>
    </row>
    <row r="47" spans="1:11" x14ac:dyDescent="0.25">
      <c r="A47">
        <v>9257028</v>
      </c>
      <c r="B47" s="1407" t="s">
        <v>77</v>
      </c>
      <c r="C47" s="1407"/>
      <c r="D47" s="922">
        <v>24912.597098780672</v>
      </c>
      <c r="J47" s="18">
        <v>47133.019052383082</v>
      </c>
      <c r="K47" s="84"/>
    </row>
    <row r="48" spans="1:11" x14ac:dyDescent="0.25">
      <c r="A48">
        <v>9257021</v>
      </c>
      <c r="B48" s="1407" t="s">
        <v>778</v>
      </c>
      <c r="C48" s="1407"/>
      <c r="D48" s="922">
        <v>45003.084166666667</v>
      </c>
      <c r="J48" s="18">
        <v>79693.454506050941</v>
      </c>
      <c r="K48" s="84"/>
    </row>
    <row r="49" spans="1:13" x14ac:dyDescent="0.25">
      <c r="A49">
        <v>9257015</v>
      </c>
      <c r="B49" s="1407" t="s">
        <v>55</v>
      </c>
      <c r="C49" s="1407"/>
      <c r="D49" s="922">
        <v>67327.820000000007</v>
      </c>
      <c r="J49" s="18">
        <v>114933.15884176364</v>
      </c>
      <c r="K49" s="84"/>
    </row>
    <row r="50" spans="1:13" x14ac:dyDescent="0.25">
      <c r="A50">
        <v>9257016</v>
      </c>
      <c r="B50" s="1407" t="s">
        <v>80</v>
      </c>
      <c r="C50" s="1407"/>
      <c r="D50" s="922">
        <v>38779.504166666666</v>
      </c>
      <c r="J50" s="18">
        <v>66438.717697156331</v>
      </c>
      <c r="K50" s="84"/>
      <c r="M50" s="502">
        <f>SUM(J33:J50)</f>
        <v>923631.65485784377</v>
      </c>
    </row>
    <row r="51" spans="1:13" x14ac:dyDescent="0.25">
      <c r="B51" s="1407" t="s">
        <v>1144</v>
      </c>
      <c r="C51" s="1407"/>
      <c r="D51" s="922">
        <v>13295.1850108</v>
      </c>
      <c r="J51" s="18">
        <v>20985.288675680618</v>
      </c>
      <c r="K51" s="84"/>
    </row>
    <row r="52" spans="1:13" x14ac:dyDescent="0.25">
      <c r="B52" s="1407" t="s">
        <v>737</v>
      </c>
      <c r="C52" s="1407"/>
      <c r="D52" s="922">
        <v>21151.430699</v>
      </c>
      <c r="J52" s="18">
        <v>35255.30352569501</v>
      </c>
      <c r="K52" s="84"/>
    </row>
    <row r="53" spans="1:13" x14ac:dyDescent="0.25">
      <c r="B53" s="1407" t="s">
        <v>1142</v>
      </c>
      <c r="C53" s="1407"/>
      <c r="D53" s="922">
        <v>76145.150516399997</v>
      </c>
      <c r="J53" s="18">
        <v>135313.10215962245</v>
      </c>
      <c r="K53" s="84"/>
    </row>
    <row r="54" spans="1:13" x14ac:dyDescent="0.25">
      <c r="B54" s="1407" t="s">
        <v>1143</v>
      </c>
      <c r="C54" s="1407"/>
      <c r="D54" s="922">
        <v>11315.599999999999</v>
      </c>
      <c r="J54" s="18">
        <v>0</v>
      </c>
      <c r="K54" s="84"/>
    </row>
    <row r="55" spans="1:13" x14ac:dyDescent="0.25">
      <c r="B55" s="1406"/>
      <c r="C55" s="1406"/>
      <c r="D55" s="1406"/>
    </row>
    <row r="56" spans="1:13" ht="13" x14ac:dyDescent="0.3">
      <c r="B56" s="1406"/>
      <c r="C56" s="1406"/>
      <c r="D56" s="1431">
        <f>SUM(D33:D55)</f>
        <v>648386.43375133898</v>
      </c>
      <c r="J56" s="1431">
        <f>SUM(J33:J55)</f>
        <v>1115185.3492188419</v>
      </c>
      <c r="K56" s="1431"/>
    </row>
    <row r="58" spans="1:13" x14ac:dyDescent="0.25">
      <c r="B58" s="1418" t="s">
        <v>1151</v>
      </c>
      <c r="C58" s="1418"/>
    </row>
    <row r="60" spans="1:13" ht="29" x14ac:dyDescent="0.35">
      <c r="B60" s="1421" t="s">
        <v>66</v>
      </c>
      <c r="C60" s="1421"/>
      <c r="D60" s="1427" t="s">
        <v>1149</v>
      </c>
    </row>
    <row r="61" spans="1:13" x14ac:dyDescent="0.25">
      <c r="B61" s="1407" t="s">
        <v>771</v>
      </c>
      <c r="C61" s="1407"/>
      <c r="D61" s="18">
        <v>8262.3474421185565</v>
      </c>
    </row>
    <row r="62" spans="1:13" x14ac:dyDescent="0.25">
      <c r="B62" s="1407" t="s">
        <v>1141</v>
      </c>
      <c r="C62" s="1407"/>
      <c r="D62" s="18">
        <v>1668.5380944342503</v>
      </c>
    </row>
    <row r="64" spans="1:13" ht="13" x14ac:dyDescent="0.3">
      <c r="D64" s="1434">
        <f>SUM(D61:D63)</f>
        <v>9930.885536552807</v>
      </c>
    </row>
    <row r="65" spans="1:30" x14ac:dyDescent="0.25">
      <c r="N65" s="2042" t="s">
        <v>1178</v>
      </c>
      <c r="U65" s="2044" t="s">
        <v>1325</v>
      </c>
      <c r="V65" s="1517"/>
      <c r="AD65" s="410" t="s">
        <v>1208</v>
      </c>
    </row>
    <row r="66" spans="1:30" ht="12.75" customHeight="1" x14ac:dyDescent="0.25">
      <c r="N66" s="2042"/>
      <c r="U66" s="2044"/>
      <c r="V66" s="1517"/>
      <c r="Y66" s="1476" t="s">
        <v>990</v>
      </c>
      <c r="Z66" s="1474"/>
      <c r="AA66" s="1474"/>
      <c r="AB66" s="1476" t="s">
        <v>937</v>
      </c>
    </row>
    <row r="67" spans="1:30" ht="12.75" customHeight="1" x14ac:dyDescent="0.25">
      <c r="D67" s="2043" t="s">
        <v>1175</v>
      </c>
      <c r="E67" s="2020"/>
      <c r="F67" s="2020"/>
      <c r="G67" s="2020"/>
      <c r="H67" s="2020"/>
      <c r="I67" s="2020"/>
      <c r="J67" s="2020"/>
      <c r="L67" s="1417"/>
      <c r="M67" s="1041"/>
      <c r="N67" s="2042"/>
      <c r="O67" s="1476"/>
      <c r="U67" s="2044"/>
      <c r="V67" s="1517"/>
      <c r="Y67" s="2042" t="s">
        <v>1205</v>
      </c>
      <c r="Z67" s="2047" t="s">
        <v>1207</v>
      </c>
      <c r="AB67" s="2042" t="s">
        <v>1205</v>
      </c>
      <c r="AC67" s="2047" t="s">
        <v>1207</v>
      </c>
      <c r="AD67" s="2042" t="s">
        <v>524</v>
      </c>
    </row>
    <row r="68" spans="1:30" x14ac:dyDescent="0.25">
      <c r="C68" s="1417" t="s">
        <v>937</v>
      </c>
      <c r="D68" s="672" t="s">
        <v>990</v>
      </c>
      <c r="K68" s="2042" t="s">
        <v>1206</v>
      </c>
      <c r="M68" s="1041"/>
      <c r="N68" s="1474" t="s">
        <v>990</v>
      </c>
      <c r="O68" s="1474"/>
      <c r="P68" s="2042" t="s">
        <v>1206</v>
      </c>
      <c r="U68" s="1559" t="s">
        <v>990</v>
      </c>
      <c r="V68" s="1515"/>
      <c r="Y68" s="2042"/>
      <c r="Z68" s="2047"/>
      <c r="AB68" s="2042"/>
      <c r="AC68" s="2047"/>
      <c r="AD68" s="2046"/>
    </row>
    <row r="69" spans="1:30" x14ac:dyDescent="0.25">
      <c r="C69" s="1417" t="s">
        <v>1153</v>
      </c>
      <c r="D69" s="672" t="s">
        <v>1173</v>
      </c>
      <c r="J69" s="612" t="s">
        <v>1179</v>
      </c>
      <c r="K69" s="2042"/>
      <c r="L69" s="672" t="s">
        <v>524</v>
      </c>
      <c r="M69" s="1041"/>
      <c r="N69" s="1474" t="s">
        <v>1173</v>
      </c>
      <c r="O69" t="s">
        <v>1179</v>
      </c>
      <c r="P69" s="2042"/>
      <c r="Q69" s="1474" t="s">
        <v>524</v>
      </c>
      <c r="R69" s="1515" t="s">
        <v>1246</v>
      </c>
      <c r="S69" s="1515" t="s">
        <v>1250</v>
      </c>
      <c r="T69" s="1515" t="s">
        <v>1256</v>
      </c>
      <c r="U69" s="1559" t="s">
        <v>1173</v>
      </c>
      <c r="V69" s="1560" t="s">
        <v>62</v>
      </c>
      <c r="W69" s="1537" t="s">
        <v>1250</v>
      </c>
      <c r="Y69" s="2042"/>
      <c r="Z69" s="2047"/>
      <c r="AB69" s="2042"/>
      <c r="AC69" s="2047"/>
      <c r="AD69" s="2046"/>
    </row>
    <row r="70" spans="1:30" x14ac:dyDescent="0.25">
      <c r="A70">
        <v>9257010</v>
      </c>
      <c r="B70" s="1413" t="s">
        <v>773</v>
      </c>
      <c r="C70" s="16">
        <f>J5+J33</f>
        <v>42698.210659650227</v>
      </c>
      <c r="D70" s="16">
        <f>VLOOKUP(A70,'Pay &amp; Pension Workings'!$A$112:$H$129,8,(FALSE))</f>
        <v>52115.332193693306</v>
      </c>
      <c r="K70" s="16">
        <f>SUM(D70:J70)</f>
        <v>52115.332193693306</v>
      </c>
      <c r="L70" s="848">
        <f>D70+J70-C70</f>
        <v>9417.121534043079</v>
      </c>
      <c r="M70" s="1041"/>
      <c r="N70" s="16">
        <v>54674.819645577641</v>
      </c>
      <c r="O70" s="16">
        <f>$N$98</f>
        <v>20065.006250000006</v>
      </c>
      <c r="P70" s="16">
        <f>SUM(N70:O70)</f>
        <v>74739.82589557764</v>
      </c>
      <c r="Q70" s="848">
        <f>N70+O70-C70</f>
        <v>32041.615235927413</v>
      </c>
      <c r="R70" s="1038">
        <f>$O$98</f>
        <v>15282.377500000002</v>
      </c>
      <c r="S70" s="1536">
        <f>VLOOKUP(T70,$M$96:$P$104,4,(FALSE))</f>
        <v>13435.682499999995</v>
      </c>
      <c r="T70" s="1515" t="str">
        <f>VLOOKUP(A70,'2122 Funding Detail'!$A$4:$Z$21,3,(FALSE))</f>
        <v>School Size 5</v>
      </c>
      <c r="U70" s="16">
        <f>'Pay &amp; Pension Workings'!H112</f>
        <v>52115.332193693306</v>
      </c>
      <c r="V70" s="16">
        <f>S70+U70</f>
        <v>65551.014693693302</v>
      </c>
      <c r="W70" s="16">
        <f>U70+S70-C70</f>
        <v>22852.804034043074</v>
      </c>
      <c r="Y70" s="1029">
        <f>VLOOKUP(A70,'2122 Band Calculations'!$A$111:$S$129,19,(FALSE))</f>
        <v>85.666666666666671</v>
      </c>
      <c r="Z70" s="1032">
        <f>V70/Y70</f>
        <v>765.18694194972716</v>
      </c>
      <c r="AB70" s="1029">
        <f>VLOOKUP(A70,'2021 Funding Detail'!$A$4:$M$23,13,(FALSE))</f>
        <v>62.833333333333329</v>
      </c>
      <c r="AC70" s="1032">
        <f t="shared" ref="AC70:AC87" si="1">C70/AB70</f>
        <v>679.54711925172785</v>
      </c>
      <c r="AD70" s="16">
        <f>Z70-AC70</f>
        <v>85.639822697999307</v>
      </c>
    </row>
    <row r="71" spans="1:30" x14ac:dyDescent="0.25">
      <c r="A71">
        <v>9257005</v>
      </c>
      <c r="B71" s="1413" t="s">
        <v>774</v>
      </c>
      <c r="C71" s="16">
        <f t="shared" ref="C71:C80" si="2">J6+J34</f>
        <v>53312.429854825234</v>
      </c>
      <c r="D71" s="16">
        <f>VLOOKUP(A71,'Pay &amp; Pension Workings'!$A$112:$H$129,8,(FALSE))</f>
        <v>53413.904418921054</v>
      </c>
      <c r="K71" s="16">
        <f t="shared" ref="K71:K87" si="3">SUM(D71:J71)</f>
        <v>53413.904418921054</v>
      </c>
      <c r="L71" s="848">
        <f t="shared" ref="L71:L87" si="4">D71+J71-C71</f>
        <v>101.47456409582082</v>
      </c>
      <c r="M71" s="1041"/>
      <c r="N71" s="16">
        <v>56037.167331421908</v>
      </c>
      <c r="O71" s="16">
        <f>$N$98</f>
        <v>20065.006250000006</v>
      </c>
      <c r="P71" s="16">
        <f t="shared" ref="P71:P87" si="5">SUM(N71:O71)</f>
        <v>76102.173581421914</v>
      </c>
      <c r="Q71" s="848">
        <f t="shared" ref="Q71:Q87" si="6">N71+O71-C71</f>
        <v>22789.74372659668</v>
      </c>
      <c r="R71" s="1038">
        <f>$O$98</f>
        <v>15282.377500000002</v>
      </c>
      <c r="S71" s="1536">
        <f t="shared" ref="S71:S87" si="7">VLOOKUP(T71,$M$96:$P$104,4,(FALSE))</f>
        <v>10726.717499999999</v>
      </c>
      <c r="T71" s="1599" t="str">
        <f>VLOOKUP(A71,'2122 Funding Detail'!$A$4:$Z$21,3,(FALSE))</f>
        <v>School Size 4</v>
      </c>
      <c r="U71" s="16">
        <f>'Pay &amp; Pension Workings'!H113</f>
        <v>53413.904418921054</v>
      </c>
      <c r="V71" s="16">
        <f t="shared" ref="V71:V87" si="8">S71+U71</f>
        <v>64140.621918921053</v>
      </c>
      <c r="W71" s="16">
        <f t="shared" ref="W71:W86" si="9">U71+S71-C71</f>
        <v>10828.19206409582</v>
      </c>
      <c r="Y71" s="1029">
        <f>VLOOKUP(A71,'2122 Band Calculations'!$A$111:$S$129,19,(FALSE))</f>
        <v>83.25</v>
      </c>
      <c r="Z71" s="1032">
        <f t="shared" ref="Z71:Z87" si="10">V71/Y71</f>
        <v>770.45792094800061</v>
      </c>
      <c r="AB71" s="1029">
        <f>VLOOKUP(A71,'2021 Funding Detail'!$A$4:$M$23,13,(FALSE))</f>
        <v>77.583333333333329</v>
      </c>
      <c r="AC71" s="16">
        <f t="shared" si="1"/>
        <v>687.16343529312871</v>
      </c>
      <c r="AD71" s="16">
        <f t="shared" ref="AD71:AD87" si="11">Z71-AC71</f>
        <v>83.294485654871892</v>
      </c>
    </row>
    <row r="72" spans="1:30" x14ac:dyDescent="0.25">
      <c r="A72">
        <v>9257025</v>
      </c>
      <c r="B72" s="1413" t="s">
        <v>776</v>
      </c>
      <c r="C72" s="16">
        <f t="shared" si="2"/>
        <v>51683.323330562751</v>
      </c>
      <c r="D72" s="16">
        <f>VLOOKUP(A72,'Pay &amp; Pension Workings'!$A$112:$H$129,8,(FALSE))</f>
        <v>48426.979369799752</v>
      </c>
      <c r="K72" s="16">
        <f t="shared" si="3"/>
        <v>48426.979369799752</v>
      </c>
      <c r="L72" s="848">
        <f t="shared" si="4"/>
        <v>-3256.3439607629989</v>
      </c>
      <c r="M72" s="1041"/>
      <c r="N72" s="16">
        <v>50805.324490368002</v>
      </c>
      <c r="O72" s="16">
        <f>$N$98</f>
        <v>20065.006250000006</v>
      </c>
      <c r="P72" s="16">
        <f t="shared" si="5"/>
        <v>70870.330740368008</v>
      </c>
      <c r="Q72" s="848">
        <f t="shared" si="6"/>
        <v>19187.007409805257</v>
      </c>
      <c r="R72" s="1038">
        <f>$O$98</f>
        <v>15282.377500000002</v>
      </c>
      <c r="S72" s="1536">
        <f t="shared" si="7"/>
        <v>10726.717499999999</v>
      </c>
      <c r="T72" s="1599" t="str">
        <f>VLOOKUP(A72,'2122 Funding Detail'!$A$4:$Z$21,3,(FALSE))</f>
        <v>School Size 4</v>
      </c>
      <c r="U72" s="16">
        <f>'Pay &amp; Pension Workings'!H114</f>
        <v>48426.979369799752</v>
      </c>
      <c r="V72" s="16">
        <f t="shared" si="8"/>
        <v>59153.696869799751</v>
      </c>
      <c r="W72" s="16">
        <f t="shared" si="9"/>
        <v>7470.3735392369999</v>
      </c>
      <c r="Y72" s="1029">
        <f>VLOOKUP(A72,'2122 Band Calculations'!$A$111:$S$129,19,(FALSE))</f>
        <v>77.5</v>
      </c>
      <c r="Z72" s="1032">
        <f t="shared" si="10"/>
        <v>763.27350799741612</v>
      </c>
      <c r="AB72" s="1029">
        <f>VLOOKUP(A72,'2021 Funding Detail'!$A$4:$M$23,13,(FALSE))</f>
        <v>75.333333333333343</v>
      </c>
      <c r="AC72" s="16">
        <f t="shared" si="1"/>
        <v>686.06181412251431</v>
      </c>
      <c r="AD72" s="16">
        <f t="shared" si="11"/>
        <v>77.211693874901812</v>
      </c>
    </row>
    <row r="73" spans="1:30" x14ac:dyDescent="0.25">
      <c r="A73">
        <v>9257011</v>
      </c>
      <c r="B73" s="1413" t="s">
        <v>70</v>
      </c>
      <c r="C73" s="16">
        <f t="shared" si="2"/>
        <v>40187.942994863319</v>
      </c>
      <c r="D73" s="16">
        <f>VLOOKUP(A73,'Pay &amp; Pension Workings'!$A$112:$H$129,8,(FALSE))</f>
        <v>35706.426283977962</v>
      </c>
      <c r="K73" s="16">
        <f t="shared" si="3"/>
        <v>35706.426283977962</v>
      </c>
      <c r="L73" s="848">
        <f t="shared" si="4"/>
        <v>-4481.5167108853566</v>
      </c>
      <c r="M73" s="1041"/>
      <c r="N73" s="16">
        <v>37460.039782704422</v>
      </c>
      <c r="O73" s="16">
        <f>$N$98</f>
        <v>20065.006250000006</v>
      </c>
      <c r="P73" s="16">
        <f t="shared" si="5"/>
        <v>57525.046032704427</v>
      </c>
      <c r="Q73" s="848">
        <f t="shared" si="6"/>
        <v>17337.103037841109</v>
      </c>
      <c r="R73" s="1038">
        <f>$O$98</f>
        <v>15282.377500000002</v>
      </c>
      <c r="S73" s="1536">
        <f t="shared" si="7"/>
        <v>10297.022499999992</v>
      </c>
      <c r="T73" s="1599" t="str">
        <f>VLOOKUP(A73,'2122 Funding Detail'!$A$4:$Z$21,3,(FALSE))</f>
        <v>School Size 3 Transition Point</v>
      </c>
      <c r="U73" s="16">
        <f>'Pay &amp; Pension Workings'!H115</f>
        <v>35706.426283977962</v>
      </c>
      <c r="V73" s="16">
        <f t="shared" si="8"/>
        <v>46003.448783977954</v>
      </c>
      <c r="W73" s="16">
        <f t="shared" si="9"/>
        <v>5815.5057891146353</v>
      </c>
      <c r="Y73" s="1029">
        <f>VLOOKUP(A73,'2122 Band Calculations'!$A$111:$S$129,19,(FALSE))</f>
        <v>58</v>
      </c>
      <c r="Z73" s="1032">
        <f t="shared" si="10"/>
        <v>793.16291006858546</v>
      </c>
      <c r="AB73" s="1029">
        <f>VLOOKUP(A73,'2021 Funding Detail'!$A$4:$M$23,13,(FALSE))</f>
        <v>57.833333333333336</v>
      </c>
      <c r="AC73" s="16">
        <f t="shared" si="1"/>
        <v>694.89238607832829</v>
      </c>
      <c r="AD73" s="16">
        <f t="shared" si="11"/>
        <v>98.270523990257175</v>
      </c>
    </row>
    <row r="74" spans="1:30" x14ac:dyDescent="0.25">
      <c r="A74">
        <v>9257024</v>
      </c>
      <c r="B74" s="1413" t="s">
        <v>777</v>
      </c>
      <c r="C74" s="16">
        <f t="shared" si="2"/>
        <v>54885.371036422905</v>
      </c>
      <c r="D74" s="16">
        <f>VLOOKUP(A74,'Pay &amp; Pension Workings'!$A$112:$H$129,8,(FALSE))</f>
        <v>48645.932806774224</v>
      </c>
      <c r="K74" s="16">
        <f t="shared" si="3"/>
        <v>48645.932806774224</v>
      </c>
      <c r="L74" s="848">
        <f t="shared" si="4"/>
        <v>-6239.4382296486801</v>
      </c>
      <c r="M74" s="1041"/>
      <c r="N74" s="16">
        <v>51035.031165418375</v>
      </c>
      <c r="O74" s="16">
        <f>$N$98</f>
        <v>20065.006250000006</v>
      </c>
      <c r="P74" s="16">
        <f t="shared" si="5"/>
        <v>71100.037415418381</v>
      </c>
      <c r="Q74" s="848">
        <f t="shared" si="6"/>
        <v>16214.666378995476</v>
      </c>
      <c r="R74" s="1038">
        <f>$O$98</f>
        <v>15282.377500000002</v>
      </c>
      <c r="S74" s="1536">
        <f t="shared" si="7"/>
        <v>10726.717499999999</v>
      </c>
      <c r="T74" s="1599" t="str">
        <f>VLOOKUP(A74,'2122 Funding Detail'!$A$4:$Z$21,3,(FALSE))</f>
        <v>School Size 4</v>
      </c>
      <c r="U74" s="16">
        <f>'Pay &amp; Pension Workings'!H116</f>
        <v>48645.932806774224</v>
      </c>
      <c r="V74" s="16">
        <f t="shared" si="8"/>
        <v>59372.650306774223</v>
      </c>
      <c r="W74" s="16">
        <f t="shared" si="9"/>
        <v>4487.2792703513187</v>
      </c>
      <c r="Y74" s="1029">
        <f>VLOOKUP(A74,'2122 Band Calculations'!$A$111:$S$129,19,(FALSE))</f>
        <v>83.916666666666686</v>
      </c>
      <c r="Z74" s="1032">
        <f t="shared" si="10"/>
        <v>707.51916949482677</v>
      </c>
      <c r="AB74" s="1029">
        <f>VLOOKUP(A74,'2021 Funding Detail'!$A$4:$M$23,13,(FALSE))</f>
        <v>83.083333333333329</v>
      </c>
      <c r="AC74" s="16">
        <f t="shared" si="1"/>
        <v>660.60627125082738</v>
      </c>
      <c r="AD74" s="16">
        <f t="shared" si="11"/>
        <v>46.912898243999393</v>
      </c>
    </row>
    <row r="75" spans="1:30" x14ac:dyDescent="0.25">
      <c r="A75">
        <v>9257031</v>
      </c>
      <c r="B75" s="1413" t="s">
        <v>422</v>
      </c>
      <c r="C75" s="16">
        <f t="shared" si="2"/>
        <v>51182.576930797077</v>
      </c>
      <c r="D75" s="16">
        <f>VLOOKUP(A75,'Pay &amp; Pension Workings'!$A$112:$H$129,8,(FALSE))</f>
        <v>47091.869621208272</v>
      </c>
      <c r="K75" s="16">
        <f t="shared" si="3"/>
        <v>47091.869621208272</v>
      </c>
      <c r="L75" s="848">
        <f t="shared" si="4"/>
        <v>-4090.7073095888045</v>
      </c>
      <c r="M75" s="1041"/>
      <c r="N75" s="16">
        <v>49404.644850833341</v>
      </c>
      <c r="O75" s="16"/>
      <c r="P75" s="16">
        <f t="shared" si="5"/>
        <v>49404.644850833341</v>
      </c>
      <c r="Q75" s="848">
        <f t="shared" si="6"/>
        <v>-1777.9320799637353</v>
      </c>
      <c r="R75" s="1038"/>
      <c r="S75" s="1536">
        <f t="shared" si="7"/>
        <v>13435.682499999995</v>
      </c>
      <c r="T75" s="1599" t="str">
        <f>VLOOKUP(A75,'2122 Funding Detail'!$A$4:$Z$21,3,(FALSE))</f>
        <v>School Size 5</v>
      </c>
      <c r="U75" s="16">
        <f>'Pay &amp; Pension Workings'!H117</f>
        <v>47091.869621208272</v>
      </c>
      <c r="V75" s="16">
        <f t="shared" si="8"/>
        <v>60527.552121208268</v>
      </c>
      <c r="W75" s="16">
        <f t="shared" si="9"/>
        <v>9344.9751904111909</v>
      </c>
      <c r="Y75" s="1029">
        <f>VLOOKUP(A75,'2122 Band Calculations'!$A$111:$S$129,19,(FALSE))</f>
        <v>80.583333333333343</v>
      </c>
      <c r="Z75" s="1032">
        <f t="shared" si="10"/>
        <v>751.11750305532485</v>
      </c>
      <c r="AB75" s="1029">
        <f>VLOOKUP(A75,'2021 Funding Detail'!$A$4:$M$23,13,(FALSE))</f>
        <v>77.916666666666671</v>
      </c>
      <c r="AC75" s="16">
        <f t="shared" si="1"/>
        <v>656.88868788188756</v>
      </c>
      <c r="AD75" s="16">
        <f t="shared" si="11"/>
        <v>94.228815173437283</v>
      </c>
    </row>
    <row r="76" spans="1:30" x14ac:dyDescent="0.25">
      <c r="A76">
        <v>9257033</v>
      </c>
      <c r="B76" s="1413" t="s">
        <v>768</v>
      </c>
      <c r="C76" s="16">
        <f t="shared" si="2"/>
        <v>63767.332078207386</v>
      </c>
      <c r="D76" s="16">
        <f>VLOOKUP(A76,'Pay &amp; Pension Workings'!$A$112:$H$129,8,(FALSE))</f>
        <v>60237.762512963323</v>
      </c>
      <c r="K76" s="16">
        <f t="shared" si="3"/>
        <v>60237.762512963323</v>
      </c>
      <c r="L76" s="848">
        <f t="shared" si="4"/>
        <v>-3529.5695652440627</v>
      </c>
      <c r="M76" s="1041"/>
      <c r="N76" s="16">
        <v>63196.158646916694</v>
      </c>
      <c r="O76" s="16">
        <f>$N$98</f>
        <v>20065.006250000006</v>
      </c>
      <c r="P76" s="16">
        <f t="shared" si="5"/>
        <v>83261.1648969167</v>
      </c>
      <c r="Q76" s="848">
        <f t="shared" si="6"/>
        <v>19493.832818709314</v>
      </c>
      <c r="R76" s="1038">
        <f>$O$98</f>
        <v>15282.377500000002</v>
      </c>
      <c r="S76" s="1536">
        <f t="shared" si="7"/>
        <v>10726.717499999999</v>
      </c>
      <c r="T76" s="1599" t="str">
        <f>VLOOKUP(A76,'2122 Funding Detail'!$A$4:$Z$21,3,(FALSE))</f>
        <v>School Size 4</v>
      </c>
      <c r="U76" s="16">
        <f>'Pay &amp; Pension Workings'!H118</f>
        <v>60237.762512963323</v>
      </c>
      <c r="V76" s="16">
        <f t="shared" si="8"/>
        <v>70964.480012963322</v>
      </c>
      <c r="W76" s="16">
        <f t="shared" si="9"/>
        <v>7197.1479347559361</v>
      </c>
      <c r="Y76" s="1029">
        <f>VLOOKUP(A76,'2122 Band Calculations'!$A$111:$S$129,19,(FALSE))</f>
        <v>98.416666666666671</v>
      </c>
      <c r="Z76" s="1032">
        <f t="shared" si="10"/>
        <v>721.06160893781521</v>
      </c>
      <c r="AB76" s="1029">
        <f>VLOOKUP(A76,'2021 Funding Detail'!$A$4:$M$23,13,(FALSE))</f>
        <v>95.666666666666686</v>
      </c>
      <c r="AC76" s="16">
        <f t="shared" si="1"/>
        <v>666.55747816941505</v>
      </c>
      <c r="AD76" s="16">
        <f t="shared" si="11"/>
        <v>54.504130768400159</v>
      </c>
    </row>
    <row r="77" spans="1:30" x14ac:dyDescent="0.25">
      <c r="A77">
        <v>9257008</v>
      </c>
      <c r="B77" s="1413" t="s">
        <v>87</v>
      </c>
      <c r="C77" s="16">
        <f t="shared" si="2"/>
        <v>64889.46243302607</v>
      </c>
      <c r="D77" s="16">
        <f>VLOOKUP(A77,'Pay &amp; Pension Workings'!$A$112:$H$129,8,(FALSE))</f>
        <v>62169.272889827458</v>
      </c>
      <c r="K77" s="16">
        <f t="shared" si="3"/>
        <v>62169.272889827458</v>
      </c>
      <c r="L77" s="848">
        <f t="shared" si="4"/>
        <v>-2720.1895431986122</v>
      </c>
      <c r="M77" s="1041"/>
      <c r="N77" s="16">
        <v>65222.529333879102</v>
      </c>
      <c r="O77" s="16">
        <f>$N$98</f>
        <v>20065.006250000006</v>
      </c>
      <c r="P77" s="16">
        <f t="shared" si="5"/>
        <v>85287.5355838791</v>
      </c>
      <c r="Q77" s="848">
        <f t="shared" si="6"/>
        <v>20398.07315085303</v>
      </c>
      <c r="R77" s="1038">
        <f>$O$98</f>
        <v>15282.377500000002</v>
      </c>
      <c r="S77" s="1536">
        <f t="shared" si="7"/>
        <v>10726.717499999999</v>
      </c>
      <c r="T77" s="1599" t="str">
        <f>VLOOKUP(A77,'2122 Funding Detail'!$A$4:$Z$21,3,(FALSE))</f>
        <v>School Size 4</v>
      </c>
      <c r="U77" s="16">
        <f>'Pay &amp; Pension Workings'!H119</f>
        <v>62169.272889827458</v>
      </c>
      <c r="V77" s="16">
        <f t="shared" si="8"/>
        <v>72895.990389827464</v>
      </c>
      <c r="W77" s="16">
        <f t="shared" si="9"/>
        <v>8006.5279568013939</v>
      </c>
      <c r="Y77" s="1029">
        <f>VLOOKUP(A77,'2122 Band Calculations'!$A$111:$S$129,19,(FALSE))</f>
        <v>98.583333333333343</v>
      </c>
      <c r="Z77" s="1032">
        <f t="shared" si="10"/>
        <v>739.43523641414163</v>
      </c>
      <c r="AB77" s="1029">
        <f>VLOOKUP(A77,'2021 Funding Detail'!$A$4:$M$23,13,(FALSE))</f>
        <v>96.75</v>
      </c>
      <c r="AC77" s="16">
        <f t="shared" si="1"/>
        <v>670.69211817081214</v>
      </c>
      <c r="AD77" s="16">
        <f t="shared" si="11"/>
        <v>68.743118243329491</v>
      </c>
    </row>
    <row r="78" spans="1:30" x14ac:dyDescent="0.25">
      <c r="A78">
        <v>9257034</v>
      </c>
      <c r="B78" s="1413" t="s">
        <v>769</v>
      </c>
      <c r="C78" s="16">
        <f t="shared" si="2"/>
        <v>82273.379758953335</v>
      </c>
      <c r="D78" s="16">
        <f>VLOOKUP(A78,'Pay &amp; Pension Workings'!$A$112:$H$129,8,(FALSE))</f>
        <v>70341.183649202605</v>
      </c>
      <c r="K78" s="16">
        <f t="shared" si="3"/>
        <v>70341.183649202605</v>
      </c>
      <c r="L78" s="848">
        <f t="shared" si="4"/>
        <v>-11932.19610975073</v>
      </c>
      <c r="M78" s="1041"/>
      <c r="N78" s="16">
        <v>73795.778857992482</v>
      </c>
      <c r="O78" s="1515">
        <f>N98+((N100-N98)/2)</f>
        <v>21940.122499999983</v>
      </c>
      <c r="P78" s="16">
        <f t="shared" si="5"/>
        <v>95735.901357992465</v>
      </c>
      <c r="Q78" s="848">
        <f t="shared" si="6"/>
        <v>13462.52159903913</v>
      </c>
      <c r="R78" s="1038">
        <f>O100-((O100-O98)*0.5)</f>
        <v>16918.096250000002</v>
      </c>
      <c r="S78" s="1536">
        <f t="shared" si="7"/>
        <v>12081.199999999997</v>
      </c>
      <c r="T78" s="1599" t="str">
        <f>VLOOKUP(A78,'2122 Funding Detail'!$A$4:$Z$21,3,(FALSE))</f>
        <v>School Size 4 Transition Point</v>
      </c>
      <c r="U78" s="16">
        <f>'Pay &amp; Pension Workings'!H120</f>
        <v>70341.183649202605</v>
      </c>
      <c r="V78" s="16">
        <f>S78+U78</f>
        <v>82422.383649202602</v>
      </c>
      <c r="W78" s="16">
        <f t="shared" si="9"/>
        <v>149.00389024926699</v>
      </c>
      <c r="Y78" s="1029">
        <f>VLOOKUP(A78,'2122 Band Calculations'!$A$111:$S$129,19,(FALSE))</f>
        <v>123.16666666666666</v>
      </c>
      <c r="Z78" s="1032">
        <f t="shared" si="10"/>
        <v>669.19391325468962</v>
      </c>
      <c r="AB78" s="1029">
        <f>VLOOKUP(A78,'2021 Funding Detail'!$A$4:$M$23,13,(FALSE))</f>
        <v>124.41666666666666</v>
      </c>
      <c r="AC78" s="16">
        <f t="shared" si="1"/>
        <v>661.2729786386069</v>
      </c>
      <c r="AD78" s="16">
        <f t="shared" si="11"/>
        <v>7.9209346160827181</v>
      </c>
    </row>
    <row r="79" spans="1:30" x14ac:dyDescent="0.25">
      <c r="A79">
        <v>9257002</v>
      </c>
      <c r="B79" s="1413" t="s">
        <v>775</v>
      </c>
      <c r="C79" s="16">
        <f t="shared" si="2"/>
        <v>97616.284973640199</v>
      </c>
      <c r="D79" s="16">
        <f>VLOOKUP(A79,'Pay &amp; Pension Workings'!$A$112:$H$129,8,(FALSE))</f>
        <v>87842.94801555897</v>
      </c>
      <c r="K79" s="16">
        <f t="shared" si="3"/>
        <v>87842.94801555897</v>
      </c>
      <c r="L79" s="848">
        <f t="shared" si="4"/>
        <v>-9773.3369580812287</v>
      </c>
      <c r="M79" s="1041"/>
      <c r="N79" s="16">
        <v>92157.089626452493</v>
      </c>
      <c r="O79" s="16">
        <f>N100</f>
        <v>23815.23874999996</v>
      </c>
      <c r="P79" s="16">
        <f t="shared" si="5"/>
        <v>115972.32837645245</v>
      </c>
      <c r="Q79" s="848">
        <f t="shared" si="6"/>
        <v>18356.043402812254</v>
      </c>
      <c r="R79" s="1038">
        <f>$O$100</f>
        <v>18553.815000000002</v>
      </c>
      <c r="S79" s="1536">
        <f t="shared" si="7"/>
        <v>13435.682499999995</v>
      </c>
      <c r="T79" s="1599" t="str">
        <f>VLOOKUP(A79,'2122 Funding Detail'!$A$4:$Z$21,3,(FALSE))</f>
        <v>School Size 5</v>
      </c>
      <c r="U79" s="16">
        <f>'Pay &amp; Pension Workings'!H121</f>
        <v>87842.94801555897</v>
      </c>
      <c r="V79" s="16">
        <f t="shared" si="8"/>
        <v>101278.63051555897</v>
      </c>
      <c r="W79" s="16">
        <f t="shared" si="9"/>
        <v>3662.3455419187667</v>
      </c>
      <c r="Y79" s="1029">
        <f>VLOOKUP(A79,'2122 Band Calculations'!$A$111:$S$129,19,(FALSE))</f>
        <v>150.58333333333334</v>
      </c>
      <c r="Z79" s="1032">
        <f t="shared" si="10"/>
        <v>672.5752994945808</v>
      </c>
      <c r="AB79" s="1029">
        <f>VLOOKUP(A79,'2021 Funding Detail'!$A$4:$M$23,13,(FALSE))</f>
        <v>147.91666666666669</v>
      </c>
      <c r="AC79" s="16">
        <f t="shared" si="1"/>
        <v>659.9410815119337</v>
      </c>
      <c r="AD79" s="16">
        <f t="shared" si="11"/>
        <v>12.634217982647101</v>
      </c>
    </row>
    <row r="80" spans="1:30" x14ac:dyDescent="0.25">
      <c r="A80">
        <v>9257009</v>
      </c>
      <c r="B80" s="1413" t="s">
        <v>411</v>
      </c>
      <c r="C80" s="16">
        <f t="shared" si="2"/>
        <v>90501.045838232065</v>
      </c>
      <c r="D80" s="16">
        <f>VLOOKUP(A80,'Pay &amp; Pension Workings'!$A$112:$H$129,8,(FALSE))</f>
        <v>81013.209816029266</v>
      </c>
      <c r="K80" s="16">
        <f t="shared" si="3"/>
        <v>81013.209816029266</v>
      </c>
      <c r="L80" s="848">
        <f t="shared" si="4"/>
        <v>-9487.8360222027986</v>
      </c>
      <c r="M80" s="1041"/>
      <c r="N80" s="16">
        <v>84991.929421813373</v>
      </c>
      <c r="O80" s="1515"/>
      <c r="P80" s="16">
        <f t="shared" si="5"/>
        <v>84991.929421813373</v>
      </c>
      <c r="Q80" s="848">
        <f t="shared" si="6"/>
        <v>-5509.1164164186921</v>
      </c>
      <c r="R80" s="1038">
        <f>$O$100</f>
        <v>18553.815000000002</v>
      </c>
      <c r="S80" s="1536">
        <f t="shared" si="7"/>
        <v>12081.199999999997</v>
      </c>
      <c r="T80" s="1599" t="str">
        <f>VLOOKUP(A80,'2122 Funding Detail'!$A$4:$Z$21,3,(FALSE))</f>
        <v>School Size 4 Transition Point</v>
      </c>
      <c r="U80" s="16">
        <f>'Pay &amp; Pension Workings'!H122</f>
        <v>81013.209816029266</v>
      </c>
      <c r="V80" s="16">
        <f t="shared" si="8"/>
        <v>93094.409816029263</v>
      </c>
      <c r="W80" s="16">
        <f t="shared" si="9"/>
        <v>2593.3639777971985</v>
      </c>
      <c r="Y80" s="1029">
        <f>VLOOKUP(A80,'2122 Band Calculations'!$A$111:$S$129,19,(FALSE))</f>
        <v>136</v>
      </c>
      <c r="Z80" s="1032">
        <f t="shared" si="10"/>
        <v>684.51771923550928</v>
      </c>
      <c r="AB80" s="1029">
        <f>VLOOKUP(A80,'2021 Funding Detail'!$A$4:$M$23,13,(FALSE))</f>
        <v>135.58333333333334</v>
      </c>
      <c r="AC80" s="16">
        <f t="shared" si="1"/>
        <v>667.4938844860385</v>
      </c>
      <c r="AD80" s="16">
        <f t="shared" si="11"/>
        <v>17.02383474947078</v>
      </c>
    </row>
    <row r="81" spans="1:36" x14ac:dyDescent="0.25">
      <c r="A81">
        <v>9257029</v>
      </c>
      <c r="B81" s="1413" t="s">
        <v>1141</v>
      </c>
      <c r="C81" s="16">
        <f>J16+J44+D62</f>
        <v>48607.35085196502</v>
      </c>
      <c r="D81" s="16">
        <f>VLOOKUP(A81,'Pay &amp; Pension Workings'!$A$112:$H$129,8,(FALSE))</f>
        <v>43634.245274666609</v>
      </c>
      <c r="K81" s="16">
        <f t="shared" si="3"/>
        <v>43634.245274666609</v>
      </c>
      <c r="L81" s="848">
        <f t="shared" si="4"/>
        <v>-4973.1055772984109</v>
      </c>
      <c r="M81" s="1041"/>
      <c r="N81" s="16">
        <v>45777.209706666661</v>
      </c>
      <c r="O81" s="1515"/>
      <c r="P81" s="16">
        <f t="shared" si="5"/>
        <v>45777.209706666661</v>
      </c>
      <c r="Q81" s="848">
        <f t="shared" si="6"/>
        <v>-2830.1411452983593</v>
      </c>
      <c r="R81" s="1038"/>
      <c r="S81" s="1536">
        <f t="shared" si="7"/>
        <v>12081.199999999997</v>
      </c>
      <c r="T81" s="1599" t="str">
        <f>VLOOKUP(A81,'2122 Funding Detail'!$A$4:$Z$21,3,(FALSE))</f>
        <v>School Size 4 Transition Point</v>
      </c>
      <c r="U81" s="16">
        <f>'Pay &amp; Pension Workings'!H123</f>
        <v>43634.245274666609</v>
      </c>
      <c r="V81" s="16">
        <f t="shared" si="8"/>
        <v>55715.445274666607</v>
      </c>
      <c r="W81" s="16">
        <f t="shared" si="9"/>
        <v>7108.0944227015862</v>
      </c>
      <c r="Y81" s="1029">
        <f>VLOOKUP(A81,'2122 Band Calculations'!$A$111:$S$129,19,(FALSE))</f>
        <v>74.666666666666671</v>
      </c>
      <c r="Z81" s="1032">
        <f t="shared" si="10"/>
        <v>746.18899921428488</v>
      </c>
      <c r="AB81" s="1029">
        <f>VLOOKUP(A81,'2021 Funding Detail'!$A$4:$M$23,13,(FALSE))</f>
        <v>69.166666666666671</v>
      </c>
      <c r="AC81" s="16">
        <f t="shared" si="1"/>
        <v>702.756879787446</v>
      </c>
      <c r="AD81" s="16">
        <f t="shared" si="11"/>
        <v>43.432119426838881</v>
      </c>
    </row>
    <row r="82" spans="1:36" x14ac:dyDescent="0.25">
      <c r="A82">
        <v>9257032</v>
      </c>
      <c r="B82" s="1413" t="s">
        <v>770</v>
      </c>
      <c r="C82" s="16">
        <f>J17+J45</f>
        <v>48946.303673923634</v>
      </c>
      <c r="D82" s="16">
        <f>VLOOKUP(A82,'Pay &amp; Pension Workings'!$A$112:$H$129,8,(FALSE))</f>
        <v>55419.387413583267</v>
      </c>
      <c r="K82" s="16">
        <f t="shared" si="3"/>
        <v>55419.387413583267</v>
      </c>
      <c r="L82" s="848">
        <f t="shared" si="4"/>
        <v>6473.0837396596326</v>
      </c>
      <c r="M82" s="1041"/>
      <c r="N82" s="16">
        <v>58141.143578333329</v>
      </c>
      <c r="O82" s="1515"/>
      <c r="P82" s="16">
        <f t="shared" si="5"/>
        <v>58141.143578333329</v>
      </c>
      <c r="Q82" s="848">
        <f t="shared" si="6"/>
        <v>9194.839904409695</v>
      </c>
      <c r="R82" s="1038"/>
      <c r="S82" s="1536">
        <f t="shared" si="7"/>
        <v>12081.199999999997</v>
      </c>
      <c r="T82" s="1599" t="str">
        <f>VLOOKUP(A82,'2122 Funding Detail'!$A$4:$Z$21,3,(FALSE))</f>
        <v>School Size 4 Transition Point</v>
      </c>
      <c r="U82" s="16">
        <f>'Pay &amp; Pension Workings'!H124</f>
        <v>55419.387413583267</v>
      </c>
      <c r="V82" s="16">
        <f t="shared" si="8"/>
        <v>67500.587413583271</v>
      </c>
      <c r="W82" s="16">
        <f t="shared" si="9"/>
        <v>18554.283739659637</v>
      </c>
      <c r="Y82" s="1029">
        <f>VLOOKUP(A82,'2122 Band Calculations'!$A$111:$S$129,19,(FALSE))</f>
        <v>94.833333333333343</v>
      </c>
      <c r="Z82" s="1032">
        <f t="shared" si="10"/>
        <v>711.78123810456873</v>
      </c>
      <c r="AB82" s="1029">
        <f>VLOOKUP(A82,'2021 Funding Detail'!$A$4:$M$23,13,(FALSE))</f>
        <v>77.416666666666671</v>
      </c>
      <c r="AC82" s="16">
        <f t="shared" si="1"/>
        <v>632.24504207436337</v>
      </c>
      <c r="AD82" s="16">
        <f t="shared" si="11"/>
        <v>79.53619603020536</v>
      </c>
    </row>
    <row r="83" spans="1:36" x14ac:dyDescent="0.25">
      <c r="A83">
        <v>9257030</v>
      </c>
      <c r="B83" s="1413" t="s">
        <v>771</v>
      </c>
      <c r="C83" s="16">
        <f>J18+J46</f>
        <v>50615.078033627906</v>
      </c>
      <c r="D83" s="16">
        <f>VLOOKUP(A83,'Pay &amp; Pension Workings'!$A$112:$H$129,8,(FALSE))</f>
        <v>42806.363388874946</v>
      </c>
      <c r="K83" s="16">
        <f t="shared" si="3"/>
        <v>42806.363388874946</v>
      </c>
      <c r="L83" s="848">
        <f t="shared" si="4"/>
        <v>-7808.7146447529594</v>
      </c>
      <c r="M83" s="1041"/>
      <c r="N83" s="16">
        <v>44908.6688975</v>
      </c>
      <c r="O83" s="1515"/>
      <c r="P83" s="16">
        <f t="shared" si="5"/>
        <v>44908.6688975</v>
      </c>
      <c r="Q83" s="848">
        <f t="shared" si="6"/>
        <v>-5706.4091361279061</v>
      </c>
      <c r="R83" s="1038"/>
      <c r="S83" s="1536">
        <f t="shared" si="7"/>
        <v>12081.199999999997</v>
      </c>
      <c r="T83" s="1599" t="str">
        <f>VLOOKUP(A83,'2122 Funding Detail'!$A$4:$Z$21,3,(FALSE))</f>
        <v>School Size 4 Transition Point</v>
      </c>
      <c r="U83" s="16">
        <f>'Pay &amp; Pension Workings'!H125</f>
        <v>42806.363388874946</v>
      </c>
      <c r="V83" s="16">
        <f t="shared" si="8"/>
        <v>54887.563388874943</v>
      </c>
      <c r="W83" s="16">
        <f t="shared" si="9"/>
        <v>4272.4853552470377</v>
      </c>
      <c r="Y83" s="1029">
        <f>VLOOKUP(A83,'2122 Band Calculations'!$A$111:$S$129,19,(FALSE))</f>
        <v>73.25</v>
      </c>
      <c r="Z83" s="1032">
        <f t="shared" si="10"/>
        <v>749.31827152047708</v>
      </c>
      <c r="AB83" s="1029">
        <f>VLOOKUP(A83,'2021 Funding Detail'!$A$4:$M$23,13,(FALSE))</f>
        <v>74.583333333333343</v>
      </c>
      <c r="AC83" s="16">
        <f t="shared" si="1"/>
        <v>678.63791776931259</v>
      </c>
      <c r="AD83" s="16">
        <f t="shared" si="11"/>
        <v>70.680353751164489</v>
      </c>
    </row>
    <row r="84" spans="1:36" x14ac:dyDescent="0.25">
      <c r="A84">
        <v>9257028</v>
      </c>
      <c r="B84" s="1413" t="s">
        <v>77</v>
      </c>
      <c r="C84" s="16">
        <f>J19+J47+D61</f>
        <v>71771.03517003126</v>
      </c>
      <c r="D84" s="16">
        <f>VLOOKUP(A84,'Pay &amp; Pension Workings'!$A$112:$H$129,8,(FALSE))</f>
        <v>65332.433220583553</v>
      </c>
      <c r="K84" s="16">
        <f t="shared" si="3"/>
        <v>65332.433220583553</v>
      </c>
      <c r="L84" s="848">
        <f t="shared" si="4"/>
        <v>-6438.6019494477077</v>
      </c>
      <c r="M84" s="1041"/>
      <c r="N84" s="16">
        <v>68541.038749714018</v>
      </c>
      <c r="O84" s="16">
        <f>N100</f>
        <v>23815.23874999996</v>
      </c>
      <c r="P84" s="16">
        <f t="shared" si="5"/>
        <v>92356.277499713979</v>
      </c>
      <c r="Q84" s="848">
        <f t="shared" si="6"/>
        <v>20585.242329682718</v>
      </c>
      <c r="R84" s="1038">
        <f>$O$100</f>
        <v>18553.815000000002</v>
      </c>
      <c r="S84" s="1536">
        <f t="shared" si="7"/>
        <v>13435.682499999995</v>
      </c>
      <c r="T84" s="1599" t="str">
        <f>VLOOKUP(A84,'2122 Funding Detail'!$A$4:$Z$21,3,(FALSE))</f>
        <v>School Size 5</v>
      </c>
      <c r="U84" s="16">
        <f>'Pay &amp; Pension Workings'!H126</f>
        <v>65332.433220583553</v>
      </c>
      <c r="V84" s="16">
        <f t="shared" si="8"/>
        <v>78768.115720583548</v>
      </c>
      <c r="W84" s="16">
        <f t="shared" si="9"/>
        <v>6997.0805505522876</v>
      </c>
      <c r="Y84" s="1029">
        <f>VLOOKUP(A84,'2122 Band Calculations'!$A$111:$S$129,19,(FALSE))</f>
        <v>112.16666666666667</v>
      </c>
      <c r="Z84" s="1032">
        <f t="shared" si="10"/>
        <v>702.24174490862003</v>
      </c>
      <c r="AB84" s="1029">
        <f>VLOOKUP(A84,'2021 Funding Detail'!$A$4:$M$23,13,(FALSE))</f>
        <v>93.25</v>
      </c>
      <c r="AC84" s="16">
        <f t="shared" si="1"/>
        <v>769.66257554993308</v>
      </c>
      <c r="AD84" s="16">
        <f t="shared" si="11"/>
        <v>-67.420830641313046</v>
      </c>
    </row>
    <row r="85" spans="1:36" x14ac:dyDescent="0.25">
      <c r="A85">
        <v>9257021</v>
      </c>
      <c r="B85" s="1413" t="s">
        <v>778</v>
      </c>
      <c r="C85" s="16">
        <f>J20+J48</f>
        <v>109449.10323009848</v>
      </c>
      <c r="D85" s="16">
        <f>VLOOKUP(A85,'Pay &amp; Pension Workings'!$A$112:$H$129,8,(FALSE))</f>
        <v>101418.20351197985</v>
      </c>
      <c r="K85" s="16">
        <f t="shared" si="3"/>
        <v>101418.20351197985</v>
      </c>
      <c r="L85" s="848">
        <f t="shared" si="4"/>
        <v>-8030.8997181186278</v>
      </c>
      <c r="M85" s="1041"/>
      <c r="N85" s="16">
        <v>106399.05287732223</v>
      </c>
      <c r="O85" s="1515">
        <f>N100+((N100-N98)/2)</f>
        <v>25690.354999999938</v>
      </c>
      <c r="P85" s="16">
        <f t="shared" si="5"/>
        <v>132089.40787732217</v>
      </c>
      <c r="Q85" s="848">
        <f t="shared" si="6"/>
        <v>22640.304647223689</v>
      </c>
      <c r="R85" s="1038">
        <f>O102-((O102-O100)*0.5)</f>
        <v>22306.738125000003</v>
      </c>
      <c r="S85" s="1536">
        <f t="shared" si="7"/>
        <v>16788.441249999989</v>
      </c>
      <c r="T85" s="1599" t="str">
        <f>VLOOKUP(A85,'2122 Funding Detail'!$A$4:$Z$21,3,(FALSE))</f>
        <v>School Size 5 Transition Point</v>
      </c>
      <c r="U85" s="16">
        <f>'Pay &amp; Pension Workings'!H127</f>
        <v>101418.20351197985</v>
      </c>
      <c r="V85" s="16">
        <f t="shared" si="8"/>
        <v>118206.64476197984</v>
      </c>
      <c r="W85" s="16">
        <f t="shared" si="9"/>
        <v>8757.5415318813612</v>
      </c>
      <c r="Y85" s="1029">
        <f>VLOOKUP(A85,'2122 Band Calculations'!$A$111:$S$129,19,(FALSE))</f>
        <v>167.75</v>
      </c>
      <c r="Z85" s="1032">
        <f t="shared" si="10"/>
        <v>704.65958129347143</v>
      </c>
      <c r="AB85" s="1029">
        <f>VLOOKUP(A85,'2021 Funding Detail'!$A$4:$M$23,13,(FALSE))</f>
        <v>164.33333333333334</v>
      </c>
      <c r="AC85" s="16">
        <f t="shared" si="1"/>
        <v>666.01888375313479</v>
      </c>
      <c r="AD85" s="16">
        <f t="shared" si="11"/>
        <v>38.640697540336646</v>
      </c>
    </row>
    <row r="86" spans="1:36" x14ac:dyDescent="0.25">
      <c r="A86">
        <v>9257015</v>
      </c>
      <c r="B86" s="1413" t="s">
        <v>55</v>
      </c>
      <c r="C86" s="16">
        <f>J21+J49</f>
        <v>157007.50638731191</v>
      </c>
      <c r="D86" s="16">
        <f>VLOOKUP(A86,'Pay &amp; Pension Workings'!$A$112:$H$129,8,(FALSE))</f>
        <v>140415.42263303587</v>
      </c>
      <c r="K86" s="16">
        <f t="shared" si="3"/>
        <v>140415.42263303587</v>
      </c>
      <c r="L86" s="848">
        <f t="shared" si="4"/>
        <v>-16592.083754276042</v>
      </c>
      <c r="M86" s="1041"/>
      <c r="N86" s="16">
        <v>147311.50286801482</v>
      </c>
      <c r="O86" s="1515">
        <f>N102+((N104-N102)/2)</f>
        <v>32783.428749999992</v>
      </c>
      <c r="P86" s="16">
        <f t="shared" si="5"/>
        <v>180094.93161801482</v>
      </c>
      <c r="Q86" s="848">
        <f t="shared" si="6"/>
        <v>23087.425230702909</v>
      </c>
      <c r="R86" s="1038">
        <f>O102-((O102-O100)*0.5)</f>
        <v>22306.738125000003</v>
      </c>
      <c r="S86" s="1536">
        <f t="shared" si="7"/>
        <v>19674.728749999995</v>
      </c>
      <c r="T86" s="1599" t="str">
        <f>VLOOKUP(A86,'2122 Funding Detail'!$A$4:$Z$21,3,(FALSE))</f>
        <v>School Size 6 Transition Point</v>
      </c>
      <c r="U86" s="16">
        <f>'Pay &amp; Pension Workings'!H128</f>
        <v>140415.42263303587</v>
      </c>
      <c r="V86" s="16">
        <f t="shared" si="8"/>
        <v>160090.15138303587</v>
      </c>
      <c r="W86" s="16">
        <f t="shared" si="9"/>
        <v>3082.6449957239674</v>
      </c>
      <c r="Y86" s="1029">
        <f>VLOOKUP(A86,'2122 Band Calculations'!$A$111:$S$129,19,(FALSE))</f>
        <v>228.08333333333334</v>
      </c>
      <c r="Z86" s="1032">
        <f t="shared" si="10"/>
        <v>701.89324683830125</v>
      </c>
      <c r="AB86" s="1029">
        <f>VLOOKUP(A86,'2021 Funding Detail'!$A$4:$M$23,13,(FALSE))</f>
        <v>233.41666666666671</v>
      </c>
      <c r="AC86" s="16">
        <f t="shared" si="1"/>
        <v>672.64908127373883</v>
      </c>
      <c r="AD86" s="16">
        <f t="shared" si="11"/>
        <v>29.244165564562422</v>
      </c>
    </row>
    <row r="87" spans="1:36" x14ac:dyDescent="0.25">
      <c r="A87">
        <v>9257016</v>
      </c>
      <c r="B87" s="1413" t="s">
        <v>80</v>
      </c>
      <c r="C87" s="16">
        <f>J22+J50</f>
        <v>90411.817119857238</v>
      </c>
      <c r="D87" s="16">
        <f>VLOOKUP(A87,'Pay &amp; Pension Workings'!$A$112:$H$129,8,(FALSE))</f>
        <v>82953.039009475891</v>
      </c>
      <c r="K87" s="16">
        <f t="shared" si="3"/>
        <v>82953.039009475891</v>
      </c>
      <c r="L87" s="848">
        <f t="shared" si="4"/>
        <v>-7458.7781103813468</v>
      </c>
      <c r="M87" s="1041"/>
      <c r="N87" s="16">
        <v>87027.027478959702</v>
      </c>
      <c r="O87" s="1515">
        <f>N102+((N104-N102)/2)</f>
        <v>32783.428749999992</v>
      </c>
      <c r="P87" s="16">
        <f t="shared" si="5"/>
        <v>119810.45622895969</v>
      </c>
      <c r="Q87" s="848">
        <f t="shared" si="6"/>
        <v>29398.639109102456</v>
      </c>
      <c r="R87" s="1038">
        <f>O102-((O102-O100)*0.5)</f>
        <v>22306.738125000003</v>
      </c>
      <c r="S87" s="1536">
        <f t="shared" si="7"/>
        <v>19674.728749999995</v>
      </c>
      <c r="T87" s="1599" t="str">
        <f>VLOOKUP(A87,'2122 Funding Detail'!$A$4:$Z$21,3,(FALSE))</f>
        <v>School Size 6 Transition Point</v>
      </c>
      <c r="U87" s="16">
        <f>'Pay &amp; Pension Workings'!H129</f>
        <v>82953.039009475891</v>
      </c>
      <c r="V87" s="16">
        <f t="shared" si="8"/>
        <v>102627.76775947589</v>
      </c>
      <c r="W87" s="16">
        <f>U87+S87-C87</f>
        <v>12215.950639618648</v>
      </c>
      <c r="Y87" s="1029">
        <f>VLOOKUP(A87,'2122 Band Calculations'!$A$111:$S$129,19,(FALSE))</f>
        <v>162.08333333333334</v>
      </c>
      <c r="Z87" s="1032">
        <f t="shared" si="10"/>
        <v>633.17902987851448</v>
      </c>
      <c r="AB87" s="1029">
        <f>VLOOKUP(A87,'2021 Funding Detail'!$A$4:$M$23,13,(FALSE))</f>
        <v>149</v>
      </c>
      <c r="AC87" s="16">
        <f t="shared" si="1"/>
        <v>606.79071892521631</v>
      </c>
      <c r="AD87" s="16">
        <f t="shared" si="11"/>
        <v>26.388310953298173</v>
      </c>
    </row>
    <row r="88" spans="1:36" ht="13" x14ac:dyDescent="0.3">
      <c r="C88" s="419">
        <f>SUM(C70:C87)</f>
        <v>1269805.554355996</v>
      </c>
      <c r="D88" s="419">
        <f>SUM(D70:D87)</f>
        <v>1178983.9160301562</v>
      </c>
      <c r="N88" s="615">
        <f>SUM(N70:N87)</f>
        <v>1236886.1573098886</v>
      </c>
      <c r="S88" s="1535"/>
    </row>
    <row r="89" spans="1:36" ht="13" x14ac:dyDescent="0.3">
      <c r="C89" s="419"/>
      <c r="D89" s="419"/>
      <c r="Q89" t="s">
        <v>1251</v>
      </c>
      <c r="R89" s="1533">
        <f>SUM(R70:R87)</f>
        <v>246476.39812500004</v>
      </c>
      <c r="S89" s="1534">
        <f>SUM(S70:S87)</f>
        <v>234217.23874999996</v>
      </c>
      <c r="W89" s="1518" t="s">
        <v>1262</v>
      </c>
    </row>
    <row r="90" spans="1:36" ht="13" x14ac:dyDescent="0.3">
      <c r="B90" s="1459" t="s">
        <v>1174</v>
      </c>
      <c r="C90" s="419"/>
      <c r="D90" s="419"/>
      <c r="R90" s="849" t="s">
        <v>1258</v>
      </c>
      <c r="S90" s="1550">
        <f>'Pay &amp; Pension Workings'!F109-'Pay &amp; Pension Workings'!H130-'2122 Pay &amp; Pension Allocations'!S89</f>
        <v>-12681.154780156154</v>
      </c>
    </row>
    <row r="92" spans="1:36" x14ac:dyDescent="0.25">
      <c r="A92" s="612" t="s">
        <v>1154</v>
      </c>
      <c r="S92" s="2046" t="s">
        <v>1257</v>
      </c>
      <c r="U92" s="2045" t="s">
        <v>1255</v>
      </c>
      <c r="V92" s="1549"/>
      <c r="W92" s="502"/>
    </row>
    <row r="93" spans="1:36" x14ac:dyDescent="0.25">
      <c r="A93">
        <v>2122</v>
      </c>
      <c r="B93" s="612" t="s">
        <v>138</v>
      </c>
      <c r="S93" s="2046"/>
      <c r="U93" s="2045"/>
      <c r="V93" s="1549"/>
    </row>
    <row r="94" spans="1:36" ht="25" x14ac:dyDescent="0.25">
      <c r="A94" s="1435">
        <v>660</v>
      </c>
      <c r="B94" s="612" t="s">
        <v>1155</v>
      </c>
      <c r="N94" s="1518" t="s">
        <v>1245</v>
      </c>
      <c r="O94" s="1532" t="s">
        <v>1247</v>
      </c>
      <c r="P94" s="1532" t="s">
        <v>1247</v>
      </c>
      <c r="S94" s="2046"/>
      <c r="U94" s="2045"/>
      <c r="V94" s="1549"/>
    </row>
    <row r="95" spans="1:36" ht="13" x14ac:dyDescent="0.3">
      <c r="A95" s="1436">
        <f>A93*A94</f>
        <v>1400520</v>
      </c>
      <c r="M95" s="1515" t="s">
        <v>1240</v>
      </c>
      <c r="N95" s="1515" t="s">
        <v>1241</v>
      </c>
      <c r="O95" s="1518" t="s">
        <v>1246</v>
      </c>
      <c r="P95" s="1518" t="s">
        <v>1250</v>
      </c>
      <c r="S95" s="1547"/>
    </row>
    <row r="96" spans="1:36" x14ac:dyDescent="0.25">
      <c r="M96" s="1515" t="s">
        <v>749</v>
      </c>
      <c r="N96" s="16">
        <v>17173.557499999995</v>
      </c>
      <c r="O96" s="16">
        <v>13420.489999999991</v>
      </c>
      <c r="P96" s="1536">
        <v>9867.3274999999849</v>
      </c>
      <c r="AB96" s="20"/>
      <c r="AC96" s="20"/>
      <c r="AD96" s="20"/>
      <c r="AE96" s="20"/>
      <c r="AF96" s="1548"/>
      <c r="AG96" s="400"/>
      <c r="AH96" s="20"/>
      <c r="AI96" s="20"/>
      <c r="AJ96" s="20"/>
    </row>
    <row r="97" spans="1:36" x14ac:dyDescent="0.25">
      <c r="A97" s="1435">
        <f>A95-C88</f>
        <v>130714.44564400404</v>
      </c>
      <c r="B97" s="612" t="s">
        <v>1156</v>
      </c>
      <c r="M97" t="s">
        <v>755</v>
      </c>
      <c r="P97" s="16">
        <f>P98-((P98-P96)*0.5)</f>
        <v>10297.022499999992</v>
      </c>
      <c r="AB97" s="20"/>
      <c r="AC97" s="20"/>
      <c r="AD97" s="20"/>
      <c r="AE97" s="20"/>
      <c r="AF97" s="1548"/>
      <c r="AG97" s="400"/>
      <c r="AH97" s="20"/>
      <c r="AI97" s="20"/>
      <c r="AJ97" s="20"/>
    </row>
    <row r="98" spans="1:36" x14ac:dyDescent="0.25">
      <c r="M98" s="1515" t="s">
        <v>750</v>
      </c>
      <c r="N98" s="16">
        <v>20065.006250000006</v>
      </c>
      <c r="O98" s="16">
        <v>15282.377500000002</v>
      </c>
      <c r="P98" s="1536">
        <v>10726.717499999999</v>
      </c>
      <c r="AB98" s="20"/>
      <c r="AC98" s="20"/>
      <c r="AD98" s="20"/>
      <c r="AE98" s="20"/>
      <c r="AF98" s="1548"/>
      <c r="AG98" s="400"/>
      <c r="AH98" s="20"/>
      <c r="AI98" s="20"/>
      <c r="AJ98" s="20"/>
    </row>
    <row r="99" spans="1:36" x14ac:dyDescent="0.25">
      <c r="C99" s="672" t="s">
        <v>1055</v>
      </c>
      <c r="L99" s="849" t="s">
        <v>1242</v>
      </c>
      <c r="M99" t="s">
        <v>756</v>
      </c>
      <c r="P99" s="16">
        <f>P100-((P100-P98)*0.5)</f>
        <v>12081.199999999997</v>
      </c>
      <c r="AB99" s="20"/>
      <c r="AC99" s="20"/>
      <c r="AD99" s="20"/>
      <c r="AE99" s="20"/>
      <c r="AF99" s="1548"/>
      <c r="AG99" s="400"/>
      <c r="AH99" s="20"/>
      <c r="AI99" s="20"/>
      <c r="AJ99" s="20"/>
    </row>
    <row r="100" spans="1:36" x14ac:dyDescent="0.25">
      <c r="A100" s="612" t="s">
        <v>1157</v>
      </c>
      <c r="C100" s="672" t="s">
        <v>1158</v>
      </c>
      <c r="L100" s="849" t="s">
        <v>1242</v>
      </c>
      <c r="M100" s="1515" t="s">
        <v>751</v>
      </c>
      <c r="N100" s="16">
        <v>23815.23874999996</v>
      </c>
      <c r="O100" s="16">
        <v>18553.815000000002</v>
      </c>
      <c r="P100" s="1536">
        <v>13435.682499999995</v>
      </c>
      <c r="AB100" s="20"/>
      <c r="AC100" s="20"/>
      <c r="AD100" s="20"/>
      <c r="AE100" s="20"/>
      <c r="AF100" s="1548"/>
      <c r="AG100" s="400"/>
      <c r="AH100" s="20"/>
      <c r="AI100" s="20"/>
      <c r="AJ100" s="20"/>
    </row>
    <row r="101" spans="1:36" x14ac:dyDescent="0.25">
      <c r="B101" s="612" t="s">
        <v>839</v>
      </c>
      <c r="C101" s="16">
        <f>'2122 Band Values'!C11-'2122 Band Values'!I11</f>
        <v>564.11083333333363</v>
      </c>
      <c r="M101" t="s">
        <v>758</v>
      </c>
      <c r="P101" s="16">
        <f>P102-((P102-P100)*0.5)</f>
        <v>16788.441249999989</v>
      </c>
      <c r="AB101" s="20"/>
      <c r="AC101" s="20"/>
      <c r="AD101" s="20"/>
      <c r="AE101" s="20"/>
      <c r="AF101" s="1548"/>
      <c r="AG101" s="400"/>
      <c r="AH101" s="20"/>
      <c r="AI101" s="20"/>
      <c r="AJ101" s="20"/>
    </row>
    <row r="102" spans="1:36" x14ac:dyDescent="0.25">
      <c r="B102" s="612" t="s">
        <v>840</v>
      </c>
      <c r="C102" s="16">
        <f>'2122 Band Values'!C8-'2122 Band Values'!I8</f>
        <v>676.93299999999999</v>
      </c>
      <c r="M102" s="1515" t="s">
        <v>752</v>
      </c>
      <c r="N102" s="16">
        <v>32155.344374999986</v>
      </c>
      <c r="O102" s="16">
        <v>26059.661250000005</v>
      </c>
      <c r="P102" s="1536">
        <v>20141.199999999983</v>
      </c>
      <c r="AB102" s="20"/>
      <c r="AC102" s="20"/>
      <c r="AD102" s="20"/>
      <c r="AE102" s="20"/>
      <c r="AF102" s="1548"/>
      <c r="AG102" s="400"/>
      <c r="AH102" s="20"/>
      <c r="AI102" s="20"/>
      <c r="AJ102" s="20"/>
    </row>
    <row r="103" spans="1:36" x14ac:dyDescent="0.25">
      <c r="B103" s="612" t="s">
        <v>841</v>
      </c>
      <c r="C103" s="16">
        <f>'2122 Band Values'!C17-'2122 Band Values'!I17</f>
        <v>676.93299999999999</v>
      </c>
      <c r="M103" t="s">
        <v>759</v>
      </c>
      <c r="P103" s="16">
        <f>P104-((P104-P102)*0.5)</f>
        <v>19674.728749999995</v>
      </c>
      <c r="AB103" s="20"/>
      <c r="AC103" s="20"/>
      <c r="AD103" s="20"/>
      <c r="AE103" s="20"/>
      <c r="AF103" s="1548"/>
      <c r="AG103" s="400"/>
      <c r="AH103" s="20"/>
      <c r="AI103" s="20"/>
      <c r="AJ103" s="20"/>
    </row>
    <row r="104" spans="1:36" x14ac:dyDescent="0.25">
      <c r="B104" s="612" t="s">
        <v>842</v>
      </c>
      <c r="C104" s="16">
        <f>'2122 Band Values'!C5-'2122 Band Values'!I5</f>
        <v>846.16625000000022</v>
      </c>
      <c r="M104" s="1515" t="s">
        <v>753</v>
      </c>
      <c r="N104" s="16">
        <v>33411.513124999998</v>
      </c>
      <c r="O104" s="16">
        <v>26181.788750000007</v>
      </c>
      <c r="P104" s="1536">
        <v>19208.257500000007</v>
      </c>
      <c r="AB104" s="20"/>
      <c r="AC104" s="20"/>
      <c r="AD104" s="20"/>
      <c r="AE104" s="20"/>
      <c r="AF104" s="1548"/>
      <c r="AG104" s="400"/>
      <c r="AH104" s="20"/>
      <c r="AI104" s="20"/>
      <c r="AJ104" s="20"/>
    </row>
    <row r="105" spans="1:36" x14ac:dyDescent="0.25">
      <c r="B105" s="612" t="s">
        <v>843</v>
      </c>
      <c r="C105" s="16">
        <f>'2122 Band Values'!C14-'2122 Band Values'!I14</f>
        <v>846.16625000000022</v>
      </c>
      <c r="AB105" s="20"/>
      <c r="AC105" s="20"/>
      <c r="AD105" s="20"/>
      <c r="AE105" s="20"/>
      <c r="AF105" s="1548"/>
      <c r="AG105" s="400"/>
      <c r="AH105" s="20"/>
      <c r="AI105" s="20"/>
      <c r="AJ105" s="20"/>
    </row>
    <row r="106" spans="1:36" x14ac:dyDescent="0.25">
      <c r="B106" t="s">
        <v>844</v>
      </c>
      <c r="C106" s="16">
        <f>'2122 Band Values'!C22-'2122 Band Values'!I22</f>
        <v>1128.2216666666673</v>
      </c>
      <c r="AB106" s="20"/>
      <c r="AC106" s="20"/>
      <c r="AD106" s="20"/>
      <c r="AE106" s="20"/>
      <c r="AF106" s="1548"/>
      <c r="AG106" s="400"/>
      <c r="AH106" s="20"/>
      <c r="AI106" s="20"/>
      <c r="AJ106" s="20"/>
    </row>
    <row r="107" spans="1:36" x14ac:dyDescent="0.25">
      <c r="B107" t="s">
        <v>845</v>
      </c>
      <c r="C107" s="16">
        <v>0</v>
      </c>
      <c r="AB107" s="20"/>
      <c r="AC107" s="20"/>
      <c r="AD107" s="20"/>
      <c r="AE107" s="20"/>
      <c r="AF107" s="20"/>
      <c r="AG107" s="20"/>
      <c r="AH107" s="20"/>
      <c r="AI107" s="20"/>
      <c r="AJ107" s="20"/>
    </row>
    <row r="108" spans="1:36" x14ac:dyDescent="0.25">
      <c r="M108" t="s">
        <v>749</v>
      </c>
      <c r="AB108" s="20"/>
      <c r="AC108" s="20"/>
      <c r="AD108" s="20"/>
      <c r="AE108" s="20"/>
      <c r="AF108" s="20"/>
      <c r="AG108" s="20"/>
      <c r="AH108" s="20"/>
      <c r="AI108" s="20"/>
      <c r="AJ108" s="20"/>
    </row>
    <row r="109" spans="1:36" x14ac:dyDescent="0.25">
      <c r="M109" t="s">
        <v>755</v>
      </c>
      <c r="AB109" s="20"/>
      <c r="AC109" s="20"/>
      <c r="AD109" s="20"/>
      <c r="AE109" s="20"/>
      <c r="AF109" s="20"/>
      <c r="AG109" s="20"/>
      <c r="AH109" s="20"/>
      <c r="AI109" s="20"/>
      <c r="AJ109" s="20"/>
    </row>
    <row r="110" spans="1:36" x14ac:dyDescent="0.25">
      <c r="M110" t="s">
        <v>750</v>
      </c>
      <c r="AB110" s="20"/>
      <c r="AC110" s="20"/>
      <c r="AD110" s="20"/>
      <c r="AE110" s="20"/>
      <c r="AF110" s="20"/>
      <c r="AG110" s="20"/>
      <c r="AH110" s="20"/>
      <c r="AI110" s="20"/>
      <c r="AJ110" s="20"/>
    </row>
    <row r="111" spans="1:36" x14ac:dyDescent="0.25">
      <c r="M111" t="s">
        <v>756</v>
      </c>
      <c r="AB111" s="20"/>
      <c r="AC111" s="20"/>
      <c r="AD111" s="20"/>
      <c r="AE111" s="20"/>
      <c r="AF111" s="20"/>
      <c r="AG111" s="20"/>
      <c r="AH111" s="20"/>
      <c r="AI111" s="20"/>
      <c r="AJ111" s="20"/>
    </row>
    <row r="112" spans="1:36" x14ac:dyDescent="0.25">
      <c r="M112" t="s">
        <v>751</v>
      </c>
      <c r="AB112" s="20"/>
      <c r="AC112" s="20"/>
      <c r="AD112" s="20"/>
      <c r="AE112" s="20"/>
      <c r="AF112" s="20"/>
      <c r="AG112" s="20"/>
      <c r="AH112" s="20"/>
      <c r="AI112" s="20"/>
      <c r="AJ112" s="20"/>
    </row>
    <row r="113" spans="13:36" x14ac:dyDescent="0.25">
      <c r="M113" t="s">
        <v>758</v>
      </c>
      <c r="AB113" s="20"/>
      <c r="AC113" s="20"/>
      <c r="AD113" s="20"/>
      <c r="AE113" s="20"/>
      <c r="AF113" s="20"/>
      <c r="AG113" s="20"/>
      <c r="AH113" s="20"/>
      <c r="AI113" s="20"/>
      <c r="AJ113" s="20"/>
    </row>
    <row r="114" spans="13:36" x14ac:dyDescent="0.25">
      <c r="M114" t="s">
        <v>752</v>
      </c>
      <c r="AB114" s="20"/>
      <c r="AC114" s="20"/>
      <c r="AD114" s="20"/>
      <c r="AE114" s="20"/>
      <c r="AF114" s="20"/>
      <c r="AG114" s="20"/>
      <c r="AH114" s="20"/>
      <c r="AI114" s="20"/>
      <c r="AJ114" s="20"/>
    </row>
    <row r="115" spans="13:36" x14ac:dyDescent="0.25">
      <c r="M115" t="s">
        <v>759</v>
      </c>
      <c r="AB115" s="20"/>
      <c r="AC115" s="20"/>
      <c r="AD115" s="20"/>
      <c r="AE115" s="20"/>
      <c r="AF115" s="20"/>
      <c r="AG115" s="20"/>
      <c r="AH115" s="20"/>
      <c r="AI115" s="20"/>
      <c r="AJ115" s="20"/>
    </row>
    <row r="116" spans="13:36" x14ac:dyDescent="0.25">
      <c r="M116" t="s">
        <v>753</v>
      </c>
    </row>
    <row r="117" spans="13:36" x14ac:dyDescent="0.25">
      <c r="M117" t="s">
        <v>757</v>
      </c>
    </row>
    <row r="118" spans="13:36" x14ac:dyDescent="0.25">
      <c r="M118" t="s">
        <v>754</v>
      </c>
    </row>
  </sheetData>
  <mergeCells count="12">
    <mergeCell ref="U92:U94"/>
    <mergeCell ref="S92:S94"/>
    <mergeCell ref="AB67:AB69"/>
    <mergeCell ref="AC67:AC69"/>
    <mergeCell ref="AD67:AD69"/>
    <mergeCell ref="Z67:Z69"/>
    <mergeCell ref="P68:P69"/>
    <mergeCell ref="D67:J67"/>
    <mergeCell ref="Y67:Y69"/>
    <mergeCell ref="N65:N67"/>
    <mergeCell ref="K68:K69"/>
    <mergeCell ref="U65:U67"/>
  </mergeCells>
  <conditionalFormatting sqref="T67 W67">
    <cfRule type="cellIs" dxfId="3" priority="4" operator="lessThan">
      <formula>0</formula>
    </cfRule>
  </conditionalFormatting>
  <conditionalFormatting sqref="L70:L87 Q70:Q87">
    <cfRule type="cellIs" dxfId="2" priority="3" operator="lessThan">
      <formula>0</formula>
    </cfRule>
  </conditionalFormatting>
  <conditionalFormatting sqref="AD70:AD87">
    <cfRule type="cellIs" dxfId="1" priority="2" operator="lessThan">
      <formula>0</formula>
    </cfRule>
  </conditionalFormatting>
  <conditionalFormatting sqref="W70:W87">
    <cfRule type="cellIs" dxfId="0" priority="1" operator="lessThan">
      <formula>0</formula>
    </cfRule>
  </conditionalFormatting>
  <pageMargins left="0.7" right="0.7" top="0.75" bottom="0.75" header="0.3" footer="0.3"/>
  <pageSetup orientation="portrait" horizontalDpi="90" verticalDpi="9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Z138"/>
  <sheetViews>
    <sheetView topLeftCell="A82" workbookViewId="0">
      <selection activeCell="H112" sqref="H112"/>
    </sheetView>
  </sheetViews>
  <sheetFormatPr defaultColWidth="10.26953125" defaultRowHeight="12.5" x14ac:dyDescent="0.25"/>
  <cols>
    <col min="1" max="1" width="9.1796875" style="34" customWidth="1"/>
    <col min="2" max="2" width="28.1796875" style="34" customWidth="1"/>
    <col min="3" max="3" width="7.26953125" style="34" bestFit="1" customWidth="1"/>
    <col min="4" max="4" width="12.1796875" style="34" bestFit="1" customWidth="1"/>
    <col min="5" max="5" width="16.453125" style="34" customWidth="1"/>
    <col min="6" max="6" width="12.7265625" style="34" customWidth="1"/>
    <col min="7" max="7" width="14.54296875" style="34" customWidth="1"/>
    <col min="8" max="8" width="13.26953125" style="34" customWidth="1"/>
    <col min="9" max="9" width="13" style="1409" customWidth="1"/>
    <col min="10" max="10" width="12.81640625" style="1409" customWidth="1"/>
    <col min="11" max="11" width="12.26953125" style="34" customWidth="1"/>
    <col min="12" max="12" width="11.1796875" style="34" customWidth="1"/>
    <col min="13" max="13" width="13.26953125" style="34" customWidth="1"/>
    <col min="14" max="14" width="11.453125" style="34" customWidth="1"/>
    <col min="15" max="15" width="12.453125" style="34" bestFit="1" customWidth="1"/>
    <col min="16" max="16" width="11.54296875" style="34" customWidth="1"/>
    <col min="17" max="17" width="12.453125" style="347" customWidth="1"/>
    <col min="18" max="18" width="12.26953125" style="34" customWidth="1"/>
    <col min="19" max="20" width="11.26953125" style="34" customWidth="1"/>
    <col min="21" max="21" width="10.26953125" style="34" customWidth="1"/>
    <col min="22" max="22" width="11.1796875" style="34" bestFit="1" customWidth="1"/>
    <col min="23" max="23" width="11.1796875" style="34" customWidth="1"/>
    <col min="24" max="24" width="12.81640625" style="34" customWidth="1"/>
    <col min="25" max="25" width="11" style="34" customWidth="1"/>
    <col min="26" max="26" width="12.7265625" style="34" customWidth="1"/>
    <col min="27" max="27" width="13.1796875" style="34" customWidth="1"/>
    <col min="28" max="28" width="12.1796875" style="34" customWidth="1"/>
    <col min="29" max="29" width="11" style="34" customWidth="1"/>
    <col min="30" max="30" width="10.54296875" style="34" bestFit="1" customWidth="1"/>
    <col min="31" max="31" width="12.453125" style="34" customWidth="1"/>
    <col min="32" max="32" width="10.26953125" style="34" customWidth="1"/>
    <col min="33" max="33" width="28.54296875" style="34" bestFit="1" customWidth="1"/>
    <col min="34" max="34" width="11.1796875" style="34" customWidth="1"/>
    <col min="35" max="35" width="2" style="34" customWidth="1"/>
    <col min="36" max="36" width="10" style="34" customWidth="1"/>
    <col min="37" max="37" width="9.7265625" style="34" customWidth="1"/>
    <col min="38" max="38" width="10.54296875" style="34" bestFit="1" customWidth="1"/>
    <col min="39" max="39" width="10.26953125" style="34" customWidth="1"/>
    <col min="40" max="40" width="15" style="34" customWidth="1"/>
    <col min="41" max="41" width="14.1796875" style="34" customWidth="1"/>
    <col min="42" max="45" width="10.26953125" style="34"/>
    <col min="46" max="46" width="14.7265625" style="1409" customWidth="1"/>
    <col min="47" max="47" width="13.26953125" style="1409" customWidth="1"/>
    <col min="48" max="49" width="10.26953125" style="34"/>
    <col min="50" max="50" width="19" style="1409" bestFit="1" customWidth="1"/>
    <col min="51" max="51" width="16.81640625" style="1409" customWidth="1"/>
    <col min="52" max="52" width="10.26953125" style="1409"/>
    <col min="53" max="16384" width="10.26953125" style="34"/>
  </cols>
  <sheetData>
    <row r="1" spans="1:52" x14ac:dyDescent="0.25">
      <c r="A1" s="63" t="s">
        <v>97</v>
      </c>
      <c r="C1" s="33"/>
      <c r="Q1" s="976"/>
      <c r="R1" s="810"/>
      <c r="S1" s="810"/>
      <c r="T1" s="810"/>
      <c r="U1" s="810"/>
      <c r="AT1" s="34"/>
      <c r="AU1" s="34"/>
      <c r="AX1" s="34"/>
      <c r="AY1" s="34"/>
      <c r="AZ1" s="34"/>
    </row>
    <row r="2" spans="1:52" ht="13" x14ac:dyDescent="0.3">
      <c r="A2" s="63"/>
      <c r="C2" s="33"/>
      <c r="E2" s="332" t="s">
        <v>920</v>
      </c>
      <c r="Q2" s="976"/>
      <c r="R2" s="810"/>
      <c r="S2" s="810"/>
      <c r="T2" s="810"/>
      <c r="U2" s="810"/>
      <c r="AT2" s="34"/>
      <c r="AU2" s="34"/>
      <c r="AX2" s="34"/>
      <c r="AY2" s="34"/>
      <c r="AZ2" s="34"/>
    </row>
    <row r="3" spans="1:52" ht="13" x14ac:dyDescent="0.3">
      <c r="A3" s="230" t="s">
        <v>929</v>
      </c>
      <c r="C3" s="47"/>
      <c r="K3" s="231" t="s">
        <v>853</v>
      </c>
      <c r="Q3" s="976"/>
      <c r="R3" s="810"/>
      <c r="S3" s="810"/>
      <c r="T3" s="810"/>
      <c r="U3" s="810"/>
      <c r="AT3" s="34"/>
      <c r="AU3" s="34"/>
      <c r="AX3" s="34"/>
      <c r="AY3" s="34"/>
      <c r="AZ3" s="34"/>
    </row>
    <row r="4" spans="1:52" x14ac:dyDescent="0.25">
      <c r="B4" s="35"/>
      <c r="C4" s="35"/>
      <c r="P4" s="976"/>
      <c r="Q4" s="810"/>
      <c r="R4" s="810"/>
      <c r="S4" s="810"/>
      <c r="T4" s="810"/>
      <c r="AT4" s="34"/>
      <c r="AU4" s="34"/>
      <c r="AX4" s="34"/>
      <c r="AY4" s="34"/>
      <c r="AZ4" s="34"/>
    </row>
    <row r="5" spans="1:52" ht="37.5" x14ac:dyDescent="0.25">
      <c r="A5" s="183" t="s">
        <v>201</v>
      </c>
      <c r="B5" s="36" t="s">
        <v>66</v>
      </c>
      <c r="C5" s="1410" t="s">
        <v>51</v>
      </c>
      <c r="D5" s="1412" t="s">
        <v>858</v>
      </c>
      <c r="E5" s="1412" t="s">
        <v>859</v>
      </c>
      <c r="F5" s="1412" t="s">
        <v>860</v>
      </c>
      <c r="G5" s="1412" t="s">
        <v>861</v>
      </c>
      <c r="H5" s="1412" t="s">
        <v>862</v>
      </c>
      <c r="I5" s="1412" t="s">
        <v>863</v>
      </c>
      <c r="J5" s="1412" t="s">
        <v>864</v>
      </c>
      <c r="K5" s="1414" t="s">
        <v>253</v>
      </c>
      <c r="L5" s="1414" t="s">
        <v>336</v>
      </c>
      <c r="M5" s="1414" t="s">
        <v>386</v>
      </c>
      <c r="N5" s="1414" t="s">
        <v>387</v>
      </c>
      <c r="P5" s="977" t="s">
        <v>900</v>
      </c>
      <c r="Q5" s="34"/>
      <c r="AT5" s="34"/>
      <c r="AU5" s="34"/>
      <c r="AX5" s="34"/>
      <c r="AY5" s="34"/>
      <c r="AZ5" s="34"/>
    </row>
    <row r="6" spans="1:52" x14ac:dyDescent="0.25">
      <c r="A6" s="185">
        <v>9257010</v>
      </c>
      <c r="B6" s="38" t="s">
        <v>67</v>
      </c>
      <c r="C6" s="781">
        <v>5</v>
      </c>
      <c r="D6" s="812">
        <f>VLOOKUP(A6,'2122 Band Moderations'!$B$5:$S$22,6,(FALSE))</f>
        <v>1.5873015873015872E-2</v>
      </c>
      <c r="E6" s="812">
        <f>VLOOKUP(A6,'2122 Band Moderations'!$B$5:$S$22,8,(FALSE))</f>
        <v>0.31746031746031744</v>
      </c>
      <c r="F6" s="812">
        <f>VLOOKUP(A6,'2122 Band Moderations'!$B$5:$S$22,10,(FALSE))</f>
        <v>9.5238095238095233E-2</v>
      </c>
      <c r="G6" s="812">
        <f>VLOOKUP(A6,'2122 Band Moderations'!$B$5:$S$22,12,(FALSE))</f>
        <v>0.17460317460317459</v>
      </c>
      <c r="H6" s="812">
        <f>VLOOKUP(A6,'2122 Band Moderations'!$B$5:$S$22,14,(FALSE))</f>
        <v>6.3492063492063489E-2</v>
      </c>
      <c r="I6" s="812">
        <f>VLOOKUP(A6,'2122 Band Moderations'!$B$5:$S$22,16,(FALSE))</f>
        <v>0.19047619047619047</v>
      </c>
      <c r="J6" s="812">
        <f>VLOOKUP(A6,'2122 Band Moderations'!$B$5:$S$22,18,(FALSE))</f>
        <v>0.14285714285714285</v>
      </c>
      <c r="K6" s="1012">
        <v>58</v>
      </c>
      <c r="L6" s="813">
        <f>((((K6*D6)*$G$92)+((K6*E6)*$G$94)+((K6*F6)*$G$96)+((K6*G6)*$G$98)+((K6*H6)*$G$100)+((K6*I6)*$G$102)+((K6*J6)*$G$104))*(5/12))</f>
        <v>14701.796046859006</v>
      </c>
      <c r="M6" s="813">
        <f>((K6*F6)*$G$106)*(5/12)</f>
        <v>0</v>
      </c>
      <c r="N6" s="813">
        <f t="shared" ref="N6:N23" si="0">SUM(L6:M6)</f>
        <v>14701.796046859006</v>
      </c>
      <c r="O6" s="42"/>
      <c r="P6" s="42">
        <f t="shared" ref="P6:P23" si="1">(J6*K6*$G$104)*5/12</f>
        <v>0</v>
      </c>
      <c r="Q6" s="168"/>
      <c r="R6" s="623"/>
      <c r="U6" s="42"/>
      <c r="AT6" s="34"/>
      <c r="AU6" s="34"/>
      <c r="AX6" s="34"/>
      <c r="AY6" s="34"/>
      <c r="AZ6" s="34"/>
    </row>
    <row r="7" spans="1:52" ht="12.75" customHeight="1" x14ac:dyDescent="0.25">
      <c r="A7" s="185">
        <v>9257005</v>
      </c>
      <c r="B7" s="38" t="s">
        <v>68</v>
      </c>
      <c r="C7" s="781">
        <v>4</v>
      </c>
      <c r="D7" s="812">
        <f>VLOOKUP(A7,'2122 Band Moderations'!$B$5:$S$22,6,(FALSE))</f>
        <v>0.05</v>
      </c>
      <c r="E7" s="812">
        <f>VLOOKUP(A7,'2122 Band Moderations'!$B$5:$S$22,8,(FALSE))</f>
        <v>0.4</v>
      </c>
      <c r="F7" s="812">
        <f>VLOOKUP(A7,'2122 Band Moderations'!$B$5:$S$22,10,(FALSE))</f>
        <v>6.25E-2</v>
      </c>
      <c r="G7" s="812">
        <f>VLOOKUP(A7,'2122 Band Moderations'!$B$5:$S$22,12,(FALSE))</f>
        <v>0.15</v>
      </c>
      <c r="H7" s="812">
        <f>VLOOKUP(A7,'2122 Band Moderations'!$B$5:$S$22,14,(FALSE))</f>
        <v>0.125</v>
      </c>
      <c r="I7" s="812">
        <f>VLOOKUP(A7,'2122 Band Moderations'!$B$5:$S$22,16,(FALSE))</f>
        <v>0.15</v>
      </c>
      <c r="J7" s="812">
        <f>VLOOKUP(A7,'2122 Band Moderations'!$B$5:$S$22,18,(FALSE))</f>
        <v>6.25E-2</v>
      </c>
      <c r="K7" s="1012">
        <v>53</v>
      </c>
      <c r="L7" s="813">
        <f t="shared" ref="L7:L23" si="2">((((K7*D7)*$G$92)+((K7*E7)*$G$94)+((K7*F7)*$G$96)+((K7*G7)*$G$98)+((K7*H7)*$G$100)+((K7*I7)*$G$102)+((K7*J7)*$G$104))*(5/12))</f>
        <v>14168.853524538617</v>
      </c>
      <c r="M7" s="813">
        <f t="shared" ref="M7:M23" si="3">((K7*F7)*$G$106)*(5/12)</f>
        <v>0</v>
      </c>
      <c r="N7" s="813">
        <f t="shared" si="0"/>
        <v>14168.853524538617</v>
      </c>
      <c r="O7" s="42"/>
      <c r="P7" s="42">
        <f t="shared" si="1"/>
        <v>0</v>
      </c>
      <c r="Q7" s="978"/>
      <c r="R7" s="624"/>
      <c r="S7" s="33"/>
      <c r="T7" s="33"/>
      <c r="U7" s="42"/>
      <c r="V7" s="1412"/>
      <c r="AT7" s="34"/>
      <c r="AU7" s="34"/>
      <c r="AX7" s="34"/>
      <c r="AY7" s="34"/>
      <c r="AZ7" s="34"/>
    </row>
    <row r="8" spans="1:52" ht="12.75" customHeight="1" x14ac:dyDescent="0.25">
      <c r="A8" s="185">
        <v>9257025</v>
      </c>
      <c r="B8" s="38" t="s">
        <v>69</v>
      </c>
      <c r="C8" s="781">
        <v>4</v>
      </c>
      <c r="D8" s="812">
        <f>VLOOKUP(A8,'2122 Band Moderations'!$B$5:$S$22,6,(FALSE))</f>
        <v>0.15584415584415584</v>
      </c>
      <c r="E8" s="812">
        <f>VLOOKUP(A8,'2122 Band Moderations'!$B$5:$S$22,8,(FALSE))</f>
        <v>0.40259740259740262</v>
      </c>
      <c r="F8" s="812">
        <f>VLOOKUP(A8,'2122 Band Moderations'!$B$5:$S$22,10,(FALSE))</f>
        <v>3.896103896103896E-2</v>
      </c>
      <c r="G8" s="812">
        <f>VLOOKUP(A8,'2122 Band Moderations'!$B$5:$S$22,12,(FALSE))</f>
        <v>0.15584415584415584</v>
      </c>
      <c r="H8" s="812">
        <f>VLOOKUP(A8,'2122 Band Moderations'!$B$5:$S$22,14,(FALSE))</f>
        <v>5.1948051948051951E-2</v>
      </c>
      <c r="I8" s="812">
        <f>VLOOKUP(A8,'2122 Band Moderations'!$B$5:$S$22,16,(FALSE))</f>
        <v>0.14285714285714285</v>
      </c>
      <c r="J8" s="812">
        <f>VLOOKUP(A8,'2122 Band Moderations'!$B$5:$S$22,18,(FALSE))</f>
        <v>5.1948051948051951E-2</v>
      </c>
      <c r="K8" s="1012">
        <v>56</v>
      </c>
      <c r="L8" s="813">
        <f t="shared" si="2"/>
        <v>14580.165831767667</v>
      </c>
      <c r="M8" s="813">
        <f t="shared" si="3"/>
        <v>0</v>
      </c>
      <c r="N8" s="813">
        <f t="shared" si="0"/>
        <v>14580.165831767667</v>
      </c>
      <c r="O8" s="42"/>
      <c r="P8" s="42">
        <f t="shared" si="1"/>
        <v>0</v>
      </c>
      <c r="Q8" s="978"/>
      <c r="R8" s="808"/>
      <c r="S8" s="808"/>
      <c r="T8" s="808"/>
      <c r="U8" s="808"/>
      <c r="V8" s="808"/>
      <c r="W8" s="808"/>
      <c r="X8" s="808"/>
      <c r="AT8" s="34"/>
      <c r="AU8" s="34"/>
      <c r="AX8" s="34"/>
      <c r="AY8" s="34"/>
      <c r="AZ8" s="34"/>
    </row>
    <row r="9" spans="1:52" x14ac:dyDescent="0.25">
      <c r="A9" s="185">
        <v>9257011</v>
      </c>
      <c r="B9" s="38" t="s">
        <v>70</v>
      </c>
      <c r="C9" s="781" t="s">
        <v>1009</v>
      </c>
      <c r="D9" s="812">
        <f>VLOOKUP(A9,'2122 Band Moderations'!$B$5:$S$22,6,(FALSE))</f>
        <v>5.6603773584905662E-2</v>
      </c>
      <c r="E9" s="812">
        <f>VLOOKUP(A9,'2122 Band Moderations'!$B$5:$S$22,8,(FALSE))</f>
        <v>0.35849056603773582</v>
      </c>
      <c r="F9" s="812">
        <f>VLOOKUP(A9,'2122 Band Moderations'!$B$5:$S$22,10,(FALSE))</f>
        <v>1.8867924528301886E-2</v>
      </c>
      <c r="G9" s="812">
        <f>VLOOKUP(A9,'2122 Band Moderations'!$B$5:$S$22,12,(FALSE))</f>
        <v>0.16981132075471697</v>
      </c>
      <c r="H9" s="812">
        <f>VLOOKUP(A9,'2122 Band Moderations'!$B$5:$S$22,14,(FALSE))</f>
        <v>0.13207547169811321</v>
      </c>
      <c r="I9" s="812">
        <f>VLOOKUP(A9,'2122 Band Moderations'!$B$5:$S$22,16,(FALSE))</f>
        <v>0.15094339622641509</v>
      </c>
      <c r="J9" s="812">
        <f>VLOOKUP(A9,'2122 Band Moderations'!$B$5:$S$22,18,(FALSE))</f>
        <v>0.11320754716981132</v>
      </c>
      <c r="K9" s="1012">
        <v>50</v>
      </c>
      <c r="L9" s="813">
        <f t="shared" si="2"/>
        <v>12825.584153727717</v>
      </c>
      <c r="M9" s="813">
        <f t="shared" si="3"/>
        <v>0</v>
      </c>
      <c r="N9" s="813">
        <f t="shared" si="0"/>
        <v>12825.584153727717</v>
      </c>
      <c r="O9" s="42"/>
      <c r="P9" s="42">
        <f t="shared" si="1"/>
        <v>0</v>
      </c>
      <c r="Q9" s="978"/>
      <c r="R9" s="808"/>
      <c r="S9" s="808"/>
      <c r="T9" s="808"/>
      <c r="U9" s="808"/>
      <c r="V9" s="808"/>
      <c r="W9" s="808"/>
      <c r="X9" s="808"/>
      <c r="AT9" s="34"/>
      <c r="AU9" s="34"/>
      <c r="AX9" s="34"/>
      <c r="AY9" s="34"/>
      <c r="AZ9" s="34"/>
    </row>
    <row r="10" spans="1:52" x14ac:dyDescent="0.25">
      <c r="A10" s="185">
        <v>9257024</v>
      </c>
      <c r="B10" s="38" t="s">
        <v>71</v>
      </c>
      <c r="C10" s="781">
        <v>4</v>
      </c>
      <c r="D10" s="812">
        <f>VLOOKUP(A10,'2122 Band Moderations'!$B$5:$S$22,6,(FALSE))</f>
        <v>8.4337349397590355E-2</v>
      </c>
      <c r="E10" s="812">
        <f>VLOOKUP(A10,'2122 Band Moderations'!$B$5:$S$22,8,(FALSE))</f>
        <v>0.45783132530120479</v>
      </c>
      <c r="F10" s="812">
        <f>VLOOKUP(A10,'2122 Band Moderations'!$B$5:$S$22,10,(FALSE))</f>
        <v>1.2048192771084338E-2</v>
      </c>
      <c r="G10" s="812">
        <f>VLOOKUP(A10,'2122 Band Moderations'!$B$5:$S$22,12,(FALSE))</f>
        <v>0.18072289156626506</v>
      </c>
      <c r="H10" s="812">
        <f>VLOOKUP(A10,'2122 Band Moderations'!$B$5:$S$22,14,(FALSE))</f>
        <v>8.4337349397590355E-2</v>
      </c>
      <c r="I10" s="812">
        <f>VLOOKUP(A10,'2122 Band Moderations'!$B$5:$S$22,16,(FALSE))</f>
        <v>7.2289156626506021E-2</v>
      </c>
      <c r="J10" s="812">
        <f>VLOOKUP(A10,'2122 Band Moderations'!$B$5:$S$22,18,(FALSE))</f>
        <v>0.10843373493975904</v>
      </c>
      <c r="K10" s="1012">
        <v>70</v>
      </c>
      <c r="L10" s="813">
        <f t="shared" si="2"/>
        <v>16907.722425393229</v>
      </c>
      <c r="M10" s="813">
        <f t="shared" si="3"/>
        <v>0</v>
      </c>
      <c r="N10" s="813">
        <f t="shared" si="0"/>
        <v>16907.722425393229</v>
      </c>
      <c r="O10" s="42"/>
      <c r="P10" s="42">
        <f t="shared" si="1"/>
        <v>0</v>
      </c>
      <c r="Q10" s="978"/>
      <c r="R10" s="808"/>
      <c r="S10" s="808"/>
      <c r="T10" s="808"/>
      <c r="U10" s="808"/>
      <c r="V10" s="808"/>
      <c r="W10" s="808"/>
      <c r="X10" s="808"/>
      <c r="AT10" s="34"/>
      <c r="AU10" s="34"/>
      <c r="AX10" s="34"/>
      <c r="AY10" s="34"/>
      <c r="AZ10" s="34"/>
    </row>
    <row r="11" spans="1:52" ht="12.75" customHeight="1" x14ac:dyDescent="0.25">
      <c r="A11" s="185">
        <v>9257031</v>
      </c>
      <c r="B11" s="38" t="s">
        <v>98</v>
      </c>
      <c r="C11" s="781">
        <v>5</v>
      </c>
      <c r="D11" s="812">
        <f>VLOOKUP(A11,'2122 Band Moderations'!$B$5:$S$22,6,(FALSE))</f>
        <v>0</v>
      </c>
      <c r="E11" s="812">
        <f>VLOOKUP(A11,'2122 Band Moderations'!$B$5:$S$22,8,(FALSE))</f>
        <v>0</v>
      </c>
      <c r="F11" s="812">
        <f>VLOOKUP(A11,'2122 Band Moderations'!$B$5:$S$22,10,(FALSE))</f>
        <v>1</v>
      </c>
      <c r="G11" s="812">
        <f>VLOOKUP(A11,'2122 Band Moderations'!$B$5:$S$22,12,(FALSE))</f>
        <v>0</v>
      </c>
      <c r="H11" s="812">
        <f>VLOOKUP(A11,'2122 Band Moderations'!$B$5:$S$22,14,(FALSE))</f>
        <v>0</v>
      </c>
      <c r="I11" s="812">
        <f>VLOOKUP(A11,'2122 Band Moderations'!$B$5:$S$22,16,(FALSE))</f>
        <v>0</v>
      </c>
      <c r="J11" s="812">
        <f>VLOOKUP(A11,'2122 Band Moderations'!$B$5:$S$22,18,(FALSE))</f>
        <v>0</v>
      </c>
      <c r="K11" s="1012">
        <v>80</v>
      </c>
      <c r="L11" s="813">
        <f t="shared" si="2"/>
        <v>19479.573783333308</v>
      </c>
      <c r="M11" s="813">
        <f t="shared" si="3"/>
        <v>0</v>
      </c>
      <c r="N11" s="813">
        <f t="shared" si="0"/>
        <v>19479.573783333308</v>
      </c>
      <c r="O11" s="42"/>
      <c r="P11" s="42">
        <f t="shared" si="1"/>
        <v>0</v>
      </c>
      <c r="Q11" s="978"/>
      <c r="R11" s="808"/>
      <c r="S11" s="808"/>
      <c r="T11" s="808"/>
      <c r="U11" s="808"/>
      <c r="V11" s="808"/>
      <c r="W11" s="808"/>
      <c r="X11" s="808"/>
      <c r="AT11" s="34"/>
      <c r="AU11" s="34"/>
      <c r="AX11" s="34"/>
      <c r="AY11" s="34"/>
      <c r="AZ11" s="34"/>
    </row>
    <row r="12" spans="1:52" x14ac:dyDescent="0.25">
      <c r="A12" s="185">
        <v>9257033</v>
      </c>
      <c r="B12" s="38" t="s">
        <v>72</v>
      </c>
      <c r="C12" s="781" t="s">
        <v>946</v>
      </c>
      <c r="D12" s="812">
        <f>VLOOKUP(A12,'2122 Band Moderations'!$B$5:$S$22,6,(FALSE))</f>
        <v>0.16842105263157894</v>
      </c>
      <c r="E12" s="812">
        <f>VLOOKUP(A12,'2122 Band Moderations'!$B$5:$S$22,8,(FALSE))</f>
        <v>0.5368421052631579</v>
      </c>
      <c r="F12" s="812">
        <f>VLOOKUP(A12,'2122 Band Moderations'!$B$5:$S$22,10,(FALSE))</f>
        <v>6.3157894736842107E-2</v>
      </c>
      <c r="G12" s="812">
        <f>VLOOKUP(A12,'2122 Band Moderations'!$B$5:$S$22,12,(FALSE))</f>
        <v>0.14736842105263157</v>
      </c>
      <c r="H12" s="812">
        <f>VLOOKUP(A12,'2122 Band Moderations'!$B$5:$S$22,14,(FALSE))</f>
        <v>4.2105263157894736E-2</v>
      </c>
      <c r="I12" s="812">
        <f>VLOOKUP(A12,'2122 Band Moderations'!$B$5:$S$22,16,(FALSE))</f>
        <v>4.2105263157894736E-2</v>
      </c>
      <c r="J12" s="812">
        <f>VLOOKUP(A12,'2122 Band Moderations'!$B$5:$S$22,18,(FALSE))</f>
        <v>0</v>
      </c>
      <c r="K12" s="1012">
        <v>99</v>
      </c>
      <c r="L12" s="813">
        <f t="shared" si="2"/>
        <v>25247.834414832214</v>
      </c>
      <c r="M12" s="813">
        <f t="shared" si="3"/>
        <v>0</v>
      </c>
      <c r="N12" s="813">
        <f t="shared" si="0"/>
        <v>25247.834414832214</v>
      </c>
      <c r="O12" s="42"/>
      <c r="P12" s="42">
        <f t="shared" si="1"/>
        <v>0</v>
      </c>
      <c r="Q12" s="978"/>
      <c r="R12" s="808"/>
      <c r="S12" s="808"/>
      <c r="T12" s="808"/>
      <c r="U12" s="808"/>
      <c r="V12" s="808"/>
      <c r="W12" s="808"/>
      <c r="X12" s="808"/>
      <c r="AT12" s="34"/>
      <c r="AU12" s="34"/>
      <c r="AX12" s="34"/>
      <c r="AY12" s="34"/>
      <c r="AZ12" s="34"/>
    </row>
    <row r="13" spans="1:52" x14ac:dyDescent="0.25">
      <c r="A13" s="185">
        <v>9257008</v>
      </c>
      <c r="B13" s="38" t="s">
        <v>73</v>
      </c>
      <c r="C13" s="781">
        <v>4</v>
      </c>
      <c r="D13" s="812">
        <f>VLOOKUP(A13,'2122 Band Moderations'!$B$5:$S$22,6,(FALSE))</f>
        <v>0.10101010101010101</v>
      </c>
      <c r="E13" s="812">
        <f>VLOOKUP(A13,'2122 Band Moderations'!$B$5:$S$22,8,(FALSE))</f>
        <v>0.58585858585858586</v>
      </c>
      <c r="F13" s="812">
        <f>VLOOKUP(A13,'2122 Band Moderations'!$B$5:$S$22,10,(FALSE))</f>
        <v>8.0808080808080815E-2</v>
      </c>
      <c r="G13" s="812">
        <f>VLOOKUP(A13,'2122 Band Moderations'!$B$5:$S$22,12,(FALSE))</f>
        <v>9.0909090909090912E-2</v>
      </c>
      <c r="H13" s="812">
        <f>VLOOKUP(A13,'2122 Band Moderations'!$B$5:$S$22,14,(FALSE))</f>
        <v>1.0101010101010102E-2</v>
      </c>
      <c r="I13" s="812">
        <f>VLOOKUP(A13,'2122 Band Moderations'!$B$5:$S$22,16,(FALSE))</f>
        <v>0.12121212121212122</v>
      </c>
      <c r="J13" s="812">
        <f>VLOOKUP(A13,'2122 Band Moderations'!$B$5:$S$22,18,(FALSE))</f>
        <v>1.0101010101010102E-2</v>
      </c>
      <c r="K13" s="1012">
        <v>98</v>
      </c>
      <c r="L13" s="813">
        <f t="shared" si="2"/>
        <v>25750.586404070542</v>
      </c>
      <c r="M13" s="813">
        <f t="shared" si="3"/>
        <v>0</v>
      </c>
      <c r="N13" s="813">
        <f t="shared" si="0"/>
        <v>25750.586404070542</v>
      </c>
      <c r="O13" s="42"/>
      <c r="P13" s="42">
        <f t="shared" si="1"/>
        <v>0</v>
      </c>
      <c r="Q13" s="978"/>
      <c r="R13" s="808"/>
      <c r="S13" s="808"/>
      <c r="T13" s="808"/>
      <c r="U13" s="808"/>
      <c r="V13" s="808"/>
      <c r="W13" s="808"/>
      <c r="X13" s="808"/>
      <c r="AT13" s="34"/>
      <c r="AU13" s="34"/>
      <c r="AX13" s="34"/>
      <c r="AY13" s="34"/>
      <c r="AZ13" s="34"/>
    </row>
    <row r="14" spans="1:52" x14ac:dyDescent="0.25">
      <c r="A14" s="185">
        <v>9257034</v>
      </c>
      <c r="B14" s="38" t="s">
        <v>74</v>
      </c>
      <c r="C14" s="781" t="s">
        <v>946</v>
      </c>
      <c r="D14" s="812">
        <f>VLOOKUP(A14,'2122 Band Moderations'!$B$5:$S$22,6,(FALSE))</f>
        <v>0.42424242424242425</v>
      </c>
      <c r="E14" s="812">
        <f>VLOOKUP(A14,'2122 Band Moderations'!$B$5:$S$22,8,(FALSE))</f>
        <v>0.29292929292929293</v>
      </c>
      <c r="F14" s="812">
        <f>VLOOKUP(A14,'2122 Band Moderations'!$B$5:$S$22,10,(FALSE))</f>
        <v>0.14141414141414141</v>
      </c>
      <c r="G14" s="812">
        <f>VLOOKUP(A14,'2122 Band Moderations'!$B$5:$S$22,12,(FALSE))</f>
        <v>3.0303030303030304E-2</v>
      </c>
      <c r="H14" s="812">
        <f>VLOOKUP(A14,'2122 Band Moderations'!$B$5:$S$22,14,(FALSE))</f>
        <v>4.0404040404040407E-2</v>
      </c>
      <c r="I14" s="812">
        <f>VLOOKUP(A14,'2122 Band Moderations'!$B$5:$S$22,16,(FALSE))</f>
        <v>6.0606060606060608E-2</v>
      </c>
      <c r="J14" s="812">
        <f>VLOOKUP(A14,'2122 Band Moderations'!$B$5:$S$22,18,(FALSE))</f>
        <v>1.0101010101010102E-2</v>
      </c>
      <c r="K14" s="1012">
        <v>94</v>
      </c>
      <c r="L14" s="813">
        <f t="shared" si="2"/>
        <v>22368.306031884455</v>
      </c>
      <c r="M14" s="813">
        <f t="shared" si="3"/>
        <v>0</v>
      </c>
      <c r="N14" s="813">
        <f t="shared" si="0"/>
        <v>22368.306031884455</v>
      </c>
      <c r="O14" s="42"/>
      <c r="P14" s="42">
        <f t="shared" si="1"/>
        <v>0</v>
      </c>
      <c r="Q14" s="978"/>
      <c r="R14" s="808"/>
      <c r="S14" s="808"/>
      <c r="T14" s="808"/>
      <c r="U14" s="808"/>
      <c r="V14" s="808"/>
      <c r="W14" s="808"/>
      <c r="X14" s="808"/>
      <c r="AT14" s="34"/>
      <c r="AU14" s="34"/>
      <c r="AX14" s="34"/>
      <c r="AY14" s="34"/>
      <c r="AZ14" s="34"/>
    </row>
    <row r="15" spans="1:52" x14ac:dyDescent="0.25">
      <c r="A15" s="185">
        <v>9257002</v>
      </c>
      <c r="B15" s="38" t="s">
        <v>75</v>
      </c>
      <c r="C15" s="781">
        <v>5</v>
      </c>
      <c r="D15" s="812">
        <f>VLOOKUP(A15,'2122 Band Moderations'!$B$5:$S$22,6,(FALSE))</f>
        <v>0.3546099290780142</v>
      </c>
      <c r="E15" s="812">
        <f>VLOOKUP(A15,'2122 Band Moderations'!$B$5:$S$22,8,(FALSE))</f>
        <v>0.38297872340425532</v>
      </c>
      <c r="F15" s="812">
        <f>VLOOKUP(A15,'2122 Band Moderations'!$B$5:$S$22,10,(FALSE))</f>
        <v>0.1276595744680851</v>
      </c>
      <c r="G15" s="812">
        <f>VLOOKUP(A15,'2122 Band Moderations'!$B$5:$S$22,12,(FALSE))</f>
        <v>2.8368794326241134E-2</v>
      </c>
      <c r="H15" s="812">
        <f>VLOOKUP(A15,'2122 Band Moderations'!$B$5:$S$22,14,(FALSE))</f>
        <v>2.1276595744680851E-2</v>
      </c>
      <c r="I15" s="812">
        <f>VLOOKUP(A15,'2122 Band Moderations'!$B$5:$S$22,16,(FALSE))</f>
        <v>7.8014184397163122E-2</v>
      </c>
      <c r="J15" s="812">
        <f>VLOOKUP(A15,'2122 Band Moderations'!$B$5:$S$22,18,(FALSE))</f>
        <v>7.0921985815602835E-3</v>
      </c>
      <c r="K15" s="1012">
        <v>150</v>
      </c>
      <c r="L15" s="813">
        <f t="shared" si="2"/>
        <v>36459.441622395811</v>
      </c>
      <c r="M15" s="813">
        <f t="shared" si="3"/>
        <v>0</v>
      </c>
      <c r="N15" s="813">
        <f t="shared" si="0"/>
        <v>36459.441622395811</v>
      </c>
      <c r="O15" s="42"/>
      <c r="P15" s="42">
        <f t="shared" si="1"/>
        <v>0</v>
      </c>
      <c r="Q15" s="978"/>
      <c r="R15" s="808"/>
      <c r="S15" s="808"/>
      <c r="T15" s="808"/>
      <c r="U15" s="808"/>
      <c r="V15" s="808"/>
      <c r="W15" s="808"/>
      <c r="X15" s="808"/>
      <c r="AT15" s="34"/>
      <c r="AU15" s="34"/>
      <c r="AX15" s="34"/>
      <c r="AY15" s="34"/>
      <c r="AZ15" s="34"/>
    </row>
    <row r="16" spans="1:52" x14ac:dyDescent="0.25">
      <c r="A16" s="185">
        <v>9257009</v>
      </c>
      <c r="B16" s="38" t="s">
        <v>76</v>
      </c>
      <c r="C16" s="781" t="s">
        <v>946</v>
      </c>
      <c r="D16" s="812">
        <f>VLOOKUP(A16,'2122 Band Moderations'!$B$5:$S$22,6,(FALSE))</f>
        <v>0.24</v>
      </c>
      <c r="E16" s="812">
        <f>VLOOKUP(A16,'2122 Band Moderations'!$B$5:$S$22,8,(FALSE))</f>
        <v>0.58399999999999996</v>
      </c>
      <c r="F16" s="812">
        <f>VLOOKUP(A16,'2122 Band Moderations'!$B$5:$S$22,10,(FALSE))</f>
        <v>7.1999999999999995E-2</v>
      </c>
      <c r="G16" s="812">
        <f>VLOOKUP(A16,'2122 Band Moderations'!$B$5:$S$22,12,(FALSE))</f>
        <v>1.6E-2</v>
      </c>
      <c r="H16" s="812">
        <f>VLOOKUP(A16,'2122 Band Moderations'!$B$5:$S$22,14,(FALSE))</f>
        <v>8.0000000000000002E-3</v>
      </c>
      <c r="I16" s="812">
        <f>VLOOKUP(A16,'2122 Band Moderations'!$B$5:$S$22,16,(FALSE))</f>
        <v>0.08</v>
      </c>
      <c r="J16" s="812">
        <f>VLOOKUP(A16,'2122 Band Moderations'!$B$5:$S$22,18,(FALSE))</f>
        <v>0</v>
      </c>
      <c r="K16" s="1012">
        <v>136</v>
      </c>
      <c r="L16" s="813">
        <f t="shared" si="2"/>
        <v>33755.504090012189</v>
      </c>
      <c r="M16" s="813">
        <f t="shared" si="3"/>
        <v>0</v>
      </c>
      <c r="N16" s="813">
        <f t="shared" si="0"/>
        <v>33755.504090012189</v>
      </c>
      <c r="O16" s="42"/>
      <c r="P16" s="42">
        <f t="shared" si="1"/>
        <v>0</v>
      </c>
      <c r="Q16" s="978"/>
      <c r="R16" s="808"/>
      <c r="S16" s="808"/>
      <c r="T16" s="808"/>
      <c r="U16" s="808"/>
      <c r="V16" s="808"/>
      <c r="W16" s="808"/>
      <c r="X16" s="808"/>
      <c r="AT16" s="34"/>
      <c r="AU16" s="34"/>
      <c r="AX16" s="34"/>
      <c r="AY16" s="34"/>
      <c r="AZ16" s="34"/>
    </row>
    <row r="17" spans="1:52" x14ac:dyDescent="0.25">
      <c r="A17" s="185">
        <v>9257029</v>
      </c>
      <c r="B17" s="915" t="s">
        <v>848</v>
      </c>
      <c r="C17" s="781" t="s">
        <v>949</v>
      </c>
      <c r="D17" s="812">
        <f>VLOOKUP(A17,'2122 Band Moderations'!$B$5:$S$22,6,(FALSE))</f>
        <v>0</v>
      </c>
      <c r="E17" s="812">
        <f>VLOOKUP(A17,'2122 Band Moderations'!$B$5:$S$22,8,(FALSE))</f>
        <v>0</v>
      </c>
      <c r="F17" s="812">
        <f>VLOOKUP(A17,'2122 Band Moderations'!$B$5:$S$22,10,(FALSE))</f>
        <v>1</v>
      </c>
      <c r="G17" s="812">
        <f>VLOOKUP(A17,'2122 Band Moderations'!$B$5:$S$22,12,(FALSE))</f>
        <v>0</v>
      </c>
      <c r="H17" s="812">
        <f>VLOOKUP(A17,'2122 Band Moderations'!$B$5:$S$22,14,(FALSE))</f>
        <v>0</v>
      </c>
      <c r="I17" s="812">
        <f>VLOOKUP(A17,'2122 Band Moderations'!$B$5:$S$22,16,(FALSE))</f>
        <v>0</v>
      </c>
      <c r="J17" s="812">
        <f>VLOOKUP(A17,'2122 Band Moderations'!$B$5:$S$22,18,(FALSE))</f>
        <v>0</v>
      </c>
      <c r="K17" s="1012">
        <v>70</v>
      </c>
      <c r="L17" s="813">
        <f t="shared" si="2"/>
        <v>17044.627060416646</v>
      </c>
      <c r="M17" s="813">
        <f t="shared" si="3"/>
        <v>0</v>
      </c>
      <c r="N17" s="813">
        <f t="shared" si="0"/>
        <v>17044.627060416646</v>
      </c>
      <c r="O17" s="42"/>
      <c r="P17" s="42">
        <f t="shared" si="1"/>
        <v>0</v>
      </c>
      <c r="Q17" s="978"/>
      <c r="R17" s="625"/>
      <c r="U17" s="42"/>
      <c r="AT17" s="34"/>
      <c r="AU17" s="34"/>
      <c r="AX17" s="34"/>
      <c r="AY17" s="34"/>
      <c r="AZ17" s="34"/>
    </row>
    <row r="18" spans="1:52" x14ac:dyDescent="0.25">
      <c r="A18" s="185">
        <v>9257032</v>
      </c>
      <c r="B18" s="915" t="s">
        <v>934</v>
      </c>
      <c r="C18" s="781" t="s">
        <v>949</v>
      </c>
      <c r="D18" s="812">
        <f>VLOOKUP(A18,'2122 Band Moderations'!$B$5:$S$22,6,(FALSE))</f>
        <v>0</v>
      </c>
      <c r="E18" s="812">
        <f>VLOOKUP(A18,'2122 Band Moderations'!$B$5:$S$22,8,(FALSE))</f>
        <v>0</v>
      </c>
      <c r="F18" s="812">
        <f>VLOOKUP(A18,'2122 Band Moderations'!$B$5:$S$22,10,(FALSE))</f>
        <v>1</v>
      </c>
      <c r="G18" s="812">
        <f>VLOOKUP(A18,'2122 Band Moderations'!$B$5:$S$22,12,(FALSE))</f>
        <v>0</v>
      </c>
      <c r="H18" s="812">
        <f>VLOOKUP(A18,'2122 Band Moderations'!$B$5:$S$22,14,(FALSE))</f>
        <v>0</v>
      </c>
      <c r="I18" s="812">
        <f>VLOOKUP(A18,'2122 Band Moderations'!$B$5:$S$22,16,(FALSE))</f>
        <v>0</v>
      </c>
      <c r="J18" s="812">
        <f>VLOOKUP(A18,'2122 Band Moderations'!$B$5:$S$22,18,(FALSE))</f>
        <v>0</v>
      </c>
      <c r="K18" s="1012">
        <v>82</v>
      </c>
      <c r="L18" s="813">
        <f t="shared" si="2"/>
        <v>19966.563127916641</v>
      </c>
      <c r="M18" s="813">
        <f t="shared" si="3"/>
        <v>0</v>
      </c>
      <c r="N18" s="813">
        <f t="shared" si="0"/>
        <v>19966.563127916641</v>
      </c>
      <c r="O18" s="42"/>
      <c r="P18" s="42">
        <f t="shared" si="1"/>
        <v>0</v>
      </c>
      <c r="Q18" s="168"/>
      <c r="U18" s="42"/>
      <c r="AT18" s="34"/>
      <c r="AU18" s="34"/>
      <c r="AX18" s="34"/>
      <c r="AY18" s="34"/>
      <c r="AZ18" s="34"/>
    </row>
    <row r="19" spans="1:52" x14ac:dyDescent="0.25">
      <c r="A19" s="185">
        <v>9257030</v>
      </c>
      <c r="B19" s="915" t="s">
        <v>933</v>
      </c>
      <c r="C19" s="781" t="s">
        <v>949</v>
      </c>
      <c r="D19" s="812">
        <f>VLOOKUP(A19,'2122 Band Moderations'!$B$5:$S$22,6,(FALSE))</f>
        <v>0</v>
      </c>
      <c r="E19" s="812">
        <f>VLOOKUP(A19,'2122 Band Moderations'!$B$5:$S$22,8,(FALSE))</f>
        <v>0</v>
      </c>
      <c r="F19" s="812">
        <f>VLOOKUP(A19,'2122 Band Moderations'!$B$5:$S$22,10,(FALSE))</f>
        <v>1</v>
      </c>
      <c r="G19" s="812">
        <f>VLOOKUP(A19,'2122 Band Moderations'!$B$5:$S$22,12,(FALSE))</f>
        <v>0</v>
      </c>
      <c r="H19" s="812">
        <f>VLOOKUP(A19,'2122 Band Moderations'!$B$5:$S$22,14,(FALSE))</f>
        <v>0</v>
      </c>
      <c r="I19" s="812">
        <f>VLOOKUP(A19,'2122 Band Moderations'!$B$5:$S$22,16,(FALSE))</f>
        <v>0</v>
      </c>
      <c r="J19" s="812">
        <f>VLOOKUP(A19,'2122 Band Moderations'!$B$5:$S$22,18,(FALSE))</f>
        <v>0</v>
      </c>
      <c r="K19" s="1012">
        <v>75</v>
      </c>
      <c r="L19" s="813">
        <f t="shared" si="2"/>
        <v>18262.100421874977</v>
      </c>
      <c r="M19" s="813">
        <f t="shared" si="3"/>
        <v>0</v>
      </c>
      <c r="N19" s="813">
        <f t="shared" si="0"/>
        <v>18262.100421874977</v>
      </c>
      <c r="O19" s="42"/>
      <c r="P19" s="42">
        <f t="shared" si="1"/>
        <v>0</v>
      </c>
      <c r="Q19" s="168"/>
      <c r="U19" s="42"/>
      <c r="AT19" s="34"/>
      <c r="AU19" s="34"/>
      <c r="AX19" s="34"/>
      <c r="AY19" s="34"/>
      <c r="AZ19" s="34"/>
    </row>
    <row r="20" spans="1:52" x14ac:dyDescent="0.25">
      <c r="A20" s="185">
        <v>9257028</v>
      </c>
      <c r="B20" s="38" t="s">
        <v>77</v>
      </c>
      <c r="C20" s="781">
        <v>5</v>
      </c>
      <c r="D20" s="812">
        <f>VLOOKUP(A20,'2122 Band Moderations'!$B$5:$S$22,6,(FALSE))</f>
        <v>8.9108910891089105E-2</v>
      </c>
      <c r="E20" s="812">
        <f>VLOOKUP(A20,'2122 Band Moderations'!$B$5:$S$22,8,(FALSE))</f>
        <v>0.40594059405940597</v>
      </c>
      <c r="F20" s="812">
        <f>VLOOKUP(A20,'2122 Band Moderations'!$B$5:$S$22,10,(FALSE))</f>
        <v>7.9207920792079209E-2</v>
      </c>
      <c r="G20" s="812">
        <f>VLOOKUP(A20,'2122 Band Moderations'!$B$5:$S$22,12,(FALSE))</f>
        <v>8.9108910891089105E-2</v>
      </c>
      <c r="H20" s="812">
        <f>VLOOKUP(A20,'2122 Band Moderations'!$B$5:$S$22,14,(FALSE))</f>
        <v>0.12871287128712872</v>
      </c>
      <c r="I20" s="812">
        <f>VLOOKUP(A20,'2122 Band Moderations'!$B$5:$S$22,16,(FALSE))</f>
        <v>9.9009900990099015E-2</v>
      </c>
      <c r="J20" s="812">
        <f>VLOOKUP(A20,'2122 Band Moderations'!$B$5:$S$22,18,(FALSE))</f>
        <v>0.10891089108910891</v>
      </c>
      <c r="K20" s="1012">
        <v>91</v>
      </c>
      <c r="L20" s="813">
        <f t="shared" si="2"/>
        <v>22084.886415576166</v>
      </c>
      <c r="M20" s="813">
        <f t="shared" si="3"/>
        <v>0</v>
      </c>
      <c r="N20" s="813">
        <f t="shared" si="0"/>
        <v>22084.886415576166</v>
      </c>
      <c r="O20" s="42"/>
      <c r="P20" s="42">
        <f t="shared" si="1"/>
        <v>0</v>
      </c>
      <c r="Q20" s="168"/>
      <c r="U20" s="42"/>
      <c r="AT20" s="34"/>
      <c r="AU20" s="34"/>
      <c r="AX20" s="34"/>
      <c r="AY20" s="34"/>
      <c r="AZ20" s="34"/>
    </row>
    <row r="21" spans="1:52" x14ac:dyDescent="0.25">
      <c r="A21" s="185">
        <v>9257021</v>
      </c>
      <c r="B21" s="38" t="s">
        <v>78</v>
      </c>
      <c r="C21" s="781" t="s">
        <v>947</v>
      </c>
      <c r="D21" s="812">
        <f>VLOOKUP(A21,'2122 Band Moderations'!$B$5:$S$22,6,(FALSE))</f>
        <v>0.26829268292682928</v>
      </c>
      <c r="E21" s="812">
        <f>VLOOKUP(A21,'2122 Band Moderations'!$B$5:$S$22,8,(FALSE))</f>
        <v>0.42682926829268292</v>
      </c>
      <c r="F21" s="812">
        <f>VLOOKUP(A21,'2122 Band Moderations'!$B$5:$S$22,10,(FALSE))</f>
        <v>7.926829268292683E-2</v>
      </c>
      <c r="G21" s="812">
        <f>VLOOKUP(A21,'2122 Band Moderations'!$B$5:$S$22,12,(FALSE))</f>
        <v>6.7073170731707321E-2</v>
      </c>
      <c r="H21" s="812">
        <f>VLOOKUP(A21,'2122 Band Moderations'!$B$5:$S$22,14,(FALSE))</f>
        <v>5.4878048780487805E-2</v>
      </c>
      <c r="I21" s="812">
        <f>VLOOKUP(A21,'2122 Band Moderations'!$B$5:$S$22,16,(FALSE))</f>
        <v>9.1463414634146339E-2</v>
      </c>
      <c r="J21" s="812">
        <f>VLOOKUP(A21,'2122 Band Moderations'!$B$5:$S$22,18,(FALSE))</f>
        <v>1.2195121951219513E-2</v>
      </c>
      <c r="K21" s="1012">
        <v>166</v>
      </c>
      <c r="L21" s="813">
        <f t="shared" si="2"/>
        <v>41816.745611000137</v>
      </c>
      <c r="M21" s="813">
        <f t="shared" si="3"/>
        <v>0</v>
      </c>
      <c r="N21" s="813">
        <f t="shared" si="0"/>
        <v>41816.745611000137</v>
      </c>
      <c r="O21" s="42"/>
      <c r="P21" s="42">
        <f t="shared" si="1"/>
        <v>0</v>
      </c>
      <c r="Q21" s="168"/>
      <c r="U21" s="42"/>
      <c r="AT21" s="34"/>
      <c r="AU21" s="34"/>
      <c r="AX21" s="34"/>
      <c r="AY21" s="34"/>
      <c r="AZ21" s="34"/>
    </row>
    <row r="22" spans="1:52" x14ac:dyDescent="0.25">
      <c r="A22" s="185">
        <v>9257015</v>
      </c>
      <c r="B22" s="38" t="s">
        <v>55</v>
      </c>
      <c r="C22" s="781" t="s">
        <v>948</v>
      </c>
      <c r="D22" s="812">
        <f>VLOOKUP(A22,'2122 Band Moderations'!$B$5:$S$22,6,(FALSE))</f>
        <v>0.33185840707964603</v>
      </c>
      <c r="E22" s="812">
        <f>VLOOKUP(A22,'2122 Band Moderations'!$B$5:$S$22,8,(FALSE))</f>
        <v>0.38495575221238937</v>
      </c>
      <c r="F22" s="812">
        <f>VLOOKUP(A22,'2122 Band Moderations'!$B$5:$S$22,10,(FALSE))</f>
        <v>1.7699115044247787E-2</v>
      </c>
      <c r="G22" s="812">
        <f>VLOOKUP(A22,'2122 Band Moderations'!$B$5:$S$22,12,(FALSE))</f>
        <v>8.8495575221238937E-2</v>
      </c>
      <c r="H22" s="812">
        <f>VLOOKUP(A22,'2122 Band Moderations'!$B$5:$S$22,14,(FALSE))</f>
        <v>2.2123893805309734E-2</v>
      </c>
      <c r="I22" s="812">
        <f>VLOOKUP(A22,'2122 Band Moderations'!$B$5:$S$22,16,(FALSE))</f>
        <v>0.1415929203539823</v>
      </c>
      <c r="J22" s="812">
        <f>VLOOKUP(A22,'2122 Band Moderations'!$B$5:$S$22,18,(FALSE))</f>
        <v>1.3274336283185841E-2</v>
      </c>
      <c r="K22" s="1012">
        <v>224</v>
      </c>
      <c r="L22" s="813">
        <f t="shared" si="2"/>
        <v>57458.99647387657</v>
      </c>
      <c r="M22" s="813">
        <f t="shared" si="3"/>
        <v>0</v>
      </c>
      <c r="N22" s="813">
        <f t="shared" si="0"/>
        <v>57458.99647387657</v>
      </c>
      <c r="O22" s="42"/>
      <c r="P22" s="42">
        <f t="shared" si="1"/>
        <v>0</v>
      </c>
      <c r="Q22" s="168"/>
      <c r="U22" s="42"/>
      <c r="AT22" s="34"/>
      <c r="AU22" s="34"/>
      <c r="AX22" s="34"/>
      <c r="AY22" s="34"/>
      <c r="AZ22" s="34"/>
    </row>
    <row r="23" spans="1:52" x14ac:dyDescent="0.25">
      <c r="A23" s="185">
        <v>9257016</v>
      </c>
      <c r="B23" s="38" t="s">
        <v>80</v>
      </c>
      <c r="C23" s="781" t="s">
        <v>948</v>
      </c>
      <c r="D23" s="812">
        <f>VLOOKUP(A23,'2122 Band Moderations'!$B$5:$S$22,6,(FALSE))</f>
        <v>0.18012422360248448</v>
      </c>
      <c r="E23" s="812">
        <f>VLOOKUP(A23,'2122 Band Moderations'!$B$5:$S$22,8,(FALSE))</f>
        <v>0.15527950310559005</v>
      </c>
      <c r="F23" s="812">
        <f>VLOOKUP(A23,'2122 Band Moderations'!$B$5:$S$22,10,(FALSE))</f>
        <v>6.2111801242236021E-3</v>
      </c>
      <c r="G23" s="812">
        <f>VLOOKUP(A23,'2122 Band Moderations'!$B$5:$S$22,12,(FALSE))</f>
        <v>0.2236024844720497</v>
      </c>
      <c r="H23" s="812">
        <f>VLOOKUP(A23,'2122 Band Moderations'!$B$5:$S$22,14,(FALSE))</f>
        <v>0.21118012422360249</v>
      </c>
      <c r="I23" s="812">
        <f>VLOOKUP(A23,'2122 Band Moderations'!$B$5:$S$22,16,(FALSE))</f>
        <v>1.2422360248447204E-2</v>
      </c>
      <c r="J23" s="812">
        <f>VLOOKUP(A23,'2122 Band Moderations'!$B$5:$S$22,18,(FALSE))</f>
        <v>0.21118012422360249</v>
      </c>
      <c r="K23" s="1012">
        <v>110</v>
      </c>
      <c r="L23" s="813">
        <f t="shared" si="2"/>
        <v>23457.157560520176</v>
      </c>
      <c r="M23" s="813">
        <f t="shared" si="3"/>
        <v>0</v>
      </c>
      <c r="N23" s="813">
        <f t="shared" si="0"/>
        <v>23457.157560520176</v>
      </c>
      <c r="O23" s="628" t="s">
        <v>402</v>
      </c>
      <c r="P23" s="42">
        <f t="shared" si="1"/>
        <v>0</v>
      </c>
      <c r="Q23" s="168"/>
      <c r="U23" s="42"/>
      <c r="AT23" s="34"/>
      <c r="AU23" s="34"/>
      <c r="AX23" s="34"/>
      <c r="AY23" s="34"/>
      <c r="AZ23" s="34"/>
    </row>
    <row r="24" spans="1:52" x14ac:dyDescent="0.25">
      <c r="A24" s="75"/>
      <c r="B24" s="50"/>
      <c r="C24" s="61"/>
      <c r="D24" s="49"/>
      <c r="E24" s="49"/>
      <c r="G24" s="628"/>
      <c r="H24" s="49"/>
      <c r="I24" s="49"/>
      <c r="J24" s="628"/>
      <c r="K24" s="628"/>
      <c r="L24" s="168"/>
      <c r="M24" s="628" t="s">
        <v>402</v>
      </c>
      <c r="N24" s="80"/>
      <c r="O24" s="628" t="s">
        <v>402</v>
      </c>
      <c r="P24" s="168"/>
      <c r="Q24" s="168"/>
      <c r="AT24" s="34"/>
      <c r="AU24" s="34"/>
      <c r="AX24" s="34"/>
      <c r="AY24" s="34"/>
      <c r="AZ24" s="34"/>
    </row>
    <row r="25" spans="1:52" ht="13" x14ac:dyDescent="0.3">
      <c r="A25" s="230" t="s">
        <v>930</v>
      </c>
      <c r="B25" s="50"/>
      <c r="C25" s="61"/>
      <c r="D25" s="49"/>
      <c r="E25" s="49"/>
      <c r="G25" s="49"/>
      <c r="H25" s="49"/>
      <c r="I25" s="49"/>
      <c r="J25" s="49"/>
      <c r="K25" s="168"/>
      <c r="L25" s="168"/>
      <c r="M25" s="168"/>
      <c r="N25" s="80"/>
      <c r="O25" s="80"/>
      <c r="P25" s="168"/>
      <c r="Q25" s="168"/>
      <c r="AT25" s="34"/>
      <c r="AU25" s="34"/>
      <c r="AX25" s="34"/>
      <c r="AY25" s="34"/>
      <c r="AZ25" s="34"/>
    </row>
    <row r="26" spans="1:52" x14ac:dyDescent="0.25">
      <c r="A26" s="75"/>
      <c r="B26" s="50"/>
      <c r="C26" s="61"/>
      <c r="D26" s="49"/>
      <c r="E26" s="49"/>
      <c r="G26" s="49"/>
      <c r="H26" s="49"/>
      <c r="I26" s="49"/>
      <c r="J26" s="49"/>
      <c r="K26" s="231" t="s">
        <v>853</v>
      </c>
      <c r="L26" s="168"/>
      <c r="M26" s="168"/>
      <c r="N26" s="80"/>
      <c r="O26" s="80"/>
      <c r="P26" s="168"/>
      <c r="Q26" s="168"/>
      <c r="AT26" s="34"/>
      <c r="AU26" s="34"/>
      <c r="AX26" s="34"/>
      <c r="AY26" s="34"/>
      <c r="AZ26" s="34"/>
    </row>
    <row r="27" spans="1:52" ht="37.5" x14ac:dyDescent="0.25">
      <c r="A27" s="183" t="s">
        <v>201</v>
      </c>
      <c r="B27" s="36" t="s">
        <v>66</v>
      </c>
      <c r="C27" s="39" t="s">
        <v>51</v>
      </c>
      <c r="D27" s="1412" t="s">
        <v>858</v>
      </c>
      <c r="E27" s="1412" t="s">
        <v>859</v>
      </c>
      <c r="F27" s="1412" t="s">
        <v>860</v>
      </c>
      <c r="G27" s="1412" t="s">
        <v>861</v>
      </c>
      <c r="H27" s="1412" t="s">
        <v>862</v>
      </c>
      <c r="I27" s="1412" t="s">
        <v>863</v>
      </c>
      <c r="J27" s="1412" t="s">
        <v>864</v>
      </c>
      <c r="K27" s="1414" t="s">
        <v>185</v>
      </c>
      <c r="L27" s="1414" t="s">
        <v>288</v>
      </c>
      <c r="M27" s="1414" t="s">
        <v>388</v>
      </c>
      <c r="N27" s="1414" t="s">
        <v>288</v>
      </c>
      <c r="O27" s="1414"/>
      <c r="P27" s="1414"/>
      <c r="Q27" s="252"/>
      <c r="AT27" s="34"/>
      <c r="AU27" s="34"/>
      <c r="AX27" s="34"/>
      <c r="AY27" s="34"/>
      <c r="AZ27" s="34"/>
    </row>
    <row r="28" spans="1:52" x14ac:dyDescent="0.25">
      <c r="A28" s="185">
        <v>9257010</v>
      </c>
      <c r="B28" s="38" t="s">
        <v>67</v>
      </c>
      <c r="C28" s="781">
        <v>5</v>
      </c>
      <c r="D28" s="812">
        <f>VLOOKUP(A28,'2122 Band Moderations'!$B$5:$S$22,6,(FALSE))</f>
        <v>1.5873015873015872E-2</v>
      </c>
      <c r="E28" s="812">
        <f>VLOOKUP(A28,'2122 Band Moderations'!$B$5:$S$22,8,(FALSE))</f>
        <v>0.31746031746031744</v>
      </c>
      <c r="F28" s="812">
        <f>VLOOKUP(A28,'2122 Band Moderations'!$B$5:$S$22,10,(FALSE))</f>
        <v>9.5238095238095233E-2</v>
      </c>
      <c r="G28" s="812">
        <f>VLOOKUP(A28,'2122 Band Moderations'!$B$5:$S$22,12,(FALSE))</f>
        <v>0.17460317460317459</v>
      </c>
      <c r="H28" s="812">
        <f>VLOOKUP(A28,'2122 Band Moderations'!$B$5:$S$22,14,(FALSE))</f>
        <v>6.3492063492063489E-2</v>
      </c>
      <c r="I28" s="812">
        <f>VLOOKUP(A28,'2122 Band Moderations'!$B$5:$S$22,16,(FALSE))</f>
        <v>0.19047619047619047</v>
      </c>
      <c r="J28" s="812">
        <f>VLOOKUP(A28,'2122 Band Moderations'!$B$5:$S$22,18,(FALSE))</f>
        <v>0.14285714285714285</v>
      </c>
      <c r="K28" s="1012">
        <v>7</v>
      </c>
      <c r="L28" s="813">
        <f>((((K28*D28)*$G$92)+((K28*E28)*$G$94)+((K28*F28)*$G$96)+((K28*G28)*$G$98)+((K28*H28)*$G$100)+((K28*I28)*$G$102)+((K28*J28)*$G$104)))*(4/12)</f>
        <v>1419.4837562484556</v>
      </c>
      <c r="M28" s="813">
        <f t="shared" ref="M28:M45" si="4">((K28*F28)*$G$106)*(4/12)</f>
        <v>0</v>
      </c>
      <c r="N28" s="813">
        <f>SUM(L28:M28)</f>
        <v>1419.4837562484556</v>
      </c>
      <c r="O28" s="80"/>
      <c r="P28" s="42">
        <f t="shared" ref="P28:P45" si="5">(J28*K28*$G$104)*4/12</f>
        <v>0</v>
      </c>
      <c r="Q28" s="233"/>
      <c r="R28" s="80"/>
      <c r="S28" s="42"/>
      <c r="T28" s="626"/>
      <c r="U28" s="625"/>
      <c r="AT28" s="34"/>
      <c r="AU28" s="34"/>
      <c r="AX28" s="34"/>
      <c r="AY28" s="34"/>
      <c r="AZ28" s="34"/>
    </row>
    <row r="29" spans="1:52" x14ac:dyDescent="0.25">
      <c r="A29" s="185">
        <v>9257005</v>
      </c>
      <c r="B29" s="38" t="s">
        <v>68</v>
      </c>
      <c r="C29" s="781">
        <v>4</v>
      </c>
      <c r="D29" s="812">
        <f>VLOOKUP(A29,'2122 Band Moderations'!$B$5:$S$22,6,(FALSE))</f>
        <v>0.05</v>
      </c>
      <c r="E29" s="812">
        <f>VLOOKUP(A29,'2122 Band Moderations'!$B$5:$S$22,8,(FALSE))</f>
        <v>0.4</v>
      </c>
      <c r="F29" s="812">
        <f>VLOOKUP(A29,'2122 Band Moderations'!$B$5:$S$22,10,(FALSE))</f>
        <v>6.25E-2</v>
      </c>
      <c r="G29" s="812">
        <f>VLOOKUP(A29,'2122 Band Moderations'!$B$5:$S$22,12,(FALSE))</f>
        <v>0.15</v>
      </c>
      <c r="H29" s="812">
        <f>VLOOKUP(A29,'2122 Band Moderations'!$B$5:$S$22,14,(FALSE))</f>
        <v>0.125</v>
      </c>
      <c r="I29" s="812">
        <f>VLOOKUP(A29,'2122 Band Moderations'!$B$5:$S$22,16,(FALSE))</f>
        <v>0.15</v>
      </c>
      <c r="J29" s="812">
        <f>VLOOKUP(A29,'2122 Band Moderations'!$B$5:$S$22,18,(FALSE))</f>
        <v>6.25E-2</v>
      </c>
      <c r="K29" s="1012">
        <v>26</v>
      </c>
      <c r="L29" s="813">
        <f t="shared" ref="L29:L45" si="6">((((K29*D29)*$G$92)+((K29*E29)*$G$94)+((K29*F29)*$G$96)+((K29*G29)*$G$98)+((K29*H29)*$G$100)+((K29*I29)*$G$102)+((K29*J29)*$G$104)))*(4/12)</f>
        <v>5560.6066662340236</v>
      </c>
      <c r="M29" s="813">
        <f t="shared" si="4"/>
        <v>0</v>
      </c>
      <c r="N29" s="813">
        <f>SUM(L29:M29)</f>
        <v>5560.6066662340236</v>
      </c>
      <c r="O29" s="80"/>
      <c r="P29" s="42">
        <f t="shared" si="5"/>
        <v>0</v>
      </c>
      <c r="Q29" s="233"/>
      <c r="R29" s="80"/>
      <c r="S29" s="42"/>
      <c r="T29" s="42"/>
      <c r="AT29" s="34"/>
      <c r="AU29" s="34"/>
      <c r="AX29" s="34"/>
      <c r="AY29" s="34"/>
      <c r="AZ29" s="34"/>
    </row>
    <row r="30" spans="1:52" x14ac:dyDescent="0.25">
      <c r="A30" s="185">
        <v>9257025</v>
      </c>
      <c r="B30" s="38" t="s">
        <v>69</v>
      </c>
      <c r="C30" s="781">
        <v>4</v>
      </c>
      <c r="D30" s="812">
        <f>VLOOKUP(A30,'2122 Band Moderations'!$B$5:$S$22,6,(FALSE))</f>
        <v>0.15584415584415584</v>
      </c>
      <c r="E30" s="812">
        <f>VLOOKUP(A30,'2122 Band Moderations'!$B$5:$S$22,8,(FALSE))</f>
        <v>0.40259740259740262</v>
      </c>
      <c r="F30" s="812">
        <f>VLOOKUP(A30,'2122 Band Moderations'!$B$5:$S$22,10,(FALSE))</f>
        <v>3.896103896103896E-2</v>
      </c>
      <c r="G30" s="812">
        <f>VLOOKUP(A30,'2122 Band Moderations'!$B$5:$S$22,12,(FALSE))</f>
        <v>0.15584415584415584</v>
      </c>
      <c r="H30" s="812">
        <f>VLOOKUP(A30,'2122 Band Moderations'!$B$5:$S$22,14,(FALSE))</f>
        <v>5.1948051948051951E-2</v>
      </c>
      <c r="I30" s="812">
        <f>VLOOKUP(A30,'2122 Band Moderations'!$B$5:$S$22,16,(FALSE))</f>
        <v>0.14285714285714285</v>
      </c>
      <c r="J30" s="812">
        <f>VLOOKUP(A30,'2122 Band Moderations'!$B$5:$S$22,18,(FALSE))</f>
        <v>5.1948051948051951E-2</v>
      </c>
      <c r="K30" s="1012">
        <v>20</v>
      </c>
      <c r="L30" s="813">
        <f t="shared" si="6"/>
        <v>4165.7616662193323</v>
      </c>
      <c r="M30" s="813">
        <f t="shared" si="4"/>
        <v>0</v>
      </c>
      <c r="N30" s="813">
        <f t="shared" ref="N30:N45" si="7">SUM(L30:M30)</f>
        <v>4165.7616662193323</v>
      </c>
      <c r="O30" s="80"/>
      <c r="P30" s="42">
        <f t="shared" si="5"/>
        <v>0</v>
      </c>
      <c r="Q30" s="233"/>
      <c r="R30" s="80"/>
      <c r="S30" s="42"/>
      <c r="T30" s="42"/>
      <c r="AT30" s="34"/>
      <c r="AU30" s="34"/>
      <c r="AX30" s="34"/>
      <c r="AY30" s="34"/>
      <c r="AZ30" s="34"/>
    </row>
    <row r="31" spans="1:52" x14ac:dyDescent="0.25">
      <c r="A31" s="185">
        <v>9257011</v>
      </c>
      <c r="B31" s="38" t="s">
        <v>70</v>
      </c>
      <c r="C31" s="781" t="s">
        <v>1009</v>
      </c>
      <c r="D31" s="812">
        <f>VLOOKUP(A31,'2122 Band Moderations'!$B$5:$S$22,6,(FALSE))</f>
        <v>5.6603773584905662E-2</v>
      </c>
      <c r="E31" s="812">
        <f>VLOOKUP(A31,'2122 Band Moderations'!$B$5:$S$22,8,(FALSE))</f>
        <v>0.35849056603773582</v>
      </c>
      <c r="F31" s="812">
        <f>VLOOKUP(A31,'2122 Band Moderations'!$B$5:$S$22,10,(FALSE))</f>
        <v>1.8867924528301886E-2</v>
      </c>
      <c r="G31" s="812">
        <f>VLOOKUP(A31,'2122 Band Moderations'!$B$5:$S$22,12,(FALSE))</f>
        <v>0.16981132075471697</v>
      </c>
      <c r="H31" s="812">
        <f>VLOOKUP(A31,'2122 Band Moderations'!$B$5:$S$22,14,(FALSE))</f>
        <v>0.13207547169811321</v>
      </c>
      <c r="I31" s="812">
        <f>VLOOKUP(A31,'2122 Band Moderations'!$B$5:$S$22,16,(FALSE))</f>
        <v>0.15094339622641509</v>
      </c>
      <c r="J31" s="812">
        <f>VLOOKUP(A31,'2122 Band Moderations'!$B$5:$S$22,18,(FALSE))</f>
        <v>0.11320754716981132</v>
      </c>
      <c r="K31" s="1012">
        <v>8</v>
      </c>
      <c r="L31" s="813">
        <f t="shared" si="6"/>
        <v>1641.6747716771474</v>
      </c>
      <c r="M31" s="813">
        <f t="shared" si="4"/>
        <v>0</v>
      </c>
      <c r="N31" s="813">
        <f t="shared" si="7"/>
        <v>1641.6747716771474</v>
      </c>
      <c r="O31" s="80"/>
      <c r="P31" s="42">
        <f t="shared" si="5"/>
        <v>0</v>
      </c>
      <c r="Q31" s="233"/>
      <c r="R31" s="80"/>
      <c r="S31" s="42"/>
      <c r="T31" s="42"/>
      <c r="AT31" s="34"/>
      <c r="AU31" s="34"/>
      <c r="AX31" s="34"/>
      <c r="AY31" s="34"/>
      <c r="AZ31" s="34"/>
    </row>
    <row r="32" spans="1:52" x14ac:dyDescent="0.25">
      <c r="A32" s="185">
        <v>9257024</v>
      </c>
      <c r="B32" s="38" t="s">
        <v>71</v>
      </c>
      <c r="C32" s="781">
        <v>4</v>
      </c>
      <c r="D32" s="812">
        <f>VLOOKUP(A32,'2122 Band Moderations'!$B$5:$S$22,6,(FALSE))</f>
        <v>8.4337349397590355E-2</v>
      </c>
      <c r="E32" s="812">
        <f>VLOOKUP(A32,'2122 Band Moderations'!$B$5:$S$22,8,(FALSE))</f>
        <v>0.45783132530120479</v>
      </c>
      <c r="F32" s="812">
        <f>VLOOKUP(A32,'2122 Band Moderations'!$B$5:$S$22,10,(FALSE))</f>
        <v>1.2048192771084338E-2</v>
      </c>
      <c r="G32" s="812">
        <f>VLOOKUP(A32,'2122 Band Moderations'!$B$5:$S$22,12,(FALSE))</f>
        <v>0.18072289156626506</v>
      </c>
      <c r="H32" s="812">
        <f>VLOOKUP(A32,'2122 Band Moderations'!$B$5:$S$22,14,(FALSE))</f>
        <v>8.4337349397590355E-2</v>
      </c>
      <c r="I32" s="812">
        <f>VLOOKUP(A32,'2122 Band Moderations'!$B$5:$S$22,16,(FALSE))</f>
        <v>7.2289156626506021E-2</v>
      </c>
      <c r="J32" s="812">
        <f>VLOOKUP(A32,'2122 Band Moderations'!$B$5:$S$22,18,(FALSE))</f>
        <v>0.10843373493975904</v>
      </c>
      <c r="K32" s="1012">
        <v>14</v>
      </c>
      <c r="L32" s="813">
        <f t="shared" si="6"/>
        <v>2705.2355880629161</v>
      </c>
      <c r="M32" s="813">
        <f t="shared" si="4"/>
        <v>0</v>
      </c>
      <c r="N32" s="813">
        <f t="shared" si="7"/>
        <v>2705.2355880629161</v>
      </c>
      <c r="O32" s="80"/>
      <c r="P32" s="42">
        <f t="shared" si="5"/>
        <v>0</v>
      </c>
      <c r="Q32" s="233"/>
      <c r="R32" s="80"/>
      <c r="S32" s="42"/>
      <c r="T32" s="42"/>
      <c r="AT32" s="34"/>
      <c r="AU32" s="34"/>
      <c r="AX32" s="34"/>
      <c r="AY32" s="34"/>
      <c r="AZ32" s="34"/>
    </row>
    <row r="33" spans="1:52" x14ac:dyDescent="0.25">
      <c r="A33" s="185">
        <v>9257031</v>
      </c>
      <c r="B33" s="38" t="s">
        <v>98</v>
      </c>
      <c r="C33" s="781">
        <v>5</v>
      </c>
      <c r="D33" s="812">
        <f>VLOOKUP(A33,'2122 Band Moderations'!$B$5:$S$22,6,(FALSE))</f>
        <v>0</v>
      </c>
      <c r="E33" s="812">
        <f>VLOOKUP(A33,'2122 Band Moderations'!$B$5:$S$22,8,(FALSE))</f>
        <v>0</v>
      </c>
      <c r="F33" s="812">
        <f>VLOOKUP(A33,'2122 Band Moderations'!$B$5:$S$22,10,(FALSE))</f>
        <v>1</v>
      </c>
      <c r="G33" s="812">
        <f>VLOOKUP(A33,'2122 Band Moderations'!$B$5:$S$22,12,(FALSE))</f>
        <v>0</v>
      </c>
      <c r="H33" s="812">
        <f>VLOOKUP(A33,'2122 Band Moderations'!$B$5:$S$22,14,(FALSE))</f>
        <v>0</v>
      </c>
      <c r="I33" s="812">
        <f>VLOOKUP(A33,'2122 Band Moderations'!$B$5:$S$22,16,(FALSE))</f>
        <v>0</v>
      </c>
      <c r="J33" s="812">
        <f>VLOOKUP(A33,'2122 Band Moderations'!$B$5:$S$22,18,(FALSE))</f>
        <v>0</v>
      </c>
      <c r="K33" s="1012">
        <v>0</v>
      </c>
      <c r="L33" s="813">
        <f t="shared" si="6"/>
        <v>0</v>
      </c>
      <c r="M33" s="813">
        <f t="shared" si="4"/>
        <v>0</v>
      </c>
      <c r="N33" s="813">
        <f t="shared" si="7"/>
        <v>0</v>
      </c>
      <c r="O33" s="80"/>
      <c r="P33" s="42">
        <f t="shared" si="5"/>
        <v>0</v>
      </c>
      <c r="Q33" s="233"/>
      <c r="R33" s="80"/>
      <c r="S33" s="42"/>
      <c r="T33" s="42"/>
      <c r="AT33" s="34"/>
      <c r="AU33" s="34"/>
      <c r="AX33" s="34"/>
      <c r="AY33" s="34"/>
      <c r="AZ33" s="34"/>
    </row>
    <row r="34" spans="1:52" x14ac:dyDescent="0.25">
      <c r="A34" s="185">
        <v>9257033</v>
      </c>
      <c r="B34" s="38" t="s">
        <v>72</v>
      </c>
      <c r="C34" s="781" t="s">
        <v>946</v>
      </c>
      <c r="D34" s="812">
        <f>VLOOKUP(A34,'2122 Band Moderations'!$B$5:$S$22,6,(FALSE))</f>
        <v>0.16842105263157894</v>
      </c>
      <c r="E34" s="812">
        <f>VLOOKUP(A34,'2122 Band Moderations'!$B$5:$S$22,8,(FALSE))</f>
        <v>0.5368421052631579</v>
      </c>
      <c r="F34" s="812">
        <f>VLOOKUP(A34,'2122 Band Moderations'!$B$5:$S$22,10,(FALSE))</f>
        <v>6.3157894736842107E-2</v>
      </c>
      <c r="G34" s="812">
        <f>VLOOKUP(A34,'2122 Band Moderations'!$B$5:$S$22,12,(FALSE))</f>
        <v>0.14736842105263157</v>
      </c>
      <c r="H34" s="812">
        <f>VLOOKUP(A34,'2122 Band Moderations'!$B$5:$S$22,14,(FALSE))</f>
        <v>4.2105263157894736E-2</v>
      </c>
      <c r="I34" s="812">
        <f>VLOOKUP(A34,'2122 Band Moderations'!$B$5:$S$22,16,(FALSE))</f>
        <v>4.2105263157894736E-2</v>
      </c>
      <c r="J34" s="812">
        <f>VLOOKUP(A34,'2122 Band Moderations'!$B$5:$S$22,18,(FALSE))</f>
        <v>0</v>
      </c>
      <c r="K34" s="1012">
        <v>0</v>
      </c>
      <c r="L34" s="813">
        <f t="shared" si="6"/>
        <v>0</v>
      </c>
      <c r="M34" s="813">
        <f t="shared" si="4"/>
        <v>0</v>
      </c>
      <c r="N34" s="813">
        <f t="shared" si="7"/>
        <v>0</v>
      </c>
      <c r="O34" s="80"/>
      <c r="P34" s="42">
        <f t="shared" si="5"/>
        <v>0</v>
      </c>
      <c r="Q34" s="233"/>
      <c r="R34" s="80"/>
      <c r="S34" s="42"/>
      <c r="T34" s="42"/>
      <c r="AT34" s="34"/>
      <c r="AU34" s="34"/>
      <c r="AX34" s="34"/>
      <c r="AY34" s="34"/>
      <c r="AZ34" s="34"/>
    </row>
    <row r="35" spans="1:52" x14ac:dyDescent="0.25">
      <c r="A35" s="185">
        <v>9257008</v>
      </c>
      <c r="B35" s="38" t="s">
        <v>73</v>
      </c>
      <c r="C35" s="781">
        <v>4</v>
      </c>
      <c r="D35" s="812">
        <f>VLOOKUP(A35,'2122 Band Moderations'!$B$5:$S$22,6,(FALSE))</f>
        <v>0.10101010101010101</v>
      </c>
      <c r="E35" s="812">
        <f>VLOOKUP(A35,'2122 Band Moderations'!$B$5:$S$22,8,(FALSE))</f>
        <v>0.58585858585858586</v>
      </c>
      <c r="F35" s="812">
        <f>VLOOKUP(A35,'2122 Band Moderations'!$B$5:$S$22,10,(FALSE))</f>
        <v>8.0808080808080815E-2</v>
      </c>
      <c r="G35" s="812">
        <f>VLOOKUP(A35,'2122 Band Moderations'!$B$5:$S$22,12,(FALSE))</f>
        <v>9.0909090909090912E-2</v>
      </c>
      <c r="H35" s="812">
        <f>VLOOKUP(A35,'2122 Band Moderations'!$B$5:$S$22,14,(FALSE))</f>
        <v>1.0101010101010102E-2</v>
      </c>
      <c r="I35" s="812">
        <f>VLOOKUP(A35,'2122 Band Moderations'!$B$5:$S$22,16,(FALSE))</f>
        <v>0.12121212121212122</v>
      </c>
      <c r="J35" s="812">
        <f>VLOOKUP(A35,'2122 Band Moderations'!$B$5:$S$22,18,(FALSE))</f>
        <v>1.0101010101010102E-2</v>
      </c>
      <c r="K35" s="1012">
        <v>0</v>
      </c>
      <c r="L35" s="813">
        <f t="shared" si="6"/>
        <v>0</v>
      </c>
      <c r="M35" s="813">
        <f t="shared" si="4"/>
        <v>0</v>
      </c>
      <c r="N35" s="813">
        <f t="shared" si="7"/>
        <v>0</v>
      </c>
      <c r="O35" s="80"/>
      <c r="P35" s="42">
        <f t="shared" si="5"/>
        <v>0</v>
      </c>
      <c r="Q35" s="233"/>
      <c r="R35" s="80"/>
      <c r="S35" s="42"/>
      <c r="T35" s="42"/>
      <c r="AT35" s="34"/>
      <c r="AU35" s="34"/>
      <c r="AX35" s="34"/>
      <c r="AY35" s="34"/>
      <c r="AZ35" s="34"/>
    </row>
    <row r="36" spans="1:52" x14ac:dyDescent="0.25">
      <c r="A36" s="185">
        <v>9257034</v>
      </c>
      <c r="B36" s="38" t="s">
        <v>74</v>
      </c>
      <c r="C36" s="781" t="s">
        <v>946</v>
      </c>
      <c r="D36" s="812">
        <f>VLOOKUP(A36,'2122 Band Moderations'!$B$5:$S$22,6,(FALSE))</f>
        <v>0.42424242424242425</v>
      </c>
      <c r="E36" s="812">
        <f>VLOOKUP(A36,'2122 Band Moderations'!$B$5:$S$22,8,(FALSE))</f>
        <v>0.29292929292929293</v>
      </c>
      <c r="F36" s="812">
        <f>VLOOKUP(A36,'2122 Band Moderations'!$B$5:$S$22,10,(FALSE))</f>
        <v>0.14141414141414141</v>
      </c>
      <c r="G36" s="812">
        <f>VLOOKUP(A36,'2122 Band Moderations'!$B$5:$S$22,12,(FALSE))</f>
        <v>3.0303030303030304E-2</v>
      </c>
      <c r="H36" s="812">
        <f>VLOOKUP(A36,'2122 Band Moderations'!$B$5:$S$22,14,(FALSE))</f>
        <v>4.0404040404040407E-2</v>
      </c>
      <c r="I36" s="812">
        <f>VLOOKUP(A36,'2122 Band Moderations'!$B$5:$S$22,16,(FALSE))</f>
        <v>6.0606060606060608E-2</v>
      </c>
      <c r="J36" s="812">
        <f>VLOOKUP(A36,'2122 Band Moderations'!$B$5:$S$22,18,(FALSE))</f>
        <v>1.0101010101010102E-2</v>
      </c>
      <c r="K36" s="1012">
        <v>34</v>
      </c>
      <c r="L36" s="813">
        <f t="shared" si="6"/>
        <v>6472.531107098479</v>
      </c>
      <c r="M36" s="813">
        <f t="shared" si="4"/>
        <v>0</v>
      </c>
      <c r="N36" s="813">
        <f t="shared" si="7"/>
        <v>6472.531107098479</v>
      </c>
      <c r="O36" s="80"/>
      <c r="P36" s="42">
        <f t="shared" si="5"/>
        <v>0</v>
      </c>
      <c r="Q36" s="233"/>
      <c r="R36" s="80"/>
      <c r="S36" s="42"/>
      <c r="T36" s="42"/>
      <c r="AT36" s="34"/>
      <c r="AU36" s="34"/>
      <c r="AX36" s="34"/>
      <c r="AY36" s="34"/>
      <c r="AZ36" s="34"/>
    </row>
    <row r="37" spans="1:52" x14ac:dyDescent="0.25">
      <c r="A37" s="185">
        <v>9257002</v>
      </c>
      <c r="B37" s="38" t="s">
        <v>75</v>
      </c>
      <c r="C37" s="781">
        <v>5</v>
      </c>
      <c r="D37" s="812">
        <f>VLOOKUP(A37,'2122 Band Moderations'!$B$5:$S$22,6,(FALSE))</f>
        <v>0.3546099290780142</v>
      </c>
      <c r="E37" s="812">
        <f>VLOOKUP(A37,'2122 Band Moderations'!$B$5:$S$22,8,(FALSE))</f>
        <v>0.38297872340425532</v>
      </c>
      <c r="F37" s="812">
        <f>VLOOKUP(A37,'2122 Band Moderations'!$B$5:$S$22,10,(FALSE))</f>
        <v>0.1276595744680851</v>
      </c>
      <c r="G37" s="812">
        <f>VLOOKUP(A37,'2122 Band Moderations'!$B$5:$S$22,12,(FALSE))</f>
        <v>2.8368794326241134E-2</v>
      </c>
      <c r="H37" s="812">
        <f>VLOOKUP(A37,'2122 Band Moderations'!$B$5:$S$22,14,(FALSE))</f>
        <v>2.1276595744680851E-2</v>
      </c>
      <c r="I37" s="812">
        <f>VLOOKUP(A37,'2122 Band Moderations'!$B$5:$S$22,16,(FALSE))</f>
        <v>7.8014184397163122E-2</v>
      </c>
      <c r="J37" s="812">
        <f>VLOOKUP(A37,'2122 Band Moderations'!$B$5:$S$22,18,(FALSE))</f>
        <v>7.0921985815602835E-3</v>
      </c>
      <c r="K37" s="1012">
        <v>0</v>
      </c>
      <c r="L37" s="813">
        <f t="shared" si="6"/>
        <v>0</v>
      </c>
      <c r="M37" s="813">
        <f t="shared" si="4"/>
        <v>0</v>
      </c>
      <c r="N37" s="813">
        <f t="shared" si="7"/>
        <v>0</v>
      </c>
      <c r="O37" s="80"/>
      <c r="P37" s="42">
        <f t="shared" si="5"/>
        <v>0</v>
      </c>
      <c r="Q37" s="233"/>
      <c r="R37" s="80"/>
      <c r="S37" s="42"/>
      <c r="T37" s="42"/>
      <c r="AT37" s="34"/>
      <c r="AU37" s="34"/>
      <c r="AX37" s="34"/>
      <c r="AY37" s="34"/>
      <c r="AZ37" s="34"/>
    </row>
    <row r="38" spans="1:52" x14ac:dyDescent="0.25">
      <c r="A38" s="185">
        <v>9257009</v>
      </c>
      <c r="B38" s="38" t="s">
        <v>76</v>
      </c>
      <c r="C38" s="781" t="s">
        <v>946</v>
      </c>
      <c r="D38" s="812">
        <f>VLOOKUP(A38,'2122 Band Moderations'!$B$5:$S$22,6,(FALSE))</f>
        <v>0.24</v>
      </c>
      <c r="E38" s="812">
        <f>VLOOKUP(A38,'2122 Band Moderations'!$B$5:$S$22,8,(FALSE))</f>
        <v>0.58399999999999996</v>
      </c>
      <c r="F38" s="812">
        <f>VLOOKUP(A38,'2122 Band Moderations'!$B$5:$S$22,10,(FALSE))</f>
        <v>7.1999999999999995E-2</v>
      </c>
      <c r="G38" s="812">
        <f>VLOOKUP(A38,'2122 Band Moderations'!$B$5:$S$22,12,(FALSE))</f>
        <v>1.6E-2</v>
      </c>
      <c r="H38" s="812">
        <f>VLOOKUP(A38,'2122 Band Moderations'!$B$5:$S$22,14,(FALSE))</f>
        <v>8.0000000000000002E-3</v>
      </c>
      <c r="I38" s="812">
        <f>VLOOKUP(A38,'2122 Band Moderations'!$B$5:$S$22,16,(FALSE))</f>
        <v>0.08</v>
      </c>
      <c r="J38" s="812">
        <f>VLOOKUP(A38,'2122 Band Moderations'!$B$5:$S$22,18,(FALSE))</f>
        <v>0</v>
      </c>
      <c r="K38" s="1012">
        <v>0</v>
      </c>
      <c r="L38" s="813">
        <f t="shared" si="6"/>
        <v>0</v>
      </c>
      <c r="M38" s="813">
        <f t="shared" si="4"/>
        <v>0</v>
      </c>
      <c r="N38" s="813">
        <f t="shared" si="7"/>
        <v>0</v>
      </c>
      <c r="O38" s="80"/>
      <c r="P38" s="42">
        <f t="shared" si="5"/>
        <v>0</v>
      </c>
      <c r="Q38" s="233"/>
      <c r="R38" s="80"/>
      <c r="S38" s="42"/>
      <c r="T38" s="42"/>
      <c r="AT38" s="34"/>
      <c r="AU38" s="34"/>
      <c r="AX38" s="34"/>
      <c r="AY38" s="34"/>
      <c r="AZ38" s="34"/>
    </row>
    <row r="39" spans="1:52" x14ac:dyDescent="0.25">
      <c r="A39" s="185">
        <v>9257029</v>
      </c>
      <c r="B39" s="915" t="s">
        <v>848</v>
      </c>
      <c r="C39" s="781" t="s">
        <v>949</v>
      </c>
      <c r="D39" s="812">
        <f>VLOOKUP(A39,'2122 Band Moderations'!$B$5:$S$22,6,(FALSE))</f>
        <v>0</v>
      </c>
      <c r="E39" s="812">
        <f>VLOOKUP(A39,'2122 Band Moderations'!$B$5:$S$22,8,(FALSE))</f>
        <v>0</v>
      </c>
      <c r="F39" s="812">
        <f>VLOOKUP(A39,'2122 Band Moderations'!$B$5:$S$22,10,(FALSE))</f>
        <v>1</v>
      </c>
      <c r="G39" s="812">
        <f>VLOOKUP(A39,'2122 Band Moderations'!$B$5:$S$22,12,(FALSE))</f>
        <v>0</v>
      </c>
      <c r="H39" s="812">
        <f>VLOOKUP(A39,'2122 Band Moderations'!$B$5:$S$22,14,(FALSE))</f>
        <v>0</v>
      </c>
      <c r="I39" s="812">
        <f>VLOOKUP(A39,'2122 Band Moderations'!$B$5:$S$22,16,(FALSE))</f>
        <v>0</v>
      </c>
      <c r="J39" s="812">
        <f>VLOOKUP(A39,'2122 Band Moderations'!$B$5:$S$22,18,(FALSE))</f>
        <v>0</v>
      </c>
      <c r="K39" s="1012">
        <v>0</v>
      </c>
      <c r="L39" s="813">
        <f t="shared" si="6"/>
        <v>0</v>
      </c>
      <c r="M39" s="813">
        <f t="shared" si="4"/>
        <v>0</v>
      </c>
      <c r="N39" s="813">
        <f t="shared" si="7"/>
        <v>0</v>
      </c>
      <c r="O39" s="80"/>
      <c r="P39" s="42">
        <f t="shared" si="5"/>
        <v>0</v>
      </c>
      <c r="Q39" s="233"/>
      <c r="R39" s="80"/>
      <c r="S39" s="42"/>
      <c r="T39" s="42"/>
      <c r="AT39" s="34"/>
      <c r="AU39" s="34"/>
      <c r="AX39" s="34"/>
      <c r="AY39" s="34"/>
      <c r="AZ39" s="34"/>
    </row>
    <row r="40" spans="1:52" x14ac:dyDescent="0.25">
      <c r="A40" s="185">
        <v>9257032</v>
      </c>
      <c r="B40" s="915" t="s">
        <v>934</v>
      </c>
      <c r="C40" s="781" t="s">
        <v>949</v>
      </c>
      <c r="D40" s="812">
        <f>VLOOKUP(A40,'2122 Band Moderations'!$B$5:$S$22,6,(FALSE))</f>
        <v>0</v>
      </c>
      <c r="E40" s="812">
        <f>VLOOKUP(A40,'2122 Band Moderations'!$B$5:$S$22,8,(FALSE))</f>
        <v>0</v>
      </c>
      <c r="F40" s="812">
        <f>VLOOKUP(A40,'2122 Band Moderations'!$B$5:$S$22,10,(FALSE))</f>
        <v>1</v>
      </c>
      <c r="G40" s="812">
        <f>VLOOKUP(A40,'2122 Band Moderations'!$B$5:$S$22,12,(FALSE))</f>
        <v>0</v>
      </c>
      <c r="H40" s="812">
        <f>VLOOKUP(A40,'2122 Band Moderations'!$B$5:$S$22,14,(FALSE))</f>
        <v>0</v>
      </c>
      <c r="I40" s="812">
        <f>VLOOKUP(A40,'2122 Band Moderations'!$B$5:$S$22,16,(FALSE))</f>
        <v>0</v>
      </c>
      <c r="J40" s="812">
        <f>VLOOKUP(A40,'2122 Band Moderations'!$B$5:$S$22,18,(FALSE))</f>
        <v>0</v>
      </c>
      <c r="K40" s="1012">
        <v>0</v>
      </c>
      <c r="L40" s="813">
        <f t="shared" si="6"/>
        <v>0</v>
      </c>
      <c r="M40" s="813">
        <f t="shared" si="4"/>
        <v>0</v>
      </c>
      <c r="N40" s="813">
        <f t="shared" si="7"/>
        <v>0</v>
      </c>
      <c r="O40" s="80"/>
      <c r="P40" s="42">
        <f t="shared" si="5"/>
        <v>0</v>
      </c>
      <c r="Q40" s="233"/>
      <c r="R40" s="80"/>
      <c r="S40" s="42"/>
      <c r="T40" s="42"/>
      <c r="AT40" s="34"/>
      <c r="AU40" s="34"/>
      <c r="AX40" s="34"/>
      <c r="AY40" s="34"/>
      <c r="AZ40" s="34"/>
    </row>
    <row r="41" spans="1:52" x14ac:dyDescent="0.25">
      <c r="A41" s="185">
        <v>9257030</v>
      </c>
      <c r="B41" s="915" t="s">
        <v>933</v>
      </c>
      <c r="C41" s="781" t="s">
        <v>949</v>
      </c>
      <c r="D41" s="812">
        <f>VLOOKUP(A41,'2122 Band Moderations'!$B$5:$S$22,6,(FALSE))</f>
        <v>0</v>
      </c>
      <c r="E41" s="812">
        <f>VLOOKUP(A41,'2122 Band Moderations'!$B$5:$S$22,8,(FALSE))</f>
        <v>0</v>
      </c>
      <c r="F41" s="812">
        <f>VLOOKUP(A41,'2122 Band Moderations'!$B$5:$S$22,10,(FALSE))</f>
        <v>1</v>
      </c>
      <c r="G41" s="812">
        <f>VLOOKUP(A41,'2122 Band Moderations'!$B$5:$S$22,12,(FALSE))</f>
        <v>0</v>
      </c>
      <c r="H41" s="812">
        <f>VLOOKUP(A41,'2122 Band Moderations'!$B$5:$S$22,14,(FALSE))</f>
        <v>0</v>
      </c>
      <c r="I41" s="812">
        <f>VLOOKUP(A41,'2122 Band Moderations'!$B$5:$S$22,16,(FALSE))</f>
        <v>0</v>
      </c>
      <c r="J41" s="812">
        <f>VLOOKUP(A41,'2122 Band Moderations'!$B$5:$S$22,18,(FALSE))</f>
        <v>0</v>
      </c>
      <c r="K41" s="1012">
        <v>0</v>
      </c>
      <c r="L41" s="813">
        <f t="shared" si="6"/>
        <v>0</v>
      </c>
      <c r="M41" s="813">
        <f t="shared" si="4"/>
        <v>0</v>
      </c>
      <c r="N41" s="813">
        <f t="shared" si="7"/>
        <v>0</v>
      </c>
      <c r="O41" s="80"/>
      <c r="P41" s="42">
        <f t="shared" si="5"/>
        <v>0</v>
      </c>
      <c r="Q41" s="233"/>
      <c r="R41" s="80"/>
      <c r="S41" s="42"/>
      <c r="T41" s="42"/>
      <c r="AT41" s="34"/>
      <c r="AU41" s="34"/>
      <c r="AX41" s="34"/>
      <c r="AY41" s="34"/>
      <c r="AZ41" s="34"/>
    </row>
    <row r="42" spans="1:52" x14ac:dyDescent="0.25">
      <c r="A42" s="185">
        <v>9257028</v>
      </c>
      <c r="B42" s="38" t="s">
        <v>77</v>
      </c>
      <c r="C42" s="781">
        <v>5</v>
      </c>
      <c r="D42" s="812">
        <f>VLOOKUP(A42,'2122 Band Moderations'!$B$5:$S$22,6,(FALSE))</f>
        <v>8.9108910891089105E-2</v>
      </c>
      <c r="E42" s="812">
        <f>VLOOKUP(A42,'2122 Band Moderations'!$B$5:$S$22,8,(FALSE))</f>
        <v>0.40594059405940597</v>
      </c>
      <c r="F42" s="812">
        <f>VLOOKUP(A42,'2122 Band Moderations'!$B$5:$S$22,10,(FALSE))</f>
        <v>7.9207920792079209E-2</v>
      </c>
      <c r="G42" s="812">
        <f>VLOOKUP(A42,'2122 Band Moderations'!$B$5:$S$22,12,(FALSE))</f>
        <v>8.9108910891089105E-2</v>
      </c>
      <c r="H42" s="812">
        <f>VLOOKUP(A42,'2122 Band Moderations'!$B$5:$S$22,14,(FALSE))</f>
        <v>0.12871287128712872</v>
      </c>
      <c r="I42" s="812">
        <f>VLOOKUP(A42,'2122 Band Moderations'!$B$5:$S$22,16,(FALSE))</f>
        <v>9.9009900990099015E-2</v>
      </c>
      <c r="J42" s="812">
        <f>VLOOKUP(A42,'2122 Band Moderations'!$B$5:$S$22,18,(FALSE))</f>
        <v>0.10891089108910891</v>
      </c>
      <c r="K42" s="1012">
        <v>8</v>
      </c>
      <c r="L42" s="813">
        <f t="shared" si="6"/>
        <v>1553.2227808756861</v>
      </c>
      <c r="M42" s="813">
        <f t="shared" si="4"/>
        <v>0</v>
      </c>
      <c r="N42" s="813">
        <f t="shared" si="7"/>
        <v>1553.2227808756861</v>
      </c>
      <c r="O42" s="80"/>
      <c r="P42" s="42">
        <f t="shared" si="5"/>
        <v>0</v>
      </c>
      <c r="Q42" s="233"/>
      <c r="R42" s="80"/>
      <c r="S42" s="42"/>
      <c r="T42" s="42"/>
      <c r="AT42" s="34"/>
      <c r="AU42" s="34"/>
      <c r="AX42" s="34"/>
      <c r="AY42" s="34"/>
      <c r="AZ42" s="34"/>
    </row>
    <row r="43" spans="1:52" x14ac:dyDescent="0.25">
      <c r="A43" s="185">
        <v>9257021</v>
      </c>
      <c r="B43" s="38" t="s">
        <v>78</v>
      </c>
      <c r="C43" s="781" t="s">
        <v>947</v>
      </c>
      <c r="D43" s="812">
        <f>VLOOKUP(A43,'2122 Band Moderations'!$B$5:$S$22,6,(FALSE))</f>
        <v>0.26829268292682928</v>
      </c>
      <c r="E43" s="812">
        <f>VLOOKUP(A43,'2122 Band Moderations'!$B$5:$S$22,8,(FALSE))</f>
        <v>0.42682926829268292</v>
      </c>
      <c r="F43" s="812">
        <f>VLOOKUP(A43,'2122 Band Moderations'!$B$5:$S$22,10,(FALSE))</f>
        <v>7.926829268292683E-2</v>
      </c>
      <c r="G43" s="812">
        <f>VLOOKUP(A43,'2122 Band Moderations'!$B$5:$S$22,12,(FALSE))</f>
        <v>6.7073170731707321E-2</v>
      </c>
      <c r="H43" s="812">
        <f>VLOOKUP(A43,'2122 Band Moderations'!$B$5:$S$22,14,(FALSE))</f>
        <v>5.4878048780487805E-2</v>
      </c>
      <c r="I43" s="812">
        <f>VLOOKUP(A43,'2122 Band Moderations'!$B$5:$S$22,16,(FALSE))</f>
        <v>9.1463414634146339E-2</v>
      </c>
      <c r="J43" s="812">
        <f>VLOOKUP(A43,'2122 Band Moderations'!$B$5:$S$22,18,(FALSE))</f>
        <v>1.2195121951219513E-2</v>
      </c>
      <c r="K43" s="1012">
        <v>0</v>
      </c>
      <c r="L43" s="813">
        <f t="shared" si="6"/>
        <v>0</v>
      </c>
      <c r="M43" s="813">
        <f t="shared" si="4"/>
        <v>0</v>
      </c>
      <c r="N43" s="813">
        <f t="shared" si="7"/>
        <v>0</v>
      </c>
      <c r="O43" s="80"/>
      <c r="P43" s="42">
        <f t="shared" si="5"/>
        <v>0</v>
      </c>
      <c r="Q43" s="233"/>
      <c r="R43" s="80"/>
      <c r="S43" s="42"/>
      <c r="T43" s="42"/>
      <c r="AT43" s="34"/>
      <c r="AU43" s="34"/>
      <c r="AX43" s="34"/>
      <c r="AY43" s="34"/>
      <c r="AZ43" s="34"/>
    </row>
    <row r="44" spans="1:52" x14ac:dyDescent="0.25">
      <c r="A44" s="185">
        <v>9257015</v>
      </c>
      <c r="B44" s="38" t="s">
        <v>55</v>
      </c>
      <c r="C44" s="781" t="s">
        <v>948</v>
      </c>
      <c r="D44" s="812">
        <f>VLOOKUP(A44,'2122 Band Moderations'!$B$5:$S$22,6,(FALSE))</f>
        <v>0.33185840707964603</v>
      </c>
      <c r="E44" s="812">
        <f>VLOOKUP(A44,'2122 Band Moderations'!$B$5:$S$22,8,(FALSE))</f>
        <v>0.38495575221238937</v>
      </c>
      <c r="F44" s="812">
        <f>VLOOKUP(A44,'2122 Band Moderations'!$B$5:$S$22,10,(FALSE))</f>
        <v>1.7699115044247787E-2</v>
      </c>
      <c r="G44" s="812">
        <f>VLOOKUP(A44,'2122 Band Moderations'!$B$5:$S$22,12,(FALSE))</f>
        <v>8.8495575221238937E-2</v>
      </c>
      <c r="H44" s="812">
        <f>VLOOKUP(A44,'2122 Band Moderations'!$B$5:$S$22,14,(FALSE))</f>
        <v>2.2123893805309734E-2</v>
      </c>
      <c r="I44" s="812">
        <f>VLOOKUP(A44,'2122 Band Moderations'!$B$5:$S$22,16,(FALSE))</f>
        <v>0.1415929203539823</v>
      </c>
      <c r="J44" s="812">
        <f>VLOOKUP(A44,'2122 Band Moderations'!$B$5:$S$22,18,(FALSE))</f>
        <v>1.3274336283185841E-2</v>
      </c>
      <c r="K44" s="1012">
        <v>8</v>
      </c>
      <c r="L44" s="813">
        <f t="shared" si="6"/>
        <v>1641.68561353933</v>
      </c>
      <c r="M44" s="813">
        <f t="shared" si="4"/>
        <v>0</v>
      </c>
      <c r="N44" s="813">
        <f t="shared" si="7"/>
        <v>1641.68561353933</v>
      </c>
      <c r="O44" s="80"/>
      <c r="P44" s="42">
        <f t="shared" si="5"/>
        <v>0</v>
      </c>
      <c r="Q44" s="233"/>
      <c r="R44" s="80"/>
      <c r="S44" s="42"/>
      <c r="T44" s="42"/>
      <c r="AT44" s="34"/>
      <c r="AU44" s="34"/>
      <c r="AX44" s="34"/>
      <c r="AY44" s="34"/>
      <c r="AZ44" s="34"/>
    </row>
    <row r="45" spans="1:52" x14ac:dyDescent="0.25">
      <c r="A45" s="185">
        <v>9257016</v>
      </c>
      <c r="B45" s="38" t="s">
        <v>80</v>
      </c>
      <c r="C45" s="781" t="s">
        <v>948</v>
      </c>
      <c r="D45" s="812">
        <f>VLOOKUP(A45,'2122 Band Moderations'!$B$5:$S$22,6,(FALSE))</f>
        <v>0.18012422360248448</v>
      </c>
      <c r="E45" s="812">
        <f>VLOOKUP(A45,'2122 Band Moderations'!$B$5:$S$22,8,(FALSE))</f>
        <v>0.15527950310559005</v>
      </c>
      <c r="F45" s="812">
        <f>VLOOKUP(A45,'2122 Band Moderations'!$B$5:$S$22,10,(FALSE))</f>
        <v>6.2111801242236021E-3</v>
      </c>
      <c r="G45" s="812">
        <f>VLOOKUP(A45,'2122 Band Moderations'!$B$5:$S$22,12,(FALSE))</f>
        <v>0.2236024844720497</v>
      </c>
      <c r="H45" s="812">
        <f>VLOOKUP(A45,'2122 Band Moderations'!$B$5:$S$22,14,(FALSE))</f>
        <v>0.21118012422360249</v>
      </c>
      <c r="I45" s="812">
        <f>VLOOKUP(A45,'2122 Band Moderations'!$B$5:$S$22,16,(FALSE))</f>
        <v>1.2422360248447204E-2</v>
      </c>
      <c r="J45" s="812">
        <f>VLOOKUP(A45,'2122 Band Moderations'!$B$5:$S$22,18,(FALSE))</f>
        <v>0.21118012422360249</v>
      </c>
      <c r="K45" s="1012">
        <v>47</v>
      </c>
      <c r="L45" s="813">
        <f t="shared" si="6"/>
        <v>8018.0829479596223</v>
      </c>
      <c r="M45" s="813">
        <f t="shared" si="4"/>
        <v>0</v>
      </c>
      <c r="N45" s="813">
        <f t="shared" si="7"/>
        <v>8018.0829479596223</v>
      </c>
      <c r="O45" s="628" t="s">
        <v>402</v>
      </c>
      <c r="P45" s="42">
        <f t="shared" si="5"/>
        <v>0</v>
      </c>
      <c r="Q45" s="233"/>
      <c r="R45" s="80"/>
      <c r="S45" s="42"/>
      <c r="T45" s="42"/>
      <c r="AT45" s="34"/>
      <c r="AU45" s="34"/>
      <c r="AX45" s="34"/>
      <c r="AY45" s="34"/>
      <c r="AZ45" s="34"/>
    </row>
    <row r="46" spans="1:52" x14ac:dyDescent="0.25">
      <c r="A46" s="75"/>
      <c r="B46" s="50"/>
      <c r="C46" s="61"/>
      <c r="D46" s="49"/>
      <c r="E46" s="49"/>
      <c r="F46" s="628" t="s">
        <v>402</v>
      </c>
      <c r="G46" s="49"/>
      <c r="H46" s="49"/>
      <c r="I46" s="49"/>
      <c r="J46" s="628" t="s">
        <v>402</v>
      </c>
      <c r="L46" s="168"/>
      <c r="M46" s="168"/>
      <c r="N46" s="628" t="s">
        <v>402</v>
      </c>
      <c r="O46" s="80"/>
      <c r="P46" s="233"/>
      <c r="Q46" s="233"/>
      <c r="R46" s="40"/>
      <c r="AT46" s="34"/>
      <c r="AU46" s="34"/>
      <c r="AX46" s="34"/>
      <c r="AY46" s="34"/>
      <c r="AZ46" s="34"/>
    </row>
    <row r="47" spans="1:52" ht="13" x14ac:dyDescent="0.3">
      <c r="A47" s="230" t="s">
        <v>931</v>
      </c>
      <c r="B47" s="50"/>
      <c r="C47" s="50"/>
      <c r="I47" s="34"/>
      <c r="J47" s="34"/>
      <c r="K47" s="1409"/>
      <c r="L47" s="1409"/>
      <c r="AT47" s="34"/>
      <c r="AU47" s="34"/>
      <c r="AX47" s="34"/>
      <c r="AY47" s="34"/>
      <c r="AZ47" s="34"/>
    </row>
    <row r="48" spans="1:52" x14ac:dyDescent="0.25">
      <c r="B48" s="50"/>
      <c r="C48" s="50"/>
      <c r="I48" s="34"/>
      <c r="J48" s="34"/>
      <c r="K48" s="231" t="s">
        <v>921</v>
      </c>
      <c r="L48" s="1409"/>
      <c r="Q48" s="34"/>
      <c r="AT48" s="34"/>
      <c r="AU48" s="34"/>
      <c r="AX48" s="34"/>
      <c r="AY48" s="34"/>
      <c r="AZ48" s="34"/>
    </row>
    <row r="49" spans="1:52" ht="39.75" customHeight="1" x14ac:dyDescent="0.25">
      <c r="A49" s="183" t="s">
        <v>201</v>
      </c>
      <c r="B49" s="36" t="s">
        <v>66</v>
      </c>
      <c r="C49" s="39" t="s">
        <v>51</v>
      </c>
      <c r="D49" s="1412" t="s">
        <v>858</v>
      </c>
      <c r="E49" s="1412" t="s">
        <v>859</v>
      </c>
      <c r="F49" s="1412" t="s">
        <v>860</v>
      </c>
      <c r="G49" s="1412" t="s">
        <v>861</v>
      </c>
      <c r="H49" s="1412" t="s">
        <v>862</v>
      </c>
      <c r="I49" s="1412" t="s">
        <v>863</v>
      </c>
      <c r="J49" s="1412" t="s">
        <v>864</v>
      </c>
      <c r="K49" s="1414" t="s">
        <v>253</v>
      </c>
      <c r="L49" s="1414" t="s">
        <v>390</v>
      </c>
      <c r="M49" s="1414" t="s">
        <v>391</v>
      </c>
      <c r="N49" s="1414" t="s">
        <v>287</v>
      </c>
      <c r="AT49" s="34"/>
      <c r="AU49" s="34"/>
      <c r="AX49" s="34"/>
      <c r="AY49" s="34"/>
      <c r="AZ49" s="34"/>
    </row>
    <row r="50" spans="1:52" x14ac:dyDescent="0.25">
      <c r="A50" s="131">
        <v>9257010</v>
      </c>
      <c r="B50" s="38" t="s">
        <v>67</v>
      </c>
      <c r="C50" s="781">
        <v>5</v>
      </c>
      <c r="D50" s="812">
        <f>VLOOKUP(A50,'2122 Band Moderations'!$B$5:$S$22,6,(FALSE))</f>
        <v>1.5873015873015872E-2</v>
      </c>
      <c r="E50" s="812">
        <f>VLOOKUP(A50,'2122 Band Moderations'!$B$5:$S$22,8,(FALSE))</f>
        <v>0.31746031746031744</v>
      </c>
      <c r="F50" s="812">
        <f>VLOOKUP(A50,'2122 Band Moderations'!$B$5:$S$22,10,(FALSE))</f>
        <v>9.5238095238095233E-2</v>
      </c>
      <c r="G50" s="812">
        <f>VLOOKUP(A50,'2122 Band Moderations'!$B$5:$S$22,12,(FALSE))</f>
        <v>0.17460317460317459</v>
      </c>
      <c r="H50" s="812">
        <f>VLOOKUP(A50,'2122 Band Moderations'!$B$5:$S$22,14,(FALSE))</f>
        <v>6.3492063492063489E-2</v>
      </c>
      <c r="I50" s="812">
        <f>VLOOKUP(A50,'2122 Band Moderations'!$B$5:$S$22,16,(FALSE))</f>
        <v>0.19047619047619047</v>
      </c>
      <c r="J50" s="812">
        <f>VLOOKUP(A50,'2122 Band Moderations'!$B$5:$S$22,18,(FALSE))</f>
        <v>0.14285714285714285</v>
      </c>
      <c r="K50" s="1012">
        <v>90</v>
      </c>
      <c r="L50" s="813">
        <f t="shared" ref="L50:L67" si="8">((((K50*D50)*$G$92)+((K50*E50)*$G$94)+((K50*F50)*$G$96)+((K50*G50)*$G$98)+((K50*H50)*$G$100)+((K50*I50)*$G$102)+((K50*J50)*$G$104))*(7/12))</f>
        <v>31938.384515590256</v>
      </c>
      <c r="M50" s="813">
        <f>((F50*K50)*$G$106)*(7/12)</f>
        <v>0</v>
      </c>
      <c r="N50" s="813">
        <f t="shared" ref="N50:N67" si="9">SUM(L50:M50)</f>
        <v>31938.384515590256</v>
      </c>
      <c r="O50" s="42"/>
      <c r="P50" s="42">
        <f t="shared" ref="P50:P67" si="10">(J50*K50*$G$104)*7/12</f>
        <v>0</v>
      </c>
      <c r="Q50" s="978" t="s">
        <v>402</v>
      </c>
      <c r="R50" s="625" t="s">
        <v>595</v>
      </c>
      <c r="AT50" s="34"/>
      <c r="AU50" s="34"/>
      <c r="AX50" s="34"/>
      <c r="AY50" s="34"/>
      <c r="AZ50" s="34"/>
    </row>
    <row r="51" spans="1:52" x14ac:dyDescent="0.25">
      <c r="A51" s="131">
        <v>9257005</v>
      </c>
      <c r="B51" s="38" t="s">
        <v>68</v>
      </c>
      <c r="C51" s="781">
        <v>4</v>
      </c>
      <c r="D51" s="812">
        <f>VLOOKUP(A51,'2122 Band Moderations'!$B$5:$S$22,6,(FALSE))</f>
        <v>0.05</v>
      </c>
      <c r="E51" s="812">
        <f>VLOOKUP(A51,'2122 Band Moderations'!$B$5:$S$22,8,(FALSE))</f>
        <v>0.4</v>
      </c>
      <c r="F51" s="812">
        <f>VLOOKUP(A51,'2122 Band Moderations'!$B$5:$S$22,10,(FALSE))</f>
        <v>6.25E-2</v>
      </c>
      <c r="G51" s="812">
        <f>VLOOKUP(A51,'2122 Band Moderations'!$B$5:$S$22,12,(FALSE))</f>
        <v>0.15</v>
      </c>
      <c r="H51" s="812">
        <f>VLOOKUP(A51,'2122 Band Moderations'!$B$5:$S$22,14,(FALSE))</f>
        <v>0.125</v>
      </c>
      <c r="I51" s="812">
        <f>VLOOKUP(A51,'2122 Band Moderations'!$B$5:$S$22,16,(FALSE))</f>
        <v>0.15</v>
      </c>
      <c r="J51" s="812">
        <f>VLOOKUP(A51,'2122 Band Moderations'!$B$5:$S$22,18,(FALSE))</f>
        <v>6.25E-2</v>
      </c>
      <c r="K51" s="1012">
        <v>58</v>
      </c>
      <c r="L51" s="813">
        <f t="shared" si="8"/>
        <v>21707.752947028981</v>
      </c>
      <c r="M51" s="813">
        <f t="shared" ref="M51:M67" si="11">((F51*K51)*$G$106)*(7/12)</f>
        <v>0</v>
      </c>
      <c r="N51" s="813">
        <f t="shared" si="9"/>
        <v>21707.752947028981</v>
      </c>
      <c r="O51" s="42"/>
      <c r="P51" s="42">
        <f t="shared" si="10"/>
        <v>0</v>
      </c>
      <c r="Q51" s="168"/>
      <c r="AT51" s="34"/>
      <c r="AU51" s="34"/>
      <c r="AX51" s="34"/>
      <c r="AY51" s="34"/>
      <c r="AZ51" s="34"/>
    </row>
    <row r="52" spans="1:52" x14ac:dyDescent="0.25">
      <c r="A52" s="131">
        <v>9257025</v>
      </c>
      <c r="B52" s="38" t="s">
        <v>69</v>
      </c>
      <c r="C52" s="781">
        <v>4</v>
      </c>
      <c r="D52" s="812">
        <f>VLOOKUP(A52,'2122 Band Moderations'!$B$5:$S$22,6,(FALSE))</f>
        <v>0.15584415584415584</v>
      </c>
      <c r="E52" s="812">
        <f>VLOOKUP(A52,'2122 Band Moderations'!$B$5:$S$22,8,(FALSE))</f>
        <v>0.40259740259740262</v>
      </c>
      <c r="F52" s="812">
        <f>VLOOKUP(A52,'2122 Band Moderations'!$B$5:$S$22,10,(FALSE))</f>
        <v>3.896103896103896E-2</v>
      </c>
      <c r="G52" s="812">
        <f>VLOOKUP(A52,'2122 Band Moderations'!$B$5:$S$22,12,(FALSE))</f>
        <v>0.15584415584415584</v>
      </c>
      <c r="H52" s="812">
        <f>VLOOKUP(A52,'2122 Band Moderations'!$B$5:$S$22,14,(FALSE))</f>
        <v>5.1948051948051951E-2</v>
      </c>
      <c r="I52" s="812">
        <f>VLOOKUP(A52,'2122 Band Moderations'!$B$5:$S$22,16,(FALSE))</f>
        <v>0.14285714285714285</v>
      </c>
      <c r="J52" s="812">
        <f>VLOOKUP(A52,'2122 Band Moderations'!$B$5:$S$22,18,(FALSE))</f>
        <v>5.1948051948051951E-2</v>
      </c>
      <c r="K52" s="1012">
        <v>54</v>
      </c>
      <c r="L52" s="813">
        <f t="shared" si="8"/>
        <v>19683.223872886352</v>
      </c>
      <c r="M52" s="813">
        <f t="shared" si="11"/>
        <v>0</v>
      </c>
      <c r="N52" s="813">
        <f t="shared" si="9"/>
        <v>19683.223872886352</v>
      </c>
      <c r="O52" s="42"/>
      <c r="P52" s="42">
        <f t="shared" si="10"/>
        <v>0</v>
      </c>
      <c r="Q52" s="168"/>
      <c r="AT52" s="34"/>
      <c r="AU52" s="34"/>
      <c r="AX52" s="34"/>
      <c r="AY52" s="34"/>
      <c r="AZ52" s="34"/>
    </row>
    <row r="53" spans="1:52" x14ac:dyDescent="0.25">
      <c r="A53" s="131">
        <v>9257011</v>
      </c>
      <c r="B53" s="38" t="s">
        <v>70</v>
      </c>
      <c r="C53" s="781" t="s">
        <v>1009</v>
      </c>
      <c r="D53" s="812">
        <f>VLOOKUP(A53,'2122 Band Moderations'!$B$5:$S$22,6,(FALSE))</f>
        <v>5.6603773584905662E-2</v>
      </c>
      <c r="E53" s="812">
        <f>VLOOKUP(A53,'2122 Band Moderations'!$B$5:$S$22,8,(FALSE))</f>
        <v>0.35849056603773582</v>
      </c>
      <c r="F53" s="812">
        <f>VLOOKUP(A53,'2122 Band Moderations'!$B$5:$S$22,10,(FALSE))</f>
        <v>1.8867924528301886E-2</v>
      </c>
      <c r="G53" s="812">
        <f>VLOOKUP(A53,'2122 Band Moderations'!$B$5:$S$22,12,(FALSE))</f>
        <v>0.16981132075471697</v>
      </c>
      <c r="H53" s="812">
        <f>VLOOKUP(A53,'2122 Band Moderations'!$B$5:$S$22,14,(FALSE))</f>
        <v>0.13207547169811321</v>
      </c>
      <c r="I53" s="812">
        <f>VLOOKUP(A53,'2122 Band Moderations'!$B$5:$S$22,16,(FALSE))</f>
        <v>0.15094339622641509</v>
      </c>
      <c r="J53" s="812">
        <f>VLOOKUP(A53,'2122 Band Moderations'!$B$5:$S$22,18,(FALSE))</f>
        <v>0.11320754716981132</v>
      </c>
      <c r="K53" s="1012">
        <v>50</v>
      </c>
      <c r="L53" s="813">
        <f t="shared" si="8"/>
        <v>17955.817815218805</v>
      </c>
      <c r="M53" s="813">
        <f t="shared" si="11"/>
        <v>0</v>
      </c>
      <c r="N53" s="813">
        <f t="shared" si="9"/>
        <v>17955.817815218805</v>
      </c>
      <c r="O53" s="42"/>
      <c r="P53" s="42">
        <f t="shared" si="10"/>
        <v>0</v>
      </c>
      <c r="Q53" s="168"/>
      <c r="AT53" s="34"/>
      <c r="AU53" s="34"/>
      <c r="AX53" s="34"/>
      <c r="AY53" s="34"/>
      <c r="AZ53" s="34"/>
    </row>
    <row r="54" spans="1:52" x14ac:dyDescent="0.25">
      <c r="A54" s="131">
        <v>9257024</v>
      </c>
      <c r="B54" s="38" t="s">
        <v>71</v>
      </c>
      <c r="C54" s="781">
        <v>4</v>
      </c>
      <c r="D54" s="812">
        <f>VLOOKUP(A54,'2122 Band Moderations'!$B$5:$S$22,6,(FALSE))</f>
        <v>8.4337349397590355E-2</v>
      </c>
      <c r="E54" s="812">
        <f>VLOOKUP(A54,'2122 Band Moderations'!$B$5:$S$22,8,(FALSE))</f>
        <v>0.45783132530120479</v>
      </c>
      <c r="F54" s="812">
        <f>VLOOKUP(A54,'2122 Band Moderations'!$B$5:$S$22,10,(FALSE))</f>
        <v>1.2048192771084338E-2</v>
      </c>
      <c r="G54" s="812">
        <f>VLOOKUP(A54,'2122 Band Moderations'!$B$5:$S$22,12,(FALSE))</f>
        <v>0.18072289156626506</v>
      </c>
      <c r="H54" s="812">
        <f>VLOOKUP(A54,'2122 Band Moderations'!$B$5:$S$22,14,(FALSE))</f>
        <v>8.4337349397590355E-2</v>
      </c>
      <c r="I54" s="812">
        <f>VLOOKUP(A54,'2122 Band Moderations'!$B$5:$S$22,16,(FALSE))</f>
        <v>7.2289156626506021E-2</v>
      </c>
      <c r="J54" s="812">
        <f>VLOOKUP(A54,'2122 Band Moderations'!$B$5:$S$22,18,(FALSE))</f>
        <v>0.10843373493975904</v>
      </c>
      <c r="K54" s="1012">
        <v>71</v>
      </c>
      <c r="L54" s="813">
        <f t="shared" si="8"/>
        <v>24008.965844058377</v>
      </c>
      <c r="M54" s="813">
        <f t="shared" si="11"/>
        <v>0</v>
      </c>
      <c r="N54" s="813">
        <f t="shared" si="9"/>
        <v>24008.965844058377</v>
      </c>
      <c r="O54" s="42"/>
      <c r="P54" s="42">
        <f t="shared" si="10"/>
        <v>0</v>
      </c>
      <c r="Q54" s="168"/>
      <c r="AT54" s="34"/>
      <c r="AU54" s="34"/>
      <c r="AX54" s="34"/>
      <c r="AY54" s="34"/>
      <c r="AZ54" s="34"/>
    </row>
    <row r="55" spans="1:52" x14ac:dyDescent="0.25">
      <c r="A55" s="131">
        <v>9257031</v>
      </c>
      <c r="B55" s="38" t="s">
        <v>98</v>
      </c>
      <c r="C55" s="781">
        <v>5</v>
      </c>
      <c r="D55" s="812">
        <f>VLOOKUP(A55,'2122 Band Moderations'!$B$5:$S$22,6,(FALSE))</f>
        <v>0</v>
      </c>
      <c r="E55" s="812">
        <f>VLOOKUP(A55,'2122 Band Moderations'!$B$5:$S$22,8,(FALSE))</f>
        <v>0</v>
      </c>
      <c r="F55" s="812">
        <f>VLOOKUP(A55,'2122 Band Moderations'!$B$5:$S$22,10,(FALSE))</f>
        <v>1</v>
      </c>
      <c r="G55" s="812">
        <f>VLOOKUP(A55,'2122 Band Moderations'!$B$5:$S$22,12,(FALSE))</f>
        <v>0</v>
      </c>
      <c r="H55" s="812">
        <f>VLOOKUP(A55,'2122 Band Moderations'!$B$5:$S$22,14,(FALSE))</f>
        <v>0</v>
      </c>
      <c r="I55" s="812">
        <f>VLOOKUP(A55,'2122 Band Moderations'!$B$5:$S$22,16,(FALSE))</f>
        <v>0</v>
      </c>
      <c r="J55" s="812">
        <f>VLOOKUP(A55,'2122 Band Moderations'!$B$5:$S$22,18,(FALSE))</f>
        <v>0</v>
      </c>
      <c r="K55" s="1012">
        <v>81</v>
      </c>
      <c r="L55" s="813">
        <f t="shared" si="8"/>
        <v>27612.295837874964</v>
      </c>
      <c r="M55" s="813">
        <f t="shared" si="11"/>
        <v>0</v>
      </c>
      <c r="N55" s="813">
        <f t="shared" si="9"/>
        <v>27612.295837874964</v>
      </c>
      <c r="O55" s="42"/>
      <c r="P55" s="42">
        <f t="shared" si="10"/>
        <v>0</v>
      </c>
      <c r="Q55" s="168"/>
      <c r="AT55" s="34"/>
      <c r="AU55" s="34"/>
      <c r="AX55" s="34"/>
      <c r="AY55" s="34"/>
      <c r="AZ55" s="34"/>
    </row>
    <row r="56" spans="1:52" x14ac:dyDescent="0.25">
      <c r="A56" s="131">
        <v>9257033</v>
      </c>
      <c r="B56" s="38" t="s">
        <v>72</v>
      </c>
      <c r="C56" s="781" t="s">
        <v>946</v>
      </c>
      <c r="D56" s="812">
        <f>VLOOKUP(A56,'2122 Band Moderations'!$B$5:$S$22,6,(FALSE))</f>
        <v>0.16842105263157894</v>
      </c>
      <c r="E56" s="812">
        <f>VLOOKUP(A56,'2122 Band Moderations'!$B$5:$S$22,8,(FALSE))</f>
        <v>0.5368421052631579</v>
      </c>
      <c r="F56" s="812">
        <f>VLOOKUP(A56,'2122 Band Moderations'!$B$5:$S$22,10,(FALSE))</f>
        <v>6.3157894736842107E-2</v>
      </c>
      <c r="G56" s="812">
        <f>VLOOKUP(A56,'2122 Band Moderations'!$B$5:$S$22,12,(FALSE))</f>
        <v>0.14736842105263157</v>
      </c>
      <c r="H56" s="812">
        <f>VLOOKUP(A56,'2122 Band Moderations'!$B$5:$S$22,14,(FALSE))</f>
        <v>4.2105263157894736E-2</v>
      </c>
      <c r="I56" s="812">
        <f>VLOOKUP(A56,'2122 Band Moderations'!$B$5:$S$22,16,(FALSE))</f>
        <v>4.2105263157894736E-2</v>
      </c>
      <c r="J56" s="812">
        <f>VLOOKUP(A56,'2122 Band Moderations'!$B$5:$S$22,18,(FALSE))</f>
        <v>0</v>
      </c>
      <c r="K56" s="1012">
        <v>98</v>
      </c>
      <c r="L56" s="813">
        <f t="shared" si="8"/>
        <v>34989.928098131109</v>
      </c>
      <c r="M56" s="813">
        <f t="shared" si="11"/>
        <v>0</v>
      </c>
      <c r="N56" s="813">
        <f t="shared" si="9"/>
        <v>34989.928098131109</v>
      </c>
      <c r="O56" s="42"/>
      <c r="P56" s="42">
        <f t="shared" si="10"/>
        <v>0</v>
      </c>
      <c r="Q56" s="168"/>
      <c r="AT56" s="34"/>
      <c r="AU56" s="34"/>
      <c r="AX56" s="34"/>
      <c r="AY56" s="34"/>
      <c r="AZ56" s="34"/>
    </row>
    <row r="57" spans="1:52" x14ac:dyDescent="0.25">
      <c r="A57" s="131">
        <v>9257008</v>
      </c>
      <c r="B57" s="38" t="s">
        <v>73</v>
      </c>
      <c r="C57" s="781">
        <v>4</v>
      </c>
      <c r="D57" s="812">
        <f>VLOOKUP(A57,'2122 Band Moderations'!$B$5:$S$22,6,(FALSE))</f>
        <v>0.10101010101010101</v>
      </c>
      <c r="E57" s="812">
        <f>VLOOKUP(A57,'2122 Band Moderations'!$B$5:$S$22,8,(FALSE))</f>
        <v>0.58585858585858586</v>
      </c>
      <c r="F57" s="812">
        <f>VLOOKUP(A57,'2122 Band Moderations'!$B$5:$S$22,10,(FALSE))</f>
        <v>8.0808080808080815E-2</v>
      </c>
      <c r="G57" s="812">
        <f>VLOOKUP(A57,'2122 Band Moderations'!$B$5:$S$22,12,(FALSE))</f>
        <v>9.0909090909090912E-2</v>
      </c>
      <c r="H57" s="812">
        <f>VLOOKUP(A57,'2122 Band Moderations'!$B$5:$S$22,14,(FALSE))</f>
        <v>1.0101010101010102E-2</v>
      </c>
      <c r="I57" s="812">
        <f>VLOOKUP(A57,'2122 Band Moderations'!$B$5:$S$22,16,(FALSE))</f>
        <v>0.12121212121212122</v>
      </c>
      <c r="J57" s="812">
        <f>VLOOKUP(A57,'2122 Band Moderations'!$B$5:$S$22,18,(FALSE))</f>
        <v>1.0101010101010102E-2</v>
      </c>
      <c r="K57" s="1012">
        <v>99</v>
      </c>
      <c r="L57" s="813">
        <f t="shared" si="8"/>
        <v>36418.686485756916</v>
      </c>
      <c r="M57" s="813">
        <f t="shared" si="11"/>
        <v>0</v>
      </c>
      <c r="N57" s="813">
        <f t="shared" si="9"/>
        <v>36418.686485756916</v>
      </c>
      <c r="O57" s="42"/>
      <c r="P57" s="42">
        <f t="shared" si="10"/>
        <v>0</v>
      </c>
      <c r="Q57" s="168"/>
      <c r="AT57" s="34"/>
      <c r="AU57" s="34"/>
      <c r="AX57" s="34"/>
      <c r="AY57" s="34"/>
      <c r="AZ57" s="34"/>
    </row>
    <row r="58" spans="1:52" x14ac:dyDescent="0.25">
      <c r="A58" s="131">
        <v>9257034</v>
      </c>
      <c r="B58" s="38" t="s">
        <v>74</v>
      </c>
      <c r="C58" s="781" t="s">
        <v>946</v>
      </c>
      <c r="D58" s="812">
        <f>VLOOKUP(A58,'2122 Band Moderations'!$B$5:$S$22,6,(FALSE))</f>
        <v>0.42424242424242425</v>
      </c>
      <c r="E58" s="812">
        <f>VLOOKUP(A58,'2122 Band Moderations'!$B$5:$S$22,8,(FALSE))</f>
        <v>0.29292929292929293</v>
      </c>
      <c r="F58" s="812">
        <f>VLOOKUP(A58,'2122 Band Moderations'!$B$5:$S$22,10,(FALSE))</f>
        <v>0.14141414141414141</v>
      </c>
      <c r="G58" s="812">
        <f>VLOOKUP(A58,'2122 Band Moderations'!$B$5:$S$22,12,(FALSE))</f>
        <v>3.0303030303030304E-2</v>
      </c>
      <c r="H58" s="812">
        <f>VLOOKUP(A58,'2122 Band Moderations'!$B$5:$S$22,14,(FALSE))</f>
        <v>4.0404040404040407E-2</v>
      </c>
      <c r="I58" s="812">
        <f>VLOOKUP(A58,'2122 Band Moderations'!$B$5:$S$22,16,(FALSE))</f>
        <v>6.0606060606060608E-2</v>
      </c>
      <c r="J58" s="812">
        <f>VLOOKUP(A58,'2122 Band Moderations'!$B$5:$S$22,18,(FALSE))</f>
        <v>1.0101010101010102E-2</v>
      </c>
      <c r="K58" s="1012">
        <v>88</v>
      </c>
      <c r="L58" s="813">
        <f t="shared" si="8"/>
        <v>29316.758543916647</v>
      </c>
      <c r="M58" s="813">
        <f t="shared" si="11"/>
        <v>0</v>
      </c>
      <c r="N58" s="813">
        <f t="shared" si="9"/>
        <v>29316.758543916647</v>
      </c>
      <c r="O58" s="42"/>
      <c r="P58" s="42">
        <f t="shared" si="10"/>
        <v>0</v>
      </c>
      <c r="Q58" s="168"/>
      <c r="AT58" s="34"/>
      <c r="AU58" s="34"/>
      <c r="AX58" s="34"/>
      <c r="AY58" s="34"/>
      <c r="AZ58" s="34"/>
    </row>
    <row r="59" spans="1:52" x14ac:dyDescent="0.25">
      <c r="A59" s="131">
        <v>9257002</v>
      </c>
      <c r="B59" s="38" t="s">
        <v>75</v>
      </c>
      <c r="C59" s="781">
        <v>5</v>
      </c>
      <c r="D59" s="812">
        <f>VLOOKUP(A59,'2122 Band Moderations'!$B$5:$S$22,6,(FALSE))</f>
        <v>0.3546099290780142</v>
      </c>
      <c r="E59" s="812">
        <f>VLOOKUP(A59,'2122 Band Moderations'!$B$5:$S$22,8,(FALSE))</f>
        <v>0.38297872340425532</v>
      </c>
      <c r="F59" s="812">
        <f>VLOOKUP(A59,'2122 Band Moderations'!$B$5:$S$22,10,(FALSE))</f>
        <v>0.1276595744680851</v>
      </c>
      <c r="G59" s="812">
        <f>VLOOKUP(A59,'2122 Band Moderations'!$B$5:$S$22,12,(FALSE))</f>
        <v>2.8368794326241134E-2</v>
      </c>
      <c r="H59" s="812">
        <f>VLOOKUP(A59,'2122 Band Moderations'!$B$5:$S$22,14,(FALSE))</f>
        <v>2.1276595744680851E-2</v>
      </c>
      <c r="I59" s="812">
        <f>VLOOKUP(A59,'2122 Band Moderations'!$B$5:$S$22,16,(FALSE))</f>
        <v>7.8014184397163122E-2</v>
      </c>
      <c r="J59" s="812">
        <f>VLOOKUP(A59,'2122 Band Moderations'!$B$5:$S$22,18,(FALSE))</f>
        <v>7.0921985815602835E-3</v>
      </c>
      <c r="K59" s="1012">
        <v>151</v>
      </c>
      <c r="L59" s="813">
        <f t="shared" si="8"/>
        <v>51383.506393163159</v>
      </c>
      <c r="M59" s="813">
        <f t="shared" si="11"/>
        <v>0</v>
      </c>
      <c r="N59" s="813">
        <f t="shared" si="9"/>
        <v>51383.506393163159</v>
      </c>
      <c r="O59" s="42"/>
      <c r="P59" s="42">
        <f t="shared" si="10"/>
        <v>0</v>
      </c>
      <c r="Q59" s="168"/>
      <c r="AT59" s="34"/>
      <c r="AU59" s="34"/>
      <c r="AX59" s="34"/>
      <c r="AY59" s="34"/>
      <c r="AZ59" s="34"/>
    </row>
    <row r="60" spans="1:52" x14ac:dyDescent="0.25">
      <c r="A60" s="131">
        <v>9257009</v>
      </c>
      <c r="B60" s="38" t="s">
        <v>76</v>
      </c>
      <c r="C60" s="781" t="s">
        <v>946</v>
      </c>
      <c r="D60" s="812">
        <f>VLOOKUP(A60,'2122 Band Moderations'!$B$5:$S$22,6,(FALSE))</f>
        <v>0.24</v>
      </c>
      <c r="E60" s="812">
        <f>VLOOKUP(A60,'2122 Band Moderations'!$B$5:$S$22,8,(FALSE))</f>
        <v>0.58399999999999996</v>
      </c>
      <c r="F60" s="812">
        <f>VLOOKUP(A60,'2122 Band Moderations'!$B$5:$S$22,10,(FALSE))</f>
        <v>7.1999999999999995E-2</v>
      </c>
      <c r="G60" s="812">
        <f>VLOOKUP(A60,'2122 Band Moderations'!$B$5:$S$22,12,(FALSE))</f>
        <v>1.6E-2</v>
      </c>
      <c r="H60" s="812">
        <f>VLOOKUP(A60,'2122 Band Moderations'!$B$5:$S$22,14,(FALSE))</f>
        <v>8.0000000000000002E-3</v>
      </c>
      <c r="I60" s="812">
        <f>VLOOKUP(A60,'2122 Band Moderations'!$B$5:$S$22,16,(FALSE))</f>
        <v>0.08</v>
      </c>
      <c r="J60" s="812">
        <f>VLOOKUP(A60,'2122 Band Moderations'!$B$5:$S$22,18,(FALSE))</f>
        <v>0</v>
      </c>
      <c r="K60" s="1012">
        <v>136</v>
      </c>
      <c r="L60" s="813">
        <f t="shared" si="8"/>
        <v>47257.70572601707</v>
      </c>
      <c r="M60" s="813">
        <f t="shared" si="11"/>
        <v>0</v>
      </c>
      <c r="N60" s="813">
        <f t="shared" si="9"/>
        <v>47257.70572601707</v>
      </c>
      <c r="O60" s="42"/>
      <c r="P60" s="42">
        <f t="shared" si="10"/>
        <v>0</v>
      </c>
      <c r="Q60" s="168"/>
      <c r="AT60" s="34"/>
      <c r="AU60" s="34"/>
      <c r="AX60" s="34"/>
      <c r="AY60" s="34"/>
      <c r="AZ60" s="34"/>
    </row>
    <row r="61" spans="1:52" x14ac:dyDescent="0.25">
      <c r="A61" s="131">
        <v>9257029</v>
      </c>
      <c r="B61" s="915" t="s">
        <v>848</v>
      </c>
      <c r="C61" s="781" t="s">
        <v>949</v>
      </c>
      <c r="D61" s="812">
        <f>VLOOKUP(A61,'2122 Band Moderations'!$B$5:$S$22,6,(FALSE))</f>
        <v>0</v>
      </c>
      <c r="E61" s="812">
        <f>VLOOKUP(A61,'2122 Band Moderations'!$B$5:$S$22,8,(FALSE))</f>
        <v>0</v>
      </c>
      <c r="F61" s="812">
        <f>VLOOKUP(A61,'2122 Band Moderations'!$B$5:$S$22,10,(FALSE))</f>
        <v>1</v>
      </c>
      <c r="G61" s="812">
        <f>VLOOKUP(A61,'2122 Band Moderations'!$B$5:$S$22,12,(FALSE))</f>
        <v>0</v>
      </c>
      <c r="H61" s="812">
        <f>VLOOKUP(A61,'2122 Band Moderations'!$B$5:$S$22,14,(FALSE))</f>
        <v>0</v>
      </c>
      <c r="I61" s="812">
        <f>VLOOKUP(A61,'2122 Band Moderations'!$B$5:$S$22,16,(FALSE))</f>
        <v>0</v>
      </c>
      <c r="J61" s="812">
        <f>VLOOKUP(A61,'2122 Band Moderations'!$B$5:$S$22,18,(FALSE))</f>
        <v>0</v>
      </c>
      <c r="K61" s="1012">
        <v>78</v>
      </c>
      <c r="L61" s="813">
        <f t="shared" si="8"/>
        <v>26589.618214249967</v>
      </c>
      <c r="M61" s="813">
        <f t="shared" si="11"/>
        <v>0</v>
      </c>
      <c r="N61" s="813">
        <f t="shared" si="9"/>
        <v>26589.618214249967</v>
      </c>
      <c r="O61" s="42"/>
      <c r="P61" s="42">
        <f t="shared" si="10"/>
        <v>0</v>
      </c>
      <c r="Q61" s="168"/>
      <c r="AT61" s="34"/>
      <c r="AU61" s="34"/>
      <c r="AX61" s="34"/>
      <c r="AY61" s="34"/>
      <c r="AZ61" s="34"/>
    </row>
    <row r="62" spans="1:52" x14ac:dyDescent="0.25">
      <c r="A62" s="131">
        <v>9257032</v>
      </c>
      <c r="B62" s="915" t="s">
        <v>934</v>
      </c>
      <c r="C62" s="781" t="s">
        <v>949</v>
      </c>
      <c r="D62" s="812">
        <f>VLOOKUP(A62,'2122 Band Moderations'!$B$5:$S$22,6,(FALSE))</f>
        <v>0</v>
      </c>
      <c r="E62" s="812">
        <f>VLOOKUP(A62,'2122 Band Moderations'!$B$5:$S$22,8,(FALSE))</f>
        <v>0</v>
      </c>
      <c r="F62" s="812">
        <f>VLOOKUP(A62,'2122 Band Moderations'!$B$5:$S$22,10,(FALSE))</f>
        <v>1</v>
      </c>
      <c r="G62" s="812">
        <f>VLOOKUP(A62,'2122 Band Moderations'!$B$5:$S$22,12,(FALSE))</f>
        <v>0</v>
      </c>
      <c r="H62" s="812">
        <f>VLOOKUP(A62,'2122 Band Moderations'!$B$5:$S$22,14,(FALSE))</f>
        <v>0</v>
      </c>
      <c r="I62" s="812">
        <f>VLOOKUP(A62,'2122 Band Moderations'!$B$5:$S$22,16,(FALSE))</f>
        <v>0</v>
      </c>
      <c r="J62" s="812">
        <f>VLOOKUP(A62,'2122 Band Moderations'!$B$5:$S$22,18,(FALSE))</f>
        <v>0</v>
      </c>
      <c r="K62" s="1012">
        <v>104</v>
      </c>
      <c r="L62" s="813">
        <f t="shared" si="8"/>
        <v>35452.824285666626</v>
      </c>
      <c r="M62" s="813">
        <f t="shared" si="11"/>
        <v>0</v>
      </c>
      <c r="N62" s="813">
        <f t="shared" si="9"/>
        <v>35452.824285666626</v>
      </c>
      <c r="O62" s="42"/>
      <c r="P62" s="42">
        <f t="shared" si="10"/>
        <v>0</v>
      </c>
      <c r="Q62" s="168"/>
      <c r="AT62" s="34"/>
      <c r="AU62" s="34"/>
      <c r="AX62" s="34"/>
      <c r="AY62" s="34"/>
      <c r="AZ62" s="34"/>
    </row>
    <row r="63" spans="1:52" x14ac:dyDescent="0.25">
      <c r="A63" s="131">
        <v>9257030</v>
      </c>
      <c r="B63" s="915" t="s">
        <v>933</v>
      </c>
      <c r="C63" s="781" t="s">
        <v>949</v>
      </c>
      <c r="D63" s="812">
        <f>VLOOKUP(A63,'2122 Band Moderations'!$B$5:$S$22,6,(FALSE))</f>
        <v>0</v>
      </c>
      <c r="E63" s="812">
        <f>VLOOKUP(A63,'2122 Band Moderations'!$B$5:$S$22,8,(FALSE))</f>
        <v>0</v>
      </c>
      <c r="F63" s="812">
        <f>VLOOKUP(A63,'2122 Band Moderations'!$B$5:$S$22,10,(FALSE))</f>
        <v>1</v>
      </c>
      <c r="G63" s="812">
        <f>VLOOKUP(A63,'2122 Band Moderations'!$B$5:$S$22,12,(FALSE))</f>
        <v>0</v>
      </c>
      <c r="H63" s="812">
        <f>VLOOKUP(A63,'2122 Band Moderations'!$B$5:$S$22,14,(FALSE))</f>
        <v>0</v>
      </c>
      <c r="I63" s="812">
        <f>VLOOKUP(A63,'2122 Band Moderations'!$B$5:$S$22,16,(FALSE))</f>
        <v>0</v>
      </c>
      <c r="J63" s="812">
        <f>VLOOKUP(A63,'2122 Band Moderations'!$B$5:$S$22,18,(FALSE))</f>
        <v>0</v>
      </c>
      <c r="K63" s="1012">
        <v>72</v>
      </c>
      <c r="L63" s="813">
        <f t="shared" si="8"/>
        <v>24544.26296699997</v>
      </c>
      <c r="M63" s="813">
        <f t="shared" si="11"/>
        <v>0</v>
      </c>
      <c r="N63" s="813">
        <f t="shared" si="9"/>
        <v>24544.26296699997</v>
      </c>
      <c r="O63" s="42"/>
      <c r="P63" s="42">
        <f t="shared" si="10"/>
        <v>0</v>
      </c>
      <c r="Q63" s="168"/>
      <c r="AT63" s="34"/>
      <c r="AU63" s="34"/>
      <c r="AX63" s="34"/>
      <c r="AY63" s="34"/>
      <c r="AZ63" s="34"/>
    </row>
    <row r="64" spans="1:52" x14ac:dyDescent="0.25">
      <c r="A64" s="131">
        <v>9257028</v>
      </c>
      <c r="B64" s="38" t="s">
        <v>77</v>
      </c>
      <c r="C64" s="781">
        <v>5</v>
      </c>
      <c r="D64" s="812">
        <f>VLOOKUP(A64,'2122 Band Moderations'!$B$5:$S$22,6,(FALSE))</f>
        <v>8.9108910891089105E-2</v>
      </c>
      <c r="E64" s="812">
        <f>VLOOKUP(A64,'2122 Band Moderations'!$B$5:$S$22,8,(FALSE))</f>
        <v>0.40594059405940597</v>
      </c>
      <c r="F64" s="812">
        <f>VLOOKUP(A64,'2122 Band Moderations'!$B$5:$S$22,10,(FALSE))</f>
        <v>7.9207920792079209E-2</v>
      </c>
      <c r="G64" s="812">
        <f>VLOOKUP(A64,'2122 Band Moderations'!$B$5:$S$22,12,(FALSE))</f>
        <v>8.9108910891089105E-2</v>
      </c>
      <c r="H64" s="812">
        <f>VLOOKUP(A64,'2122 Band Moderations'!$B$5:$S$22,14,(FALSE))</f>
        <v>0.12871287128712872</v>
      </c>
      <c r="I64" s="812">
        <f>VLOOKUP(A64,'2122 Band Moderations'!$B$5:$S$22,16,(FALSE))</f>
        <v>9.9009900990099015E-2</v>
      </c>
      <c r="J64" s="812">
        <f>VLOOKUP(A64,'2122 Band Moderations'!$B$5:$S$22,18,(FALSE))</f>
        <v>0.10891089108910891</v>
      </c>
      <c r="K64" s="1012">
        <v>117</v>
      </c>
      <c r="L64" s="813">
        <f t="shared" si="8"/>
        <v>39752.795548037095</v>
      </c>
      <c r="M64" s="813">
        <f t="shared" si="11"/>
        <v>0</v>
      </c>
      <c r="N64" s="813">
        <f t="shared" si="9"/>
        <v>39752.795548037095</v>
      </c>
      <c r="O64" s="42"/>
      <c r="P64" s="42">
        <f t="shared" si="10"/>
        <v>0</v>
      </c>
      <c r="Q64" s="168"/>
      <c r="AT64" s="34"/>
      <c r="AU64" s="34"/>
      <c r="AX64" s="34"/>
      <c r="AY64" s="34"/>
      <c r="AZ64" s="34"/>
    </row>
    <row r="65" spans="1:52" x14ac:dyDescent="0.25">
      <c r="A65" s="131">
        <v>9257021</v>
      </c>
      <c r="B65" s="38" t="s">
        <v>78</v>
      </c>
      <c r="C65" s="781" t="s">
        <v>947</v>
      </c>
      <c r="D65" s="812">
        <f>VLOOKUP(A65,'2122 Band Moderations'!$B$5:$S$22,6,(FALSE))</f>
        <v>0.26829268292682928</v>
      </c>
      <c r="E65" s="812">
        <f>VLOOKUP(A65,'2122 Band Moderations'!$B$5:$S$22,8,(FALSE))</f>
        <v>0.42682926829268292</v>
      </c>
      <c r="F65" s="812">
        <f>VLOOKUP(A65,'2122 Band Moderations'!$B$5:$S$22,10,(FALSE))</f>
        <v>7.926829268292683E-2</v>
      </c>
      <c r="G65" s="812">
        <f>VLOOKUP(A65,'2122 Band Moderations'!$B$5:$S$22,12,(FALSE))</f>
        <v>6.7073170731707321E-2</v>
      </c>
      <c r="H65" s="812">
        <f>VLOOKUP(A65,'2122 Band Moderations'!$B$5:$S$22,14,(FALSE))</f>
        <v>5.4878048780487805E-2</v>
      </c>
      <c r="I65" s="812">
        <f>VLOOKUP(A65,'2122 Band Moderations'!$B$5:$S$22,16,(FALSE))</f>
        <v>9.1463414634146339E-2</v>
      </c>
      <c r="J65" s="812">
        <f>VLOOKUP(A65,'2122 Band Moderations'!$B$5:$S$22,18,(FALSE))</f>
        <v>1.2195121951219513E-2</v>
      </c>
      <c r="K65" s="1012">
        <v>169</v>
      </c>
      <c r="L65" s="813">
        <f t="shared" si="8"/>
        <v>59601.457900979716</v>
      </c>
      <c r="M65" s="813">
        <f t="shared" si="11"/>
        <v>0</v>
      </c>
      <c r="N65" s="813">
        <f t="shared" si="9"/>
        <v>59601.457900979716</v>
      </c>
      <c r="O65" s="42"/>
      <c r="P65" s="42">
        <f t="shared" si="10"/>
        <v>0</v>
      </c>
      <c r="Q65" s="168"/>
      <c r="AT65" s="34"/>
      <c r="AU65" s="34"/>
      <c r="AX65" s="34"/>
      <c r="AY65" s="34"/>
      <c r="AZ65" s="34"/>
    </row>
    <row r="66" spans="1:52" x14ac:dyDescent="0.25">
      <c r="A66" s="131">
        <v>9257015</v>
      </c>
      <c r="B66" s="38" t="s">
        <v>55</v>
      </c>
      <c r="C66" s="781" t="s">
        <v>948</v>
      </c>
      <c r="D66" s="812">
        <f>VLOOKUP(A66,'2122 Band Moderations'!$B$5:$S$22,6,(FALSE))</f>
        <v>0.33185840707964603</v>
      </c>
      <c r="E66" s="812">
        <f>VLOOKUP(A66,'2122 Band Moderations'!$B$5:$S$22,8,(FALSE))</f>
        <v>0.38495575221238937</v>
      </c>
      <c r="F66" s="812">
        <f>VLOOKUP(A66,'2122 Band Moderations'!$B$5:$S$22,10,(FALSE))</f>
        <v>1.7699115044247787E-2</v>
      </c>
      <c r="G66" s="812">
        <f>VLOOKUP(A66,'2122 Band Moderations'!$B$5:$S$22,12,(FALSE))</f>
        <v>8.8495575221238937E-2</v>
      </c>
      <c r="H66" s="812">
        <f>VLOOKUP(A66,'2122 Band Moderations'!$B$5:$S$22,14,(FALSE))</f>
        <v>2.2123893805309734E-2</v>
      </c>
      <c r="I66" s="812">
        <f>VLOOKUP(A66,'2122 Band Moderations'!$B$5:$S$22,16,(FALSE))</f>
        <v>0.1415929203539823</v>
      </c>
      <c r="J66" s="812">
        <f>VLOOKUP(A66,'2122 Band Moderations'!$B$5:$S$22,18,(FALSE))</f>
        <v>1.3274336283185841E-2</v>
      </c>
      <c r="K66" s="1012">
        <v>223</v>
      </c>
      <c r="L66" s="813">
        <f t="shared" si="8"/>
        <v>80083.476335465457</v>
      </c>
      <c r="M66" s="813">
        <f t="shared" si="11"/>
        <v>0</v>
      </c>
      <c r="N66" s="813">
        <f t="shared" si="9"/>
        <v>80083.476335465457</v>
      </c>
      <c r="O66" s="42"/>
      <c r="P66" s="42">
        <f t="shared" si="10"/>
        <v>0</v>
      </c>
      <c r="Q66" s="168"/>
      <c r="AT66" s="34"/>
      <c r="AU66" s="34"/>
      <c r="AX66" s="34"/>
      <c r="AY66" s="34"/>
      <c r="AZ66" s="34"/>
    </row>
    <row r="67" spans="1:52" x14ac:dyDescent="0.25">
      <c r="A67" s="131">
        <v>9257016</v>
      </c>
      <c r="B67" s="38" t="s">
        <v>80</v>
      </c>
      <c r="C67" s="781" t="s">
        <v>948</v>
      </c>
      <c r="D67" s="812">
        <f>VLOOKUP(A67,'2122 Band Moderations'!$B$5:$S$22,6,(FALSE))</f>
        <v>0.18012422360248448</v>
      </c>
      <c r="E67" s="812">
        <f>VLOOKUP(A67,'2122 Band Moderations'!$B$5:$S$22,8,(FALSE))</f>
        <v>0.15527950310559005</v>
      </c>
      <c r="F67" s="812">
        <f>VLOOKUP(A67,'2122 Band Moderations'!$B$5:$S$22,10,(FALSE))</f>
        <v>6.2111801242236021E-3</v>
      </c>
      <c r="G67" s="812">
        <f>VLOOKUP(A67,'2122 Band Moderations'!$B$5:$S$22,12,(FALSE))</f>
        <v>0.2236024844720497</v>
      </c>
      <c r="H67" s="812">
        <f>VLOOKUP(A67,'2122 Band Moderations'!$B$5:$S$22,14,(FALSE))</f>
        <v>0.21118012422360249</v>
      </c>
      <c r="I67" s="812">
        <f>VLOOKUP(A67,'2122 Band Moderations'!$B$5:$S$22,16,(FALSE))</f>
        <v>1.2422360248447204E-2</v>
      </c>
      <c r="J67" s="812">
        <f>VLOOKUP(A67,'2122 Band Moderations'!$B$5:$S$22,18,(FALSE))</f>
        <v>0.21118012422360249</v>
      </c>
      <c r="K67" s="1012">
        <v>105</v>
      </c>
      <c r="L67" s="813">
        <f t="shared" si="8"/>
        <v>31347.292376331508</v>
      </c>
      <c r="M67" s="813">
        <f t="shared" si="11"/>
        <v>0</v>
      </c>
      <c r="N67" s="813">
        <f t="shared" si="9"/>
        <v>31347.292376331508</v>
      </c>
      <c r="O67" s="628" t="s">
        <v>402</v>
      </c>
      <c r="P67" s="42">
        <f t="shared" si="10"/>
        <v>0</v>
      </c>
      <c r="Q67" s="168"/>
      <c r="AT67" s="34"/>
      <c r="AU67" s="34"/>
      <c r="AX67" s="34"/>
      <c r="AY67" s="34"/>
      <c r="AZ67" s="34"/>
    </row>
    <row r="68" spans="1:52" x14ac:dyDescent="0.25">
      <c r="B68" s="50"/>
      <c r="C68" s="50"/>
      <c r="F68" s="628" t="s">
        <v>402</v>
      </c>
      <c r="I68" s="34"/>
      <c r="J68" s="628" t="s">
        <v>402</v>
      </c>
      <c r="K68" s="1409"/>
      <c r="N68" s="628" t="s">
        <v>402</v>
      </c>
      <c r="AT68" s="34"/>
      <c r="AU68" s="34"/>
      <c r="AX68" s="34"/>
      <c r="AY68" s="34"/>
      <c r="AZ68" s="34"/>
    </row>
    <row r="69" spans="1:52" ht="13" x14ac:dyDescent="0.3">
      <c r="A69" s="230" t="s">
        <v>932</v>
      </c>
      <c r="B69" s="50"/>
      <c r="C69" s="50"/>
      <c r="I69" s="34"/>
      <c r="J69" s="34"/>
      <c r="K69" s="1409"/>
      <c r="L69" s="1409"/>
      <c r="AT69" s="34"/>
      <c r="AU69" s="34"/>
      <c r="AX69" s="34"/>
      <c r="AY69" s="34"/>
      <c r="AZ69" s="34"/>
    </row>
    <row r="70" spans="1:52" x14ac:dyDescent="0.25">
      <c r="B70" s="50"/>
      <c r="C70" s="50"/>
      <c r="I70" s="34"/>
      <c r="J70" s="34"/>
      <c r="K70" s="1409"/>
      <c r="L70" s="1409"/>
      <c r="AT70" s="34"/>
      <c r="AU70" s="34"/>
      <c r="AX70" s="34"/>
      <c r="AY70" s="34"/>
      <c r="AZ70" s="34"/>
    </row>
    <row r="71" spans="1:52" ht="37.5" x14ac:dyDescent="0.25">
      <c r="A71" s="183" t="s">
        <v>201</v>
      </c>
      <c r="B71" s="36" t="s">
        <v>66</v>
      </c>
      <c r="C71" s="39" t="s">
        <v>51</v>
      </c>
      <c r="D71" s="1412" t="s">
        <v>858</v>
      </c>
      <c r="E71" s="1412" t="s">
        <v>859</v>
      </c>
      <c r="F71" s="1412" t="s">
        <v>860</v>
      </c>
      <c r="G71" s="1412" t="s">
        <v>861</v>
      </c>
      <c r="H71" s="1412" t="s">
        <v>862</v>
      </c>
      <c r="I71" s="1412" t="s">
        <v>863</v>
      </c>
      <c r="J71" s="1412" t="s">
        <v>864</v>
      </c>
      <c r="K71" s="1414" t="s">
        <v>185</v>
      </c>
      <c r="L71" s="1414" t="s">
        <v>289</v>
      </c>
      <c r="M71" s="1414" t="s">
        <v>392</v>
      </c>
      <c r="N71" s="1414" t="s">
        <v>289</v>
      </c>
      <c r="O71" s="1414"/>
      <c r="P71" s="1414"/>
      <c r="Q71" s="252"/>
      <c r="AT71" s="34"/>
      <c r="AU71" s="34"/>
      <c r="AX71" s="34"/>
      <c r="AY71" s="34"/>
      <c r="AZ71" s="34"/>
    </row>
    <row r="72" spans="1:52" x14ac:dyDescent="0.25">
      <c r="A72" s="185">
        <v>9257010</v>
      </c>
      <c r="B72" s="38" t="s">
        <v>67</v>
      </c>
      <c r="C72" s="781">
        <v>5</v>
      </c>
      <c r="D72" s="812">
        <f>VLOOKUP(A72,'2122 Band Moderations'!$B$5:$S$22,6,(FALSE))</f>
        <v>1.5873015873015872E-2</v>
      </c>
      <c r="E72" s="812">
        <f>VLOOKUP(A72,'2122 Band Moderations'!$B$5:$S$22,8,(FALSE))</f>
        <v>0.31746031746031744</v>
      </c>
      <c r="F72" s="812">
        <f>VLOOKUP(A72,'2122 Band Moderations'!$B$5:$S$22,10,(FALSE))</f>
        <v>9.5238095238095233E-2</v>
      </c>
      <c r="G72" s="812">
        <f>VLOOKUP(A72,'2122 Band Moderations'!$B$5:$S$22,12,(FALSE))</f>
        <v>0.17460317460317459</v>
      </c>
      <c r="H72" s="812">
        <f>VLOOKUP(A72,'2122 Band Moderations'!$B$5:$S$22,14,(FALSE))</f>
        <v>6.3492063492063489E-2</v>
      </c>
      <c r="I72" s="812">
        <f>VLOOKUP(A72,'2122 Band Moderations'!$B$5:$S$22,16,(FALSE))</f>
        <v>0.19047619047619047</v>
      </c>
      <c r="J72" s="812">
        <f>VLOOKUP(A72,'2122 Band Moderations'!$B$5:$S$22,18,(FALSE))</f>
        <v>0.14285714285714285</v>
      </c>
      <c r="K72" s="1012">
        <v>10</v>
      </c>
      <c r="L72" s="813">
        <f>((((K72*D72)*$G$92)+((K72*E72)*$G$94)+((K72*F72)*$G$96)+((K72*G72)*$G$98)+((K72*H72)*$G$100)+((K72*I72)*$G$102)+((K72*J72)*$G$104)))*(8/12)</f>
        <v>4055.6678749955872</v>
      </c>
      <c r="M72" s="813">
        <f t="shared" ref="M72:M89" si="12">((F72*K72)*$G$106)*(8/12)</f>
        <v>0</v>
      </c>
      <c r="N72" s="813">
        <f>SUM(L72:M72)</f>
        <v>4055.6678749955872</v>
      </c>
      <c r="O72" s="80"/>
      <c r="P72" s="42">
        <f t="shared" ref="P72:P89" si="13">(J72*K72*$G$104)*8/12</f>
        <v>0</v>
      </c>
      <c r="Q72" s="168"/>
      <c r="R72" s="348"/>
      <c r="T72" s="626" t="s">
        <v>402</v>
      </c>
      <c r="U72" s="625" t="s">
        <v>594</v>
      </c>
      <c r="AT72" s="34"/>
      <c r="AU72" s="34"/>
      <c r="AX72" s="34"/>
      <c r="AY72" s="34"/>
      <c r="AZ72" s="34"/>
    </row>
    <row r="73" spans="1:52" x14ac:dyDescent="0.25">
      <c r="A73" s="185">
        <v>9257005</v>
      </c>
      <c r="B73" s="38" t="s">
        <v>68</v>
      </c>
      <c r="C73" s="781">
        <v>4</v>
      </c>
      <c r="D73" s="812">
        <f>VLOOKUP(A73,'2122 Band Moderations'!$B$5:$S$22,6,(FALSE))</f>
        <v>0.05</v>
      </c>
      <c r="E73" s="812">
        <f>VLOOKUP(A73,'2122 Band Moderations'!$B$5:$S$22,8,(FALSE))</f>
        <v>0.4</v>
      </c>
      <c r="F73" s="812">
        <f>VLOOKUP(A73,'2122 Band Moderations'!$B$5:$S$22,10,(FALSE))</f>
        <v>6.25E-2</v>
      </c>
      <c r="G73" s="812">
        <f>VLOOKUP(A73,'2122 Band Moderations'!$B$5:$S$22,12,(FALSE))</f>
        <v>0.15</v>
      </c>
      <c r="H73" s="812">
        <f>VLOOKUP(A73,'2122 Band Moderations'!$B$5:$S$22,14,(FALSE))</f>
        <v>0.125</v>
      </c>
      <c r="I73" s="812">
        <f>VLOOKUP(A73,'2122 Band Moderations'!$B$5:$S$22,16,(FALSE))</f>
        <v>0.15</v>
      </c>
      <c r="J73" s="812">
        <f>VLOOKUP(A73,'2122 Band Moderations'!$B$5:$S$22,18,(FALSE))</f>
        <v>6.25E-2</v>
      </c>
      <c r="K73" s="1012">
        <v>28</v>
      </c>
      <c r="L73" s="813">
        <f t="shared" ref="L73:L89" si="14">((((K73*D73)*$G$92)+((K73*E73)*$G$94)+((K73*F73)*$G$96)+((K73*G73)*$G$98)+((K73*H73)*$G$100)+((K73*I73)*$G$102)+((K73*J73)*$G$104)))*(8/12)</f>
        <v>11976.691281119436</v>
      </c>
      <c r="M73" s="813">
        <f t="shared" si="12"/>
        <v>0</v>
      </c>
      <c r="N73" s="813">
        <f>SUM(L73:M73)</f>
        <v>11976.691281119436</v>
      </c>
      <c r="O73" s="80"/>
      <c r="P73" s="42">
        <f t="shared" si="13"/>
        <v>0</v>
      </c>
      <c r="Q73" s="168"/>
      <c r="R73" s="348"/>
      <c r="AT73" s="34"/>
      <c r="AU73" s="34"/>
      <c r="AX73" s="34"/>
      <c r="AY73" s="34"/>
      <c r="AZ73" s="34"/>
    </row>
    <row r="74" spans="1:52" x14ac:dyDescent="0.25">
      <c r="A74" s="185">
        <v>9257025</v>
      </c>
      <c r="B74" s="38" t="s">
        <v>69</v>
      </c>
      <c r="C74" s="781">
        <v>4</v>
      </c>
      <c r="D74" s="812">
        <f>VLOOKUP(A74,'2122 Band Moderations'!$B$5:$S$22,6,(FALSE))</f>
        <v>0.15584415584415584</v>
      </c>
      <c r="E74" s="812">
        <f>VLOOKUP(A74,'2122 Band Moderations'!$B$5:$S$22,8,(FALSE))</f>
        <v>0.40259740259740262</v>
      </c>
      <c r="F74" s="812">
        <f>VLOOKUP(A74,'2122 Band Moderations'!$B$5:$S$22,10,(FALSE))</f>
        <v>3.896103896103896E-2</v>
      </c>
      <c r="G74" s="812">
        <f>VLOOKUP(A74,'2122 Band Moderations'!$B$5:$S$22,12,(FALSE))</f>
        <v>0.15584415584415584</v>
      </c>
      <c r="H74" s="812">
        <f>VLOOKUP(A74,'2122 Band Moderations'!$B$5:$S$22,14,(FALSE))</f>
        <v>5.1948051948051951E-2</v>
      </c>
      <c r="I74" s="812">
        <f>VLOOKUP(A74,'2122 Band Moderations'!$B$5:$S$22,16,(FALSE))</f>
        <v>0.14285714285714285</v>
      </c>
      <c r="J74" s="812">
        <f>VLOOKUP(A74,'2122 Band Moderations'!$B$5:$S$22,18,(FALSE))</f>
        <v>5.1948051948051951E-2</v>
      </c>
      <c r="K74" s="1012">
        <v>24</v>
      </c>
      <c r="L74" s="813">
        <f t="shared" si="14"/>
        <v>9997.8279989263974</v>
      </c>
      <c r="M74" s="813">
        <f t="shared" si="12"/>
        <v>0</v>
      </c>
      <c r="N74" s="813">
        <f t="shared" ref="N74:N89" si="15">SUM(L74:M74)</f>
        <v>9997.8279989263974</v>
      </c>
      <c r="O74" s="80"/>
      <c r="P74" s="42">
        <f t="shared" si="13"/>
        <v>0</v>
      </c>
      <c r="Q74" s="168"/>
      <c r="R74" s="348"/>
      <c r="AT74" s="34"/>
      <c r="AU74" s="34"/>
      <c r="AX74" s="34"/>
      <c r="AY74" s="34"/>
      <c r="AZ74" s="34"/>
    </row>
    <row r="75" spans="1:52" x14ac:dyDescent="0.25">
      <c r="A75" s="185">
        <v>9257011</v>
      </c>
      <c r="B75" s="38" t="s">
        <v>70</v>
      </c>
      <c r="C75" s="781" t="s">
        <v>1009</v>
      </c>
      <c r="D75" s="812">
        <f>VLOOKUP(A75,'2122 Band Moderations'!$B$5:$S$22,6,(FALSE))</f>
        <v>5.6603773584905662E-2</v>
      </c>
      <c r="E75" s="812">
        <f>VLOOKUP(A75,'2122 Band Moderations'!$B$5:$S$22,8,(FALSE))</f>
        <v>0.35849056603773582</v>
      </c>
      <c r="F75" s="812">
        <f>VLOOKUP(A75,'2122 Band Moderations'!$B$5:$S$22,10,(FALSE))</f>
        <v>1.8867924528301886E-2</v>
      </c>
      <c r="G75" s="812">
        <f>VLOOKUP(A75,'2122 Band Moderations'!$B$5:$S$22,12,(FALSE))</f>
        <v>0.16981132075471697</v>
      </c>
      <c r="H75" s="812">
        <f>VLOOKUP(A75,'2122 Band Moderations'!$B$5:$S$22,14,(FALSE))</f>
        <v>0.13207547169811321</v>
      </c>
      <c r="I75" s="812">
        <f>VLOOKUP(A75,'2122 Band Moderations'!$B$5:$S$22,16,(FALSE))</f>
        <v>0.15094339622641509</v>
      </c>
      <c r="J75" s="812">
        <f>VLOOKUP(A75,'2122 Band Moderations'!$B$5:$S$22,18,(FALSE))</f>
        <v>0.11320754716981132</v>
      </c>
      <c r="K75" s="1012">
        <v>8</v>
      </c>
      <c r="L75" s="813">
        <f t="shared" si="14"/>
        <v>3283.3495433542948</v>
      </c>
      <c r="M75" s="813">
        <f t="shared" si="12"/>
        <v>0</v>
      </c>
      <c r="N75" s="813">
        <f t="shared" si="15"/>
        <v>3283.3495433542948</v>
      </c>
      <c r="O75" s="80"/>
      <c r="P75" s="42">
        <f t="shared" si="13"/>
        <v>0</v>
      </c>
      <c r="Q75" s="168"/>
      <c r="R75" s="348"/>
      <c r="AT75" s="34"/>
      <c r="AU75" s="34"/>
      <c r="AX75" s="34"/>
      <c r="AY75" s="34"/>
      <c r="AZ75" s="34"/>
    </row>
    <row r="76" spans="1:52" x14ac:dyDescent="0.25">
      <c r="A76" s="185">
        <v>9257024</v>
      </c>
      <c r="B76" s="38" t="s">
        <v>71</v>
      </c>
      <c r="C76" s="781">
        <v>4</v>
      </c>
      <c r="D76" s="812">
        <f>VLOOKUP(A76,'2122 Band Moderations'!$B$5:$S$22,6,(FALSE))</f>
        <v>8.4337349397590355E-2</v>
      </c>
      <c r="E76" s="812">
        <f>VLOOKUP(A76,'2122 Band Moderations'!$B$5:$S$22,8,(FALSE))</f>
        <v>0.45783132530120479</v>
      </c>
      <c r="F76" s="812">
        <f>VLOOKUP(A76,'2122 Band Moderations'!$B$5:$S$22,10,(FALSE))</f>
        <v>1.2048192771084338E-2</v>
      </c>
      <c r="G76" s="812">
        <f>VLOOKUP(A76,'2122 Band Moderations'!$B$5:$S$22,12,(FALSE))</f>
        <v>0.18072289156626506</v>
      </c>
      <c r="H76" s="812">
        <f>VLOOKUP(A76,'2122 Band Moderations'!$B$5:$S$22,14,(FALSE))</f>
        <v>8.4337349397590355E-2</v>
      </c>
      <c r="I76" s="812">
        <f>VLOOKUP(A76,'2122 Band Moderations'!$B$5:$S$22,16,(FALSE))</f>
        <v>7.2289156626506021E-2</v>
      </c>
      <c r="J76" s="812">
        <f>VLOOKUP(A76,'2122 Band Moderations'!$B$5:$S$22,18,(FALSE))</f>
        <v>0.10843373493975904</v>
      </c>
      <c r="K76" s="1012">
        <v>13</v>
      </c>
      <c r="L76" s="813">
        <f t="shared" si="14"/>
        <v>5024.0089492597008</v>
      </c>
      <c r="M76" s="813">
        <f t="shared" si="12"/>
        <v>0</v>
      </c>
      <c r="N76" s="813">
        <f t="shared" si="15"/>
        <v>5024.0089492597008</v>
      </c>
      <c r="O76" s="80"/>
      <c r="P76" s="42">
        <f t="shared" si="13"/>
        <v>0</v>
      </c>
      <c r="Q76" s="168"/>
      <c r="R76" s="348"/>
      <c r="AT76" s="34"/>
      <c r="AU76" s="34"/>
      <c r="AX76" s="34"/>
      <c r="AY76" s="34"/>
      <c r="AZ76" s="34"/>
    </row>
    <row r="77" spans="1:52" x14ac:dyDescent="0.25">
      <c r="A77" s="185">
        <v>9257031</v>
      </c>
      <c r="B77" s="38" t="s">
        <v>98</v>
      </c>
      <c r="C77" s="781">
        <v>5</v>
      </c>
      <c r="D77" s="812">
        <f>VLOOKUP(A77,'2122 Band Moderations'!$B$5:$S$22,6,(FALSE))</f>
        <v>0</v>
      </c>
      <c r="E77" s="812">
        <f>VLOOKUP(A77,'2122 Band Moderations'!$B$5:$S$22,8,(FALSE))</f>
        <v>0</v>
      </c>
      <c r="F77" s="812">
        <f>VLOOKUP(A77,'2122 Band Moderations'!$B$5:$S$22,10,(FALSE))</f>
        <v>1</v>
      </c>
      <c r="G77" s="812">
        <f>VLOOKUP(A77,'2122 Band Moderations'!$B$5:$S$22,12,(FALSE))</f>
        <v>0</v>
      </c>
      <c r="H77" s="812">
        <f>VLOOKUP(A77,'2122 Band Moderations'!$B$5:$S$22,14,(FALSE))</f>
        <v>0</v>
      </c>
      <c r="I77" s="812">
        <f>VLOOKUP(A77,'2122 Band Moderations'!$B$5:$S$22,16,(FALSE))</f>
        <v>0</v>
      </c>
      <c r="J77" s="812">
        <f>VLOOKUP(A77,'2122 Band Moderations'!$B$5:$S$22,18,(FALSE))</f>
        <v>0</v>
      </c>
      <c r="K77" s="1012">
        <v>0</v>
      </c>
      <c r="L77" s="813">
        <f t="shared" si="14"/>
        <v>0</v>
      </c>
      <c r="M77" s="813">
        <f t="shared" si="12"/>
        <v>0</v>
      </c>
      <c r="N77" s="813">
        <f t="shared" si="15"/>
        <v>0</v>
      </c>
      <c r="O77" s="80"/>
      <c r="P77" s="42">
        <f t="shared" si="13"/>
        <v>0</v>
      </c>
      <c r="Q77" s="168"/>
      <c r="R77" s="348"/>
      <c r="AT77" s="34"/>
      <c r="AU77" s="34"/>
      <c r="AX77" s="34"/>
      <c r="AY77" s="34"/>
      <c r="AZ77" s="34"/>
    </row>
    <row r="78" spans="1:52" x14ac:dyDescent="0.25">
      <c r="A78" s="185">
        <v>9257033</v>
      </c>
      <c r="B78" s="38" t="s">
        <v>72</v>
      </c>
      <c r="C78" s="781" t="s">
        <v>946</v>
      </c>
      <c r="D78" s="812">
        <f>VLOOKUP(A78,'2122 Band Moderations'!$B$5:$S$22,6,(FALSE))</f>
        <v>0.16842105263157894</v>
      </c>
      <c r="E78" s="812">
        <f>VLOOKUP(A78,'2122 Band Moderations'!$B$5:$S$22,8,(FALSE))</f>
        <v>0.5368421052631579</v>
      </c>
      <c r="F78" s="812">
        <f>VLOOKUP(A78,'2122 Band Moderations'!$B$5:$S$22,10,(FALSE))</f>
        <v>6.3157894736842107E-2</v>
      </c>
      <c r="G78" s="812">
        <f>VLOOKUP(A78,'2122 Band Moderations'!$B$5:$S$22,12,(FALSE))</f>
        <v>0.14736842105263157</v>
      </c>
      <c r="H78" s="812">
        <f>VLOOKUP(A78,'2122 Band Moderations'!$B$5:$S$22,14,(FALSE))</f>
        <v>4.2105263157894736E-2</v>
      </c>
      <c r="I78" s="812">
        <f>VLOOKUP(A78,'2122 Band Moderations'!$B$5:$S$22,16,(FALSE))</f>
        <v>4.2105263157894736E-2</v>
      </c>
      <c r="J78" s="812">
        <f>VLOOKUP(A78,'2122 Band Moderations'!$B$5:$S$22,18,(FALSE))</f>
        <v>0</v>
      </c>
      <c r="K78" s="1012">
        <v>0</v>
      </c>
      <c r="L78" s="813">
        <f t="shared" si="14"/>
        <v>0</v>
      </c>
      <c r="M78" s="813">
        <f t="shared" si="12"/>
        <v>0</v>
      </c>
      <c r="N78" s="813">
        <f t="shared" si="15"/>
        <v>0</v>
      </c>
      <c r="O78" s="80"/>
      <c r="P78" s="42">
        <f t="shared" si="13"/>
        <v>0</v>
      </c>
      <c r="Q78" s="168"/>
      <c r="R78" s="348"/>
      <c r="AT78" s="34"/>
      <c r="AU78" s="34"/>
      <c r="AX78" s="34"/>
      <c r="AY78" s="34"/>
      <c r="AZ78" s="34"/>
    </row>
    <row r="79" spans="1:52" x14ac:dyDescent="0.25">
      <c r="A79" s="185">
        <v>9257008</v>
      </c>
      <c r="B79" s="38" t="s">
        <v>73</v>
      </c>
      <c r="C79" s="781">
        <v>4</v>
      </c>
      <c r="D79" s="812">
        <f>VLOOKUP(A79,'2122 Band Moderations'!$B$5:$S$22,6,(FALSE))</f>
        <v>0.10101010101010101</v>
      </c>
      <c r="E79" s="812">
        <f>VLOOKUP(A79,'2122 Band Moderations'!$B$5:$S$22,8,(FALSE))</f>
        <v>0.58585858585858586</v>
      </c>
      <c r="F79" s="812">
        <f>VLOOKUP(A79,'2122 Band Moderations'!$B$5:$S$22,10,(FALSE))</f>
        <v>8.0808080808080815E-2</v>
      </c>
      <c r="G79" s="812">
        <f>VLOOKUP(A79,'2122 Band Moderations'!$B$5:$S$22,12,(FALSE))</f>
        <v>9.0909090909090912E-2</v>
      </c>
      <c r="H79" s="812">
        <f>VLOOKUP(A79,'2122 Band Moderations'!$B$5:$S$22,14,(FALSE))</f>
        <v>1.0101010101010102E-2</v>
      </c>
      <c r="I79" s="812">
        <f>VLOOKUP(A79,'2122 Band Moderations'!$B$5:$S$22,16,(FALSE))</f>
        <v>0.12121212121212122</v>
      </c>
      <c r="J79" s="812">
        <f>VLOOKUP(A79,'2122 Band Moderations'!$B$5:$S$22,18,(FALSE))</f>
        <v>1.0101010101010102E-2</v>
      </c>
      <c r="K79" s="1012">
        <v>0</v>
      </c>
      <c r="L79" s="813">
        <f t="shared" si="14"/>
        <v>0</v>
      </c>
      <c r="M79" s="813">
        <f t="shared" si="12"/>
        <v>0</v>
      </c>
      <c r="N79" s="813">
        <f t="shared" si="15"/>
        <v>0</v>
      </c>
      <c r="O79" s="80"/>
      <c r="P79" s="42">
        <f t="shared" si="13"/>
        <v>0</v>
      </c>
      <c r="Q79" s="168"/>
      <c r="R79" s="348"/>
      <c r="AT79" s="34"/>
      <c r="AU79" s="34"/>
      <c r="AX79" s="34"/>
      <c r="AY79" s="34"/>
      <c r="AZ79" s="34"/>
    </row>
    <row r="80" spans="1:52" x14ac:dyDescent="0.25">
      <c r="A80" s="185">
        <v>9257034</v>
      </c>
      <c r="B80" s="38" t="s">
        <v>74</v>
      </c>
      <c r="C80" s="781" t="s">
        <v>946</v>
      </c>
      <c r="D80" s="812">
        <f>VLOOKUP(A80,'2122 Band Moderations'!$B$5:$S$22,6,(FALSE))</f>
        <v>0.42424242424242425</v>
      </c>
      <c r="E80" s="812">
        <f>VLOOKUP(A80,'2122 Band Moderations'!$B$5:$S$22,8,(FALSE))</f>
        <v>0.29292929292929293</v>
      </c>
      <c r="F80" s="812">
        <f>VLOOKUP(A80,'2122 Band Moderations'!$B$5:$S$22,10,(FALSE))</f>
        <v>0.14141414141414141</v>
      </c>
      <c r="G80" s="812">
        <f>VLOOKUP(A80,'2122 Band Moderations'!$B$5:$S$22,12,(FALSE))</f>
        <v>3.0303030303030304E-2</v>
      </c>
      <c r="H80" s="812">
        <f>VLOOKUP(A80,'2122 Band Moderations'!$B$5:$S$22,14,(FALSE))</f>
        <v>4.0404040404040407E-2</v>
      </c>
      <c r="I80" s="812">
        <f>VLOOKUP(A80,'2122 Band Moderations'!$B$5:$S$22,16,(FALSE))</f>
        <v>6.0606060606060608E-2</v>
      </c>
      <c r="J80" s="812">
        <f>VLOOKUP(A80,'2122 Band Moderations'!$B$5:$S$22,18,(FALSE))</f>
        <v>1.0101010101010102E-2</v>
      </c>
      <c r="K80" s="1012">
        <v>32</v>
      </c>
      <c r="L80" s="813">
        <f t="shared" si="14"/>
        <v>12183.587966303021</v>
      </c>
      <c r="M80" s="813">
        <f t="shared" si="12"/>
        <v>0</v>
      </c>
      <c r="N80" s="813">
        <f t="shared" si="15"/>
        <v>12183.587966303021</v>
      </c>
      <c r="O80" s="80"/>
      <c r="P80" s="42">
        <f t="shared" si="13"/>
        <v>0</v>
      </c>
      <c r="Q80" s="168"/>
      <c r="R80" s="348"/>
      <c r="AT80" s="34"/>
      <c r="AU80" s="34"/>
      <c r="AX80" s="34"/>
      <c r="AY80" s="34"/>
      <c r="AZ80" s="34"/>
    </row>
    <row r="81" spans="1:52" x14ac:dyDescent="0.25">
      <c r="A81" s="185">
        <v>9257002</v>
      </c>
      <c r="B81" s="38" t="s">
        <v>75</v>
      </c>
      <c r="C81" s="781">
        <v>5</v>
      </c>
      <c r="D81" s="812">
        <f>VLOOKUP(A81,'2122 Band Moderations'!$B$5:$S$22,6,(FALSE))</f>
        <v>0.3546099290780142</v>
      </c>
      <c r="E81" s="812">
        <f>VLOOKUP(A81,'2122 Band Moderations'!$B$5:$S$22,8,(FALSE))</f>
        <v>0.38297872340425532</v>
      </c>
      <c r="F81" s="812">
        <f>VLOOKUP(A81,'2122 Band Moderations'!$B$5:$S$22,10,(FALSE))</f>
        <v>0.1276595744680851</v>
      </c>
      <c r="G81" s="812">
        <f>VLOOKUP(A81,'2122 Band Moderations'!$B$5:$S$22,12,(FALSE))</f>
        <v>2.8368794326241134E-2</v>
      </c>
      <c r="H81" s="812">
        <f>VLOOKUP(A81,'2122 Band Moderations'!$B$5:$S$22,14,(FALSE))</f>
        <v>2.1276595744680851E-2</v>
      </c>
      <c r="I81" s="812">
        <f>VLOOKUP(A81,'2122 Band Moderations'!$B$5:$S$22,16,(FALSE))</f>
        <v>7.8014184397163122E-2</v>
      </c>
      <c r="J81" s="812">
        <f>VLOOKUP(A81,'2122 Band Moderations'!$B$5:$S$22,18,(FALSE))</f>
        <v>7.0921985815602835E-3</v>
      </c>
      <c r="K81" s="1012">
        <v>0</v>
      </c>
      <c r="L81" s="813">
        <f t="shared" si="14"/>
        <v>0</v>
      </c>
      <c r="M81" s="813">
        <f t="shared" si="12"/>
        <v>0</v>
      </c>
      <c r="N81" s="813">
        <f t="shared" si="15"/>
        <v>0</v>
      </c>
      <c r="O81" s="80"/>
      <c r="P81" s="42">
        <f t="shared" si="13"/>
        <v>0</v>
      </c>
      <c r="Q81" s="168"/>
      <c r="R81" s="348"/>
      <c r="AT81" s="34"/>
      <c r="AU81" s="34"/>
      <c r="AX81" s="34"/>
      <c r="AY81" s="34"/>
      <c r="AZ81" s="34"/>
    </row>
    <row r="82" spans="1:52" x14ac:dyDescent="0.25">
      <c r="A82" s="185">
        <v>9257009</v>
      </c>
      <c r="B82" s="38" t="s">
        <v>76</v>
      </c>
      <c r="C82" s="781" t="s">
        <v>946</v>
      </c>
      <c r="D82" s="812">
        <f>VLOOKUP(A82,'2122 Band Moderations'!$B$5:$S$22,6,(FALSE))</f>
        <v>0.24</v>
      </c>
      <c r="E82" s="812">
        <f>VLOOKUP(A82,'2122 Band Moderations'!$B$5:$S$22,8,(FALSE))</f>
        <v>0.58399999999999996</v>
      </c>
      <c r="F82" s="812">
        <f>VLOOKUP(A82,'2122 Band Moderations'!$B$5:$S$22,10,(FALSE))</f>
        <v>7.1999999999999995E-2</v>
      </c>
      <c r="G82" s="812">
        <f>VLOOKUP(A82,'2122 Band Moderations'!$B$5:$S$22,12,(FALSE))</f>
        <v>1.6E-2</v>
      </c>
      <c r="H82" s="812">
        <f>VLOOKUP(A82,'2122 Band Moderations'!$B$5:$S$22,14,(FALSE))</f>
        <v>8.0000000000000002E-3</v>
      </c>
      <c r="I82" s="812">
        <f>VLOOKUP(A82,'2122 Band Moderations'!$B$5:$S$22,16,(FALSE))</f>
        <v>0.08</v>
      </c>
      <c r="J82" s="812">
        <f>VLOOKUP(A82,'2122 Band Moderations'!$B$5:$S$22,18,(FALSE))</f>
        <v>0</v>
      </c>
      <c r="K82" s="1012">
        <v>0</v>
      </c>
      <c r="L82" s="813">
        <f t="shared" si="14"/>
        <v>0</v>
      </c>
      <c r="M82" s="813">
        <f t="shared" si="12"/>
        <v>0</v>
      </c>
      <c r="N82" s="813">
        <f t="shared" si="15"/>
        <v>0</v>
      </c>
      <c r="O82" s="80"/>
      <c r="P82" s="42">
        <f t="shared" si="13"/>
        <v>0</v>
      </c>
      <c r="Q82" s="168"/>
      <c r="R82" s="348"/>
      <c r="AT82" s="34"/>
      <c r="AU82" s="34"/>
      <c r="AX82" s="34"/>
      <c r="AY82" s="34"/>
      <c r="AZ82" s="34"/>
    </row>
    <row r="83" spans="1:52" x14ac:dyDescent="0.25">
      <c r="A83" s="185">
        <v>9257029</v>
      </c>
      <c r="B83" s="915" t="s">
        <v>848</v>
      </c>
      <c r="C83" s="781" t="s">
        <v>949</v>
      </c>
      <c r="D83" s="812">
        <f>VLOOKUP(A83,'2122 Band Moderations'!$B$5:$S$22,6,(FALSE))</f>
        <v>0</v>
      </c>
      <c r="E83" s="812">
        <f>VLOOKUP(A83,'2122 Band Moderations'!$B$5:$S$22,8,(FALSE))</f>
        <v>0</v>
      </c>
      <c r="F83" s="812">
        <f>VLOOKUP(A83,'2122 Band Moderations'!$B$5:$S$22,10,(FALSE))</f>
        <v>1</v>
      </c>
      <c r="G83" s="812">
        <f>VLOOKUP(A83,'2122 Band Moderations'!$B$5:$S$22,12,(FALSE))</f>
        <v>0</v>
      </c>
      <c r="H83" s="812">
        <f>VLOOKUP(A83,'2122 Band Moderations'!$B$5:$S$22,14,(FALSE))</f>
        <v>0</v>
      </c>
      <c r="I83" s="812">
        <f>VLOOKUP(A83,'2122 Band Moderations'!$B$5:$S$22,16,(FALSE))</f>
        <v>0</v>
      </c>
      <c r="J83" s="812">
        <f>VLOOKUP(A83,'2122 Band Moderations'!$B$5:$S$22,18,(FALSE))</f>
        <v>0</v>
      </c>
      <c r="K83" s="1012">
        <v>0</v>
      </c>
      <c r="L83" s="813">
        <f t="shared" si="14"/>
        <v>0</v>
      </c>
      <c r="M83" s="813">
        <f t="shared" si="12"/>
        <v>0</v>
      </c>
      <c r="N83" s="813">
        <f t="shared" si="15"/>
        <v>0</v>
      </c>
      <c r="O83" s="80"/>
      <c r="P83" s="42">
        <f t="shared" si="13"/>
        <v>0</v>
      </c>
      <c r="Q83" s="168"/>
      <c r="R83" s="348"/>
      <c r="AT83" s="34"/>
      <c r="AU83" s="34"/>
      <c r="AX83" s="34"/>
      <c r="AY83" s="34"/>
      <c r="AZ83" s="34"/>
    </row>
    <row r="84" spans="1:52" x14ac:dyDescent="0.25">
      <c r="A84" s="185">
        <v>9257032</v>
      </c>
      <c r="B84" s="915" t="s">
        <v>934</v>
      </c>
      <c r="C84" s="781" t="s">
        <v>949</v>
      </c>
      <c r="D84" s="812">
        <f>VLOOKUP(A84,'2122 Band Moderations'!$B$5:$S$22,6,(FALSE))</f>
        <v>0</v>
      </c>
      <c r="E84" s="812">
        <f>VLOOKUP(A84,'2122 Band Moderations'!$B$5:$S$22,8,(FALSE))</f>
        <v>0</v>
      </c>
      <c r="F84" s="812">
        <f>VLOOKUP(A84,'2122 Band Moderations'!$B$5:$S$22,10,(FALSE))</f>
        <v>1</v>
      </c>
      <c r="G84" s="812">
        <f>VLOOKUP(A84,'2122 Band Moderations'!$B$5:$S$22,12,(FALSE))</f>
        <v>0</v>
      </c>
      <c r="H84" s="812">
        <f>VLOOKUP(A84,'2122 Band Moderations'!$B$5:$S$22,14,(FALSE))</f>
        <v>0</v>
      </c>
      <c r="I84" s="812">
        <f>VLOOKUP(A84,'2122 Band Moderations'!$B$5:$S$22,16,(FALSE))</f>
        <v>0</v>
      </c>
      <c r="J84" s="812">
        <f>VLOOKUP(A84,'2122 Band Moderations'!$B$5:$S$22,18,(FALSE))</f>
        <v>0</v>
      </c>
      <c r="K84" s="1012">
        <v>0</v>
      </c>
      <c r="L84" s="813">
        <f t="shared" si="14"/>
        <v>0</v>
      </c>
      <c r="M84" s="813">
        <f t="shared" si="12"/>
        <v>0</v>
      </c>
      <c r="N84" s="813">
        <f t="shared" si="15"/>
        <v>0</v>
      </c>
      <c r="O84" s="80"/>
      <c r="P84" s="42">
        <f t="shared" si="13"/>
        <v>0</v>
      </c>
      <c r="Q84" s="168"/>
      <c r="R84" s="348"/>
      <c r="AT84" s="34"/>
      <c r="AU84" s="34"/>
      <c r="AX84" s="34"/>
      <c r="AY84" s="34"/>
      <c r="AZ84" s="34"/>
    </row>
    <row r="85" spans="1:52" x14ac:dyDescent="0.25">
      <c r="A85" s="185">
        <v>9257030</v>
      </c>
      <c r="B85" s="915" t="s">
        <v>933</v>
      </c>
      <c r="C85" s="781" t="s">
        <v>949</v>
      </c>
      <c r="D85" s="812">
        <f>VLOOKUP(A85,'2122 Band Moderations'!$B$5:$S$22,6,(FALSE))</f>
        <v>0</v>
      </c>
      <c r="E85" s="812">
        <f>VLOOKUP(A85,'2122 Band Moderations'!$B$5:$S$22,8,(FALSE))</f>
        <v>0</v>
      </c>
      <c r="F85" s="812">
        <f>VLOOKUP(A85,'2122 Band Moderations'!$B$5:$S$22,10,(FALSE))</f>
        <v>1</v>
      </c>
      <c r="G85" s="812">
        <f>VLOOKUP(A85,'2122 Band Moderations'!$B$5:$S$22,12,(FALSE))</f>
        <v>0</v>
      </c>
      <c r="H85" s="812">
        <f>VLOOKUP(A85,'2122 Band Moderations'!$B$5:$S$22,14,(FALSE))</f>
        <v>0</v>
      </c>
      <c r="I85" s="812">
        <f>VLOOKUP(A85,'2122 Band Moderations'!$B$5:$S$22,16,(FALSE))</f>
        <v>0</v>
      </c>
      <c r="J85" s="812">
        <f>VLOOKUP(A85,'2122 Band Moderations'!$B$5:$S$22,18,(FALSE))</f>
        <v>0</v>
      </c>
      <c r="K85" s="1012">
        <v>0</v>
      </c>
      <c r="L85" s="813">
        <f t="shared" si="14"/>
        <v>0</v>
      </c>
      <c r="M85" s="813">
        <f t="shared" si="12"/>
        <v>0</v>
      </c>
      <c r="N85" s="813">
        <f t="shared" si="15"/>
        <v>0</v>
      </c>
      <c r="O85" s="80"/>
      <c r="P85" s="42">
        <f t="shared" si="13"/>
        <v>0</v>
      </c>
      <c r="Q85" s="168"/>
      <c r="R85" s="348"/>
      <c r="AT85" s="34"/>
      <c r="AU85" s="34"/>
      <c r="AX85" s="34"/>
      <c r="AY85" s="34"/>
      <c r="AZ85" s="34"/>
    </row>
    <row r="86" spans="1:52" x14ac:dyDescent="0.25">
      <c r="A86" s="185">
        <v>9257028</v>
      </c>
      <c r="B86" s="38" t="s">
        <v>77</v>
      </c>
      <c r="C86" s="781">
        <v>5</v>
      </c>
      <c r="D86" s="812">
        <f>VLOOKUP(A86,'2122 Band Moderations'!$B$5:$S$22,6,(FALSE))</f>
        <v>8.9108910891089105E-2</v>
      </c>
      <c r="E86" s="812">
        <f>VLOOKUP(A86,'2122 Band Moderations'!$B$5:$S$22,8,(FALSE))</f>
        <v>0.40594059405940597</v>
      </c>
      <c r="F86" s="812">
        <f>VLOOKUP(A86,'2122 Band Moderations'!$B$5:$S$22,10,(FALSE))</f>
        <v>7.9207920792079209E-2</v>
      </c>
      <c r="G86" s="812">
        <f>VLOOKUP(A86,'2122 Band Moderations'!$B$5:$S$22,12,(FALSE))</f>
        <v>8.9108910891089105E-2</v>
      </c>
      <c r="H86" s="812">
        <f>VLOOKUP(A86,'2122 Band Moderations'!$B$5:$S$22,14,(FALSE))</f>
        <v>0.12871287128712872</v>
      </c>
      <c r="I86" s="812">
        <f>VLOOKUP(A86,'2122 Band Moderations'!$B$5:$S$22,16,(FALSE))</f>
        <v>9.9009900990099015E-2</v>
      </c>
      <c r="J86" s="812">
        <f>VLOOKUP(A86,'2122 Band Moderations'!$B$5:$S$22,18,(FALSE))</f>
        <v>0.10891089108910891</v>
      </c>
      <c r="K86" s="1012">
        <v>5</v>
      </c>
      <c r="L86" s="813">
        <f t="shared" si="14"/>
        <v>1941.5284760946079</v>
      </c>
      <c r="M86" s="813">
        <f t="shared" si="12"/>
        <v>0</v>
      </c>
      <c r="N86" s="813">
        <f t="shared" si="15"/>
        <v>1941.5284760946079</v>
      </c>
      <c r="O86" s="80"/>
      <c r="P86" s="42">
        <f t="shared" si="13"/>
        <v>0</v>
      </c>
      <c r="Q86" s="168"/>
      <c r="R86" s="348"/>
      <c r="AT86" s="34"/>
      <c r="AU86" s="34"/>
      <c r="AX86" s="34"/>
      <c r="AY86" s="34"/>
      <c r="AZ86" s="34"/>
    </row>
    <row r="87" spans="1:52" x14ac:dyDescent="0.25">
      <c r="A87" s="185">
        <v>9257021</v>
      </c>
      <c r="B87" s="38" t="s">
        <v>78</v>
      </c>
      <c r="C87" s="781" t="s">
        <v>947</v>
      </c>
      <c r="D87" s="812">
        <f>VLOOKUP(A87,'2122 Band Moderations'!$B$5:$S$22,6,(FALSE))</f>
        <v>0.26829268292682928</v>
      </c>
      <c r="E87" s="812">
        <f>VLOOKUP(A87,'2122 Band Moderations'!$B$5:$S$22,8,(FALSE))</f>
        <v>0.42682926829268292</v>
      </c>
      <c r="F87" s="812">
        <f>VLOOKUP(A87,'2122 Band Moderations'!$B$5:$S$22,10,(FALSE))</f>
        <v>7.926829268292683E-2</v>
      </c>
      <c r="G87" s="812">
        <f>VLOOKUP(A87,'2122 Band Moderations'!$B$5:$S$22,12,(FALSE))</f>
        <v>6.7073170731707321E-2</v>
      </c>
      <c r="H87" s="812">
        <f>VLOOKUP(A87,'2122 Band Moderations'!$B$5:$S$22,14,(FALSE))</f>
        <v>5.4878048780487805E-2</v>
      </c>
      <c r="I87" s="812">
        <f>VLOOKUP(A87,'2122 Band Moderations'!$B$5:$S$22,16,(FALSE))</f>
        <v>9.1463414634146339E-2</v>
      </c>
      <c r="J87" s="812">
        <f>VLOOKUP(A87,'2122 Band Moderations'!$B$5:$S$22,18,(FALSE))</f>
        <v>1.2195121951219513E-2</v>
      </c>
      <c r="K87" s="1012">
        <v>0</v>
      </c>
      <c r="L87" s="813">
        <f t="shared" si="14"/>
        <v>0</v>
      </c>
      <c r="M87" s="813">
        <f t="shared" si="12"/>
        <v>0</v>
      </c>
      <c r="N87" s="813">
        <f t="shared" si="15"/>
        <v>0</v>
      </c>
      <c r="O87" s="80"/>
      <c r="P87" s="42">
        <f t="shared" si="13"/>
        <v>0</v>
      </c>
      <c r="Q87" s="168"/>
      <c r="R87" s="348"/>
      <c r="AT87" s="34"/>
      <c r="AU87" s="34"/>
      <c r="AX87" s="34"/>
      <c r="AY87" s="34"/>
      <c r="AZ87" s="34"/>
    </row>
    <row r="88" spans="1:52" x14ac:dyDescent="0.25">
      <c r="A88" s="185">
        <v>9257015</v>
      </c>
      <c r="B88" s="38" t="s">
        <v>55</v>
      </c>
      <c r="C88" s="781" t="s">
        <v>948</v>
      </c>
      <c r="D88" s="812">
        <f>VLOOKUP(A88,'2122 Band Moderations'!$B$5:$S$22,6,(FALSE))</f>
        <v>0.33185840707964603</v>
      </c>
      <c r="E88" s="812">
        <f>VLOOKUP(A88,'2122 Band Moderations'!$B$5:$S$22,8,(FALSE))</f>
        <v>0.38495575221238937</v>
      </c>
      <c r="F88" s="812">
        <f>VLOOKUP(A88,'2122 Band Moderations'!$B$5:$S$22,10,(FALSE))</f>
        <v>1.7699115044247787E-2</v>
      </c>
      <c r="G88" s="812">
        <f>VLOOKUP(A88,'2122 Band Moderations'!$B$5:$S$22,12,(FALSE))</f>
        <v>8.8495575221238937E-2</v>
      </c>
      <c r="H88" s="812">
        <f>VLOOKUP(A88,'2122 Band Moderations'!$B$5:$S$22,14,(FALSE))</f>
        <v>2.2123893805309734E-2</v>
      </c>
      <c r="I88" s="812">
        <f>VLOOKUP(A88,'2122 Band Moderations'!$B$5:$S$22,16,(FALSE))</f>
        <v>0.1415929203539823</v>
      </c>
      <c r="J88" s="812">
        <f>VLOOKUP(A88,'2122 Band Moderations'!$B$5:$S$22,18,(FALSE))</f>
        <v>1.3274336283185841E-2</v>
      </c>
      <c r="K88" s="1012">
        <v>3</v>
      </c>
      <c r="L88" s="813">
        <f t="shared" si="14"/>
        <v>1231.2642101544975</v>
      </c>
      <c r="M88" s="813">
        <f t="shared" si="12"/>
        <v>0</v>
      </c>
      <c r="N88" s="813">
        <f t="shared" si="15"/>
        <v>1231.2642101544975</v>
      </c>
      <c r="O88" s="80"/>
      <c r="P88" s="42">
        <f t="shared" si="13"/>
        <v>0</v>
      </c>
      <c r="Q88" s="168"/>
      <c r="R88" s="348"/>
      <c r="AT88" s="34"/>
      <c r="AU88" s="34"/>
      <c r="AX88" s="34"/>
      <c r="AY88" s="34"/>
      <c r="AZ88" s="34"/>
    </row>
    <row r="89" spans="1:52" x14ac:dyDescent="0.25">
      <c r="A89" s="185">
        <v>9257016</v>
      </c>
      <c r="B89" s="38" t="s">
        <v>80</v>
      </c>
      <c r="C89" s="781" t="s">
        <v>948</v>
      </c>
      <c r="D89" s="812">
        <f>VLOOKUP(A89,'2122 Band Moderations'!$B$5:$S$22,6,(FALSE))</f>
        <v>0.18012422360248448</v>
      </c>
      <c r="E89" s="812">
        <f>VLOOKUP(A89,'2122 Band Moderations'!$B$5:$S$22,8,(FALSE))</f>
        <v>0.15527950310559005</v>
      </c>
      <c r="F89" s="812">
        <f>VLOOKUP(A89,'2122 Band Moderations'!$B$5:$S$22,10,(FALSE))</f>
        <v>6.2111801242236021E-3</v>
      </c>
      <c r="G89" s="812">
        <f>VLOOKUP(A89,'2122 Band Moderations'!$B$5:$S$22,12,(FALSE))</f>
        <v>0.2236024844720497</v>
      </c>
      <c r="H89" s="812">
        <f>VLOOKUP(A89,'2122 Band Moderations'!$B$5:$S$22,14,(FALSE))</f>
        <v>0.21118012422360249</v>
      </c>
      <c r="I89" s="812">
        <f>VLOOKUP(A89,'2122 Band Moderations'!$B$5:$S$22,16,(FALSE))</f>
        <v>1.2422360248447204E-2</v>
      </c>
      <c r="J89" s="812">
        <f>VLOOKUP(A89,'2122 Band Moderations'!$B$5:$S$22,18,(FALSE))</f>
        <v>0.21118012422360249</v>
      </c>
      <c r="K89" s="1012">
        <v>59</v>
      </c>
      <c r="L89" s="813">
        <f t="shared" si="14"/>
        <v>20130.506124664586</v>
      </c>
      <c r="M89" s="813">
        <f t="shared" si="12"/>
        <v>0</v>
      </c>
      <c r="N89" s="813">
        <f t="shared" si="15"/>
        <v>20130.506124664586</v>
      </c>
      <c r="O89" s="628" t="s">
        <v>402</v>
      </c>
      <c r="P89" s="42">
        <f t="shared" si="13"/>
        <v>0</v>
      </c>
      <c r="Q89" s="168"/>
      <c r="R89" s="348"/>
      <c r="AT89" s="34"/>
      <c r="AU89" s="34"/>
      <c r="AX89" s="34"/>
      <c r="AY89" s="34"/>
      <c r="AZ89" s="34"/>
    </row>
    <row r="90" spans="1:52" x14ac:dyDescent="0.25">
      <c r="B90" s="50"/>
      <c r="C90" s="50"/>
      <c r="F90" s="628" t="s">
        <v>402</v>
      </c>
      <c r="H90" s="1409"/>
      <c r="I90" s="628" t="s">
        <v>402</v>
      </c>
      <c r="J90" s="34"/>
      <c r="AT90" s="34"/>
      <c r="AU90" s="34"/>
      <c r="AX90" s="34"/>
      <c r="AY90" s="34"/>
      <c r="AZ90" s="34"/>
    </row>
    <row r="91" spans="1:52" ht="37.5" x14ac:dyDescent="0.25">
      <c r="C91" s="40"/>
      <c r="G91" s="1461" t="s">
        <v>1177</v>
      </c>
      <c r="H91" s="1460" t="s">
        <v>1176</v>
      </c>
      <c r="I91" s="1416" t="s">
        <v>1167</v>
      </c>
      <c r="J91" s="1416" t="s">
        <v>1168</v>
      </c>
      <c r="K91" s="1416" t="s">
        <v>1169</v>
      </c>
      <c r="L91" s="1514" t="s">
        <v>1252</v>
      </c>
      <c r="M91" s="1608" t="s">
        <v>1248</v>
      </c>
      <c r="N91" s="1538" t="s">
        <v>1322</v>
      </c>
      <c r="AT91" s="34"/>
      <c r="AU91" s="34"/>
      <c r="AX91" s="34"/>
      <c r="AY91" s="34"/>
      <c r="AZ91" s="34"/>
    </row>
    <row r="92" spans="1:52" x14ac:dyDescent="0.25">
      <c r="B92" s="526" t="s">
        <v>1159</v>
      </c>
      <c r="C92" s="921"/>
      <c r="D92" s="52"/>
      <c r="E92" s="526" t="s">
        <v>839</v>
      </c>
      <c r="G92" s="917">
        <f>N92</f>
        <v>486.98934458333315</v>
      </c>
      <c r="H92" s="917">
        <f>'2122 Pay &amp; Pension Allocations'!C101</f>
        <v>564.11083333333363</v>
      </c>
      <c r="I92" s="42">
        <v>497.64690625000003</v>
      </c>
      <c r="J92" s="42">
        <v>510.90635833333408</v>
      </c>
      <c r="K92" s="42">
        <v>537.5085958333334</v>
      </c>
      <c r="L92" s="42">
        <v>431.0996458333334</v>
      </c>
      <c r="M92" s="80">
        <f>'2122 Band Values'!AN11-'2122 Band Values'!I11</f>
        <v>457.70188333333317</v>
      </c>
      <c r="N92" s="816">
        <f>'2122 Band Values'!AX11-'2122 Band Values'!I11</f>
        <v>486.98934458333315</v>
      </c>
      <c r="O92" s="53"/>
      <c r="AT92" s="34"/>
      <c r="AU92" s="34"/>
      <c r="AX92" s="34"/>
      <c r="AY92" s="34"/>
      <c r="AZ92" s="34"/>
    </row>
    <row r="93" spans="1:52" x14ac:dyDescent="0.25">
      <c r="B93" s="526" t="s">
        <v>1160</v>
      </c>
      <c r="C93" s="921"/>
      <c r="D93" s="52"/>
      <c r="G93" s="917"/>
      <c r="H93" s="42"/>
      <c r="I93" s="42"/>
      <c r="J93" s="42"/>
      <c r="K93" s="42"/>
      <c r="L93" s="42"/>
      <c r="M93" s="80"/>
      <c r="N93" s="816"/>
      <c r="O93" s="53"/>
      <c r="AT93" s="34"/>
      <c r="AU93" s="34"/>
      <c r="AX93" s="34"/>
      <c r="AY93" s="34"/>
      <c r="AZ93" s="34"/>
    </row>
    <row r="94" spans="1:52" x14ac:dyDescent="0.25">
      <c r="C94" s="921"/>
      <c r="D94" s="52"/>
      <c r="E94" s="526" t="s">
        <v>840</v>
      </c>
      <c r="G94" s="917">
        <f t="shared" ref="G94:G106" si="16">N94</f>
        <v>584.38721349999923</v>
      </c>
      <c r="H94" s="917">
        <f>'2122 Pay &amp; Pension Allocations'!C102</f>
        <v>676.93299999999999</v>
      </c>
      <c r="I94" s="42">
        <v>597.17628749999949</v>
      </c>
      <c r="J94" s="42">
        <v>613.08762999999999</v>
      </c>
      <c r="K94" s="42">
        <v>645.01031500000045</v>
      </c>
      <c r="L94" s="42">
        <v>517.31957499999953</v>
      </c>
      <c r="M94" s="80">
        <f>'2122 Band Values'!AN8-'2122 Band Values'!I8</f>
        <v>549.24225999999999</v>
      </c>
      <c r="N94" s="816">
        <f>'2122 Band Values'!AX8-'2122 Band Values'!I8</f>
        <v>584.38721349999923</v>
      </c>
      <c r="O94" s="53"/>
      <c r="AT94" s="34"/>
      <c r="AU94" s="34"/>
      <c r="AX94" s="34"/>
      <c r="AY94" s="34"/>
      <c r="AZ94" s="34"/>
    </row>
    <row r="95" spans="1:52" x14ac:dyDescent="0.25">
      <c r="C95" s="921"/>
      <c r="D95" s="52"/>
      <c r="G95" s="917"/>
      <c r="H95" s="42"/>
      <c r="I95" s="847"/>
      <c r="J95" s="42"/>
      <c r="K95" s="42"/>
      <c r="L95" s="42"/>
      <c r="M95" s="80"/>
      <c r="N95" s="816"/>
      <c r="O95" s="53"/>
      <c r="AT95" s="34"/>
      <c r="AU95" s="34"/>
      <c r="AX95" s="34"/>
      <c r="AY95" s="34"/>
      <c r="AZ95" s="34"/>
    </row>
    <row r="96" spans="1:52" x14ac:dyDescent="0.25">
      <c r="C96" s="921"/>
      <c r="D96" s="52"/>
      <c r="E96" s="526" t="s">
        <v>841</v>
      </c>
      <c r="G96" s="917">
        <f t="shared" si="16"/>
        <v>584.38721349999923</v>
      </c>
      <c r="H96" s="917">
        <f>'2122 Pay &amp; Pension Allocations'!C103</f>
        <v>676.93299999999999</v>
      </c>
      <c r="I96" s="847">
        <v>597.17628749999949</v>
      </c>
      <c r="J96" s="42">
        <v>613.08762999999999</v>
      </c>
      <c r="K96" s="42">
        <v>645.01031500000045</v>
      </c>
      <c r="L96" s="42">
        <v>517.31957499999953</v>
      </c>
      <c r="M96" s="80">
        <f>'2122 Band Values'!AN17-'2122 Band Values'!I17</f>
        <v>549.24225999999999</v>
      </c>
      <c r="N96" s="816">
        <f>'2122 Band Values'!AX17-'2122 Band Values'!I17</f>
        <v>584.38721349999923</v>
      </c>
      <c r="O96" s="53"/>
      <c r="AT96" s="34"/>
      <c r="AU96" s="34"/>
      <c r="AX96" s="34"/>
      <c r="AY96" s="34"/>
      <c r="AZ96" s="34"/>
    </row>
    <row r="97" spans="1:52" x14ac:dyDescent="0.25">
      <c r="C97" s="921"/>
      <c r="D97" s="52"/>
      <c r="G97" s="917"/>
      <c r="H97" s="42"/>
      <c r="I97" s="847"/>
      <c r="J97" s="42"/>
      <c r="K97" s="42"/>
      <c r="L97" s="42"/>
      <c r="M97" s="80"/>
      <c r="N97" s="816"/>
      <c r="O97" s="53"/>
    </row>
    <row r="98" spans="1:52" x14ac:dyDescent="0.25">
      <c r="C98" s="921"/>
      <c r="D98" s="52"/>
      <c r="E98" s="526" t="s">
        <v>842</v>
      </c>
      <c r="G98" s="917">
        <f t="shared" si="16"/>
        <v>730.48401687499972</v>
      </c>
      <c r="H98" s="917">
        <f>'2122 Pay &amp; Pension Allocations'!C104</f>
        <v>846.16625000000022</v>
      </c>
      <c r="I98" s="847">
        <v>746.47035937500004</v>
      </c>
      <c r="J98" s="42">
        <v>766.35953750000044</v>
      </c>
      <c r="K98" s="42">
        <v>806.26289375000033</v>
      </c>
      <c r="L98" s="42">
        <v>646.64946874999987</v>
      </c>
      <c r="M98" s="80">
        <f>'2122 Band Values'!AN5-'2122 Band Values'!I5</f>
        <v>686.55282499999976</v>
      </c>
      <c r="N98" s="816">
        <f>'2122 Band Values'!AX5-'2122 Band Values'!I5</f>
        <v>730.48401687499972</v>
      </c>
      <c r="O98" s="53"/>
    </row>
    <row r="99" spans="1:52" x14ac:dyDescent="0.25">
      <c r="C99" s="921"/>
      <c r="D99" s="52"/>
      <c r="G99" s="917"/>
      <c r="H99" s="42"/>
      <c r="I99" s="847"/>
      <c r="J99" s="42"/>
      <c r="K99" s="42"/>
      <c r="L99" s="42"/>
      <c r="M99" s="80"/>
      <c r="N99" s="816"/>
      <c r="O99" s="53"/>
      <c r="P99" s="348"/>
    </row>
    <row r="100" spans="1:52" x14ac:dyDescent="0.25">
      <c r="C100" s="921"/>
      <c r="D100" s="52"/>
      <c r="E100" s="526" t="s">
        <v>843</v>
      </c>
      <c r="G100" s="917">
        <f t="shared" si="16"/>
        <v>730.48401687499972</v>
      </c>
      <c r="H100" s="917">
        <f>'2122 Pay &amp; Pension Allocations'!C105</f>
        <v>846.16625000000022</v>
      </c>
      <c r="I100" s="847">
        <v>746.47035937500004</v>
      </c>
      <c r="J100" s="42">
        <v>766.35953750000044</v>
      </c>
      <c r="K100" s="42">
        <v>806.26289375000033</v>
      </c>
      <c r="L100" s="42">
        <v>646.64946874999987</v>
      </c>
      <c r="M100" s="80">
        <f>'2122 Band Values'!AN14-'2122 Band Values'!I14</f>
        <v>686.55282499999976</v>
      </c>
      <c r="N100" s="816">
        <f>'2122 Band Values'!AX14-'2122 Band Values'!I14</f>
        <v>730.48401687499972</v>
      </c>
      <c r="O100" s="53"/>
    </row>
    <row r="101" spans="1:52" x14ac:dyDescent="0.25">
      <c r="C101" s="921"/>
      <c r="D101" s="52"/>
      <c r="G101" s="917"/>
      <c r="H101" s="42"/>
      <c r="I101" s="847"/>
      <c r="J101" s="42"/>
      <c r="K101" s="42"/>
      <c r="L101" s="42"/>
      <c r="M101" s="80"/>
      <c r="N101" s="816"/>
      <c r="O101" s="53"/>
    </row>
    <row r="102" spans="1:52" x14ac:dyDescent="0.25">
      <c r="C102" s="921"/>
      <c r="D102" s="52"/>
      <c r="E102" s="526" t="s">
        <v>844</v>
      </c>
      <c r="G102" s="917">
        <f t="shared" si="16"/>
        <v>973.9786891666663</v>
      </c>
      <c r="H102" s="530">
        <f>'2122 Pay &amp; Pension Allocations'!C106</f>
        <v>1128.2216666666673</v>
      </c>
      <c r="I102" s="847">
        <v>995.29381250000006</v>
      </c>
      <c r="J102" s="42">
        <v>1021.8127166666682</v>
      </c>
      <c r="K102" s="609">
        <v>1075.0171916666668</v>
      </c>
      <c r="L102" s="42">
        <v>862.1992916666668</v>
      </c>
      <c r="M102" s="80">
        <f>'2122 Band Values'!AN22-'2122 Band Values'!I22</f>
        <v>915.40376666666634</v>
      </c>
      <c r="N102" s="816">
        <f>'2122 Band Values'!AX22-'2122 Band Values'!I22</f>
        <v>973.9786891666663</v>
      </c>
      <c r="O102" s="53"/>
    </row>
    <row r="103" spans="1:52" x14ac:dyDescent="0.25">
      <c r="C103" s="921"/>
      <c r="D103" s="52"/>
      <c r="G103" s="917"/>
      <c r="H103" s="42"/>
      <c r="I103" s="847"/>
      <c r="J103" s="42"/>
      <c r="K103" s="42"/>
      <c r="L103" s="42"/>
      <c r="M103" s="80"/>
      <c r="N103" s="816"/>
      <c r="O103" s="53"/>
    </row>
    <row r="104" spans="1:52" x14ac:dyDescent="0.25">
      <c r="C104" s="921"/>
      <c r="D104" s="52"/>
      <c r="E104" s="526" t="s">
        <v>845</v>
      </c>
      <c r="G104" s="917">
        <f t="shared" si="16"/>
        <v>0</v>
      </c>
      <c r="H104" s="917">
        <f>'2122 Pay &amp; Pension Allocations'!C107</f>
        <v>0</v>
      </c>
      <c r="I104" s="847">
        <v>0</v>
      </c>
      <c r="J104" s="847">
        <v>0</v>
      </c>
      <c r="K104" s="847">
        <v>0</v>
      </c>
      <c r="L104" s="847">
        <v>0</v>
      </c>
      <c r="M104" s="847">
        <v>0</v>
      </c>
      <c r="N104" s="816">
        <v>0</v>
      </c>
      <c r="O104" s="53"/>
    </row>
    <row r="105" spans="1:52" ht="14" x14ac:dyDescent="0.3">
      <c r="B105" s="55"/>
      <c r="C105" s="811"/>
      <c r="D105" s="57"/>
      <c r="E105" s="58"/>
      <c r="G105" s="917"/>
      <c r="I105" s="847"/>
      <c r="J105" s="42"/>
      <c r="K105" s="42"/>
      <c r="L105" s="42"/>
      <c r="M105" s="80"/>
      <c r="N105" s="1610"/>
      <c r="Q105" s="34"/>
      <c r="R105" s="347"/>
    </row>
    <row r="106" spans="1:52" ht="14.25" customHeight="1" x14ac:dyDescent="0.3">
      <c r="B106" s="59"/>
      <c r="C106" s="811"/>
      <c r="E106" s="526" t="s">
        <v>865</v>
      </c>
      <c r="G106" s="917">
        <f t="shared" si="16"/>
        <v>0</v>
      </c>
      <c r="H106" s="917">
        <v>0</v>
      </c>
      <c r="I106" s="847">
        <v>0</v>
      </c>
      <c r="J106" s="847">
        <v>0</v>
      </c>
      <c r="K106" s="847">
        <v>0</v>
      </c>
      <c r="L106" s="847">
        <v>0</v>
      </c>
      <c r="M106" s="847">
        <v>0</v>
      </c>
      <c r="N106" s="816">
        <v>0</v>
      </c>
      <c r="O106" s="2049" t="s">
        <v>1180</v>
      </c>
      <c r="P106" s="2049"/>
      <c r="Q106" s="2049"/>
      <c r="R106" s="2049"/>
      <c r="S106" s="2049"/>
      <c r="T106" s="2049"/>
      <c r="U106" s="2049"/>
    </row>
    <row r="107" spans="1:52" x14ac:dyDescent="0.25">
      <c r="C107" s="40"/>
      <c r="F107" s="847"/>
      <c r="G107" s="1409"/>
      <c r="I107" s="42"/>
      <c r="J107" s="42"/>
      <c r="K107" s="42"/>
      <c r="L107" s="42"/>
      <c r="M107" s="80"/>
      <c r="N107" s="1611"/>
      <c r="O107" s="2049"/>
      <c r="P107" s="2049"/>
      <c r="Q107" s="2049"/>
      <c r="R107" s="2049"/>
      <c r="S107" s="2049"/>
      <c r="T107" s="2049"/>
      <c r="U107" s="2049"/>
      <c r="AL107" s="1409"/>
      <c r="AM107" s="1409"/>
      <c r="AP107" s="1409"/>
      <c r="AQ107" s="1409"/>
      <c r="AR107" s="1409"/>
      <c r="AT107" s="34"/>
      <c r="AU107" s="34"/>
      <c r="AX107" s="34"/>
      <c r="AY107" s="34"/>
      <c r="AZ107" s="34"/>
    </row>
    <row r="108" spans="1:52" ht="12.75" customHeight="1" x14ac:dyDescent="0.3">
      <c r="C108" s="40"/>
      <c r="F108" s="1409"/>
      <c r="G108" s="1409"/>
      <c r="H108" s="42">
        <v>1365692.302626061</v>
      </c>
      <c r="I108" s="42">
        <v>1204785</v>
      </c>
      <c r="J108" s="42">
        <v>1236886</v>
      </c>
      <c r="K108" s="42">
        <v>1301289</v>
      </c>
      <c r="L108" s="42">
        <v>1043677</v>
      </c>
      <c r="M108" s="80">
        <v>1108080.0119937151</v>
      </c>
      <c r="N108" s="1558">
        <v>1178983.9160301562</v>
      </c>
      <c r="O108" s="2050" t="s">
        <v>1181</v>
      </c>
      <c r="P108" s="2050"/>
      <c r="Q108" s="2050"/>
      <c r="R108" s="2050"/>
      <c r="S108" s="2050"/>
      <c r="T108" s="2050"/>
      <c r="U108" s="2050"/>
      <c r="AL108" s="1409"/>
      <c r="AM108" s="1409"/>
      <c r="AP108" s="1409"/>
      <c r="AQ108" s="1409"/>
      <c r="AR108" s="1409"/>
      <c r="AT108" s="34"/>
      <c r="AU108" s="34"/>
      <c r="AX108" s="34"/>
      <c r="AY108" s="34"/>
      <c r="AZ108" s="34"/>
    </row>
    <row r="109" spans="1:52" ht="12.75" customHeight="1" x14ac:dyDescent="0.25">
      <c r="C109" s="40"/>
      <c r="F109" s="1456">
        <f>'2122 Pay &amp; Pension Allocations'!A95</f>
        <v>1400520</v>
      </c>
      <c r="G109" s="1409"/>
      <c r="H109" s="626">
        <f t="shared" ref="H109:N109" si="17">H108-$F$109</f>
        <v>-34827.69737393898</v>
      </c>
      <c r="I109" s="626">
        <f t="shared" si="17"/>
        <v>-195735</v>
      </c>
      <c r="J109" s="626">
        <f t="shared" si="17"/>
        <v>-163634</v>
      </c>
      <c r="K109" s="626">
        <f t="shared" si="17"/>
        <v>-99231</v>
      </c>
      <c r="L109" s="626">
        <f t="shared" si="17"/>
        <v>-356843</v>
      </c>
      <c r="M109" s="626">
        <f t="shared" si="17"/>
        <v>-292439.98800628493</v>
      </c>
      <c r="N109" s="626">
        <f t="shared" si="17"/>
        <v>-221536.08396984381</v>
      </c>
      <c r="O109" s="2050"/>
      <c r="P109" s="2050"/>
      <c r="Q109" s="2050"/>
      <c r="R109" s="2050"/>
      <c r="S109" s="2050"/>
      <c r="T109" s="2050"/>
      <c r="U109" s="2050"/>
      <c r="AL109" s="1409"/>
      <c r="AM109" s="1409"/>
      <c r="AP109" s="1409"/>
      <c r="AQ109" s="1409"/>
      <c r="AR109" s="1409"/>
      <c r="AT109" s="34"/>
      <c r="AU109" s="34"/>
      <c r="AX109" s="34"/>
      <c r="AY109" s="34"/>
      <c r="AZ109" s="34"/>
    </row>
    <row r="110" spans="1:52" ht="12.75" customHeight="1" thickBot="1" x14ac:dyDescent="0.35">
      <c r="C110" s="40"/>
      <c r="D110" s="1622"/>
      <c r="E110" s="1623" t="s">
        <v>1330</v>
      </c>
      <c r="F110" s="1622"/>
      <c r="G110" s="1437"/>
      <c r="H110" s="1437"/>
      <c r="I110" s="1437"/>
      <c r="J110" s="178"/>
      <c r="K110" s="1437"/>
      <c r="L110" s="1437"/>
      <c r="N110" s="1621">
        <f>'2122 Band Values'!AX26-'2122 Band Values'!I26</f>
        <v>683.23401687499972</v>
      </c>
      <c r="Q110" s="34"/>
      <c r="R110" s="347"/>
      <c r="S110" s="50"/>
      <c r="T110" s="50"/>
      <c r="U110" s="50"/>
      <c r="V110" s="50"/>
      <c r="W110" s="50"/>
      <c r="X110" s="50"/>
      <c r="Y110" s="50"/>
      <c r="Z110" s="50"/>
      <c r="AA110" s="50"/>
      <c r="AB110" s="50"/>
      <c r="AC110" s="50"/>
      <c r="AD110" s="50"/>
      <c r="AE110" s="50"/>
      <c r="AF110" s="50"/>
      <c r="AG110" s="2048"/>
      <c r="AH110" s="50"/>
      <c r="AI110" s="50"/>
      <c r="AJ110" s="61"/>
      <c r="AK110" s="61"/>
      <c r="AL110" s="50"/>
      <c r="AM110" s="50"/>
      <c r="AN110" s="61"/>
      <c r="AO110" s="61"/>
      <c r="AP110" s="61"/>
      <c r="AQ110" s="50"/>
      <c r="AR110" s="50"/>
      <c r="AS110" s="50"/>
      <c r="AT110" s="50"/>
      <c r="AU110" s="50"/>
      <c r="AV110" s="50"/>
      <c r="AW110" s="50"/>
      <c r="AX110" s="34"/>
      <c r="AY110" s="34"/>
      <c r="AZ110" s="34"/>
    </row>
    <row r="111" spans="1:52" ht="41.25" customHeight="1" thickBot="1" x14ac:dyDescent="0.35">
      <c r="A111" s="1449" t="s">
        <v>201</v>
      </c>
      <c r="B111" s="1450" t="s">
        <v>66</v>
      </c>
      <c r="C111" s="1451"/>
      <c r="D111" s="1452" t="s">
        <v>1161</v>
      </c>
      <c r="E111" s="1453" t="s">
        <v>1162</v>
      </c>
      <c r="F111" s="1452" t="s">
        <v>1163</v>
      </c>
      <c r="G111" s="1453" t="s">
        <v>1164</v>
      </c>
      <c r="H111" s="1452" t="s">
        <v>62</v>
      </c>
      <c r="I111" s="1438"/>
      <c r="J111" s="1438"/>
      <c r="K111" s="984"/>
      <c r="L111" s="384"/>
      <c r="N111" s="1477">
        <f>'2122 Pay &amp; Pension Allocations'!C88</f>
        <v>1269805.554355996</v>
      </c>
      <c r="O111" s="526" t="s">
        <v>1260</v>
      </c>
      <c r="R111" s="384"/>
      <c r="S111" s="984"/>
      <c r="T111" s="384"/>
      <c r="U111" s="384"/>
      <c r="V111" s="1438"/>
      <c r="W111" s="1438"/>
      <c r="X111" s="384"/>
      <c r="Y111" s="384"/>
      <c r="Z111" s="384"/>
      <c r="AA111" s="1438"/>
      <c r="AB111" s="384"/>
      <c r="AC111" s="384"/>
      <c r="AD111" s="1438"/>
      <c r="AE111" s="1438"/>
      <c r="AF111" s="50"/>
      <c r="AG111" s="2048"/>
      <c r="AH111" s="50"/>
      <c r="AI111" s="50"/>
      <c r="AJ111" s="1438"/>
      <c r="AK111" s="1438"/>
      <c r="AL111" s="1438"/>
      <c r="AM111" s="50"/>
      <c r="AN111" s="1439"/>
      <c r="AO111" s="1438"/>
      <c r="AP111" s="178"/>
      <c r="AQ111" s="50"/>
      <c r="AR111" s="50"/>
      <c r="AS111" s="50"/>
      <c r="AT111" s="50"/>
      <c r="AU111" s="50"/>
      <c r="AV111" s="50"/>
      <c r="AW111" s="50"/>
      <c r="AX111" s="34"/>
      <c r="AY111" s="34"/>
      <c r="AZ111" s="34"/>
    </row>
    <row r="112" spans="1:52" ht="13" x14ac:dyDescent="0.3">
      <c r="A112" s="185">
        <v>9257010</v>
      </c>
      <c r="B112" s="38" t="s">
        <v>67</v>
      </c>
      <c r="C112" s="39"/>
      <c r="D112" s="94">
        <f>VLOOKUP(A112,$A$6:$N$23,12,(FALSE))</f>
        <v>14701.796046859006</v>
      </c>
      <c r="E112" s="94">
        <f>VLOOKUP(A112,$A$28:$L$45,12,(FALSE))</f>
        <v>1419.4837562484556</v>
      </c>
      <c r="F112" s="925">
        <f>VLOOKUP(A112,$A$50:$L$67,12,FALSE)</f>
        <v>31938.384515590256</v>
      </c>
      <c r="G112" s="925">
        <f>VLOOKUP(A112,$A$72:$L$89,12,(FALSE))</f>
        <v>4055.6678749955872</v>
      </c>
      <c r="H112" s="1448">
        <f>SUM(D112:G112)</f>
        <v>52115.332193693306</v>
      </c>
      <c r="I112" s="609"/>
      <c r="J112" s="1440"/>
      <c r="K112" s="128"/>
      <c r="L112" s="128"/>
      <c r="R112" s="128"/>
      <c r="S112" s="50"/>
      <c r="T112" s="128"/>
      <c r="U112" s="128"/>
      <c r="V112" s="128"/>
      <c r="W112" s="128"/>
      <c r="X112" s="128"/>
      <c r="Y112" s="128"/>
      <c r="Z112" s="128"/>
      <c r="AA112" s="128"/>
      <c r="AB112" s="128"/>
      <c r="AC112" s="128"/>
      <c r="AD112" s="128"/>
      <c r="AE112" s="128"/>
      <c r="AF112" s="1442"/>
      <c r="AG112" s="128"/>
      <c r="AH112" s="1443"/>
      <c r="AI112" s="803"/>
      <c r="AJ112" s="128"/>
      <c r="AK112" s="128"/>
      <c r="AL112" s="128"/>
      <c r="AM112" s="50"/>
      <c r="AN112" s="1441"/>
      <c r="AO112" s="1441"/>
      <c r="AP112" s="1441"/>
      <c r="AQ112" s="50"/>
      <c r="AR112" s="50"/>
      <c r="AS112" s="50"/>
      <c r="AT112" s="50"/>
      <c r="AU112" s="50"/>
      <c r="AV112" s="50"/>
      <c r="AW112" s="50"/>
      <c r="AX112" s="34"/>
      <c r="AY112" s="34"/>
      <c r="AZ112" s="34"/>
    </row>
    <row r="113" spans="1:52" ht="13" x14ac:dyDescent="0.3">
      <c r="A113" s="185">
        <v>9257005</v>
      </c>
      <c r="B113" s="38" t="s">
        <v>68</v>
      </c>
      <c r="C113" s="39"/>
      <c r="D113" s="94">
        <f t="shared" ref="D113:D129" si="18">VLOOKUP(A113,$A$6:$N$23,12,(FALSE))</f>
        <v>14168.853524538617</v>
      </c>
      <c r="E113" s="94">
        <f t="shared" ref="E113:E129" si="19">VLOOKUP(A113,$A$28:$L$45,12,(FALSE))</f>
        <v>5560.6066662340236</v>
      </c>
      <c r="F113" s="925">
        <f t="shared" ref="F113:F129" si="20">VLOOKUP(A113,$A$50:$L$67,12,FALSE)</f>
        <v>21707.752947028981</v>
      </c>
      <c r="G113" s="925">
        <f t="shared" ref="G113:G129" si="21">VLOOKUP(A113,$A$72:$L$89,12,(FALSE))</f>
        <v>11976.691281119436</v>
      </c>
      <c r="H113" s="1448">
        <f t="shared" ref="H113:H129" si="22">SUM(D113:G113)</f>
        <v>53413.904418921054</v>
      </c>
      <c r="I113" s="609"/>
      <c r="J113" s="1440"/>
      <c r="K113" s="128"/>
      <c r="L113" s="128"/>
      <c r="R113" s="128"/>
      <c r="S113" s="50"/>
      <c r="T113" s="128"/>
      <c r="U113" s="128"/>
      <c r="V113" s="128"/>
      <c r="W113" s="128"/>
      <c r="X113" s="128"/>
      <c r="Y113" s="128"/>
      <c r="Z113" s="128"/>
      <c r="AA113" s="128"/>
      <c r="AB113" s="128"/>
      <c r="AC113" s="128"/>
      <c r="AD113" s="128"/>
      <c r="AE113" s="128"/>
      <c r="AF113" s="1442"/>
      <c r="AG113" s="128"/>
      <c r="AH113" s="1443"/>
      <c r="AI113" s="803"/>
      <c r="AJ113" s="128"/>
      <c r="AK113" s="128"/>
      <c r="AL113" s="128"/>
      <c r="AM113" s="50"/>
      <c r="AN113" s="1441"/>
      <c r="AO113" s="1441"/>
      <c r="AP113" s="1441"/>
      <c r="AQ113" s="50"/>
      <c r="AR113" s="50"/>
      <c r="AS113" s="50"/>
      <c r="AT113" s="50"/>
      <c r="AU113" s="50"/>
      <c r="AV113" s="50"/>
      <c r="AW113" s="50"/>
      <c r="AX113" s="34"/>
      <c r="AY113" s="34"/>
      <c r="AZ113" s="34"/>
    </row>
    <row r="114" spans="1:52" ht="13" x14ac:dyDescent="0.3">
      <c r="A114" s="185">
        <v>9257025</v>
      </c>
      <c r="B114" s="38" t="s">
        <v>69</v>
      </c>
      <c r="C114" s="39"/>
      <c r="D114" s="94">
        <f t="shared" si="18"/>
        <v>14580.165831767667</v>
      </c>
      <c r="E114" s="94">
        <f t="shared" si="19"/>
        <v>4165.7616662193323</v>
      </c>
      <c r="F114" s="925">
        <f t="shared" si="20"/>
        <v>19683.223872886352</v>
      </c>
      <c r="G114" s="925">
        <f t="shared" si="21"/>
        <v>9997.8279989263974</v>
      </c>
      <c r="H114" s="1448">
        <f t="shared" si="22"/>
        <v>48426.979369799752</v>
      </c>
      <c r="I114" s="609"/>
      <c r="J114" s="1440"/>
      <c r="K114" s="128"/>
      <c r="L114" s="128"/>
      <c r="M114" s="1440"/>
      <c r="N114" s="128"/>
      <c r="O114" s="1440"/>
      <c r="P114" s="1440"/>
      <c r="Q114" s="1441"/>
      <c r="R114" s="128"/>
      <c r="S114" s="50"/>
      <c r="T114" s="128"/>
      <c r="U114" s="128"/>
      <c r="V114" s="128"/>
      <c r="W114" s="128"/>
      <c r="X114" s="128"/>
      <c r="Y114" s="128"/>
      <c r="Z114" s="128"/>
      <c r="AA114" s="128"/>
      <c r="AB114" s="128"/>
      <c r="AC114" s="128"/>
      <c r="AD114" s="128"/>
      <c r="AE114" s="128"/>
      <c r="AF114" s="1442"/>
      <c r="AG114" s="128"/>
      <c r="AH114" s="1443"/>
      <c r="AI114" s="803"/>
      <c r="AJ114" s="128"/>
      <c r="AK114" s="128"/>
      <c r="AL114" s="128"/>
      <c r="AM114" s="50"/>
      <c r="AN114" s="1441"/>
      <c r="AO114" s="1441"/>
      <c r="AP114" s="1441"/>
      <c r="AQ114" s="50"/>
      <c r="AR114" s="50"/>
      <c r="AS114" s="50"/>
      <c r="AT114" s="50"/>
      <c r="AU114" s="50"/>
      <c r="AV114" s="50"/>
      <c r="AW114" s="50"/>
      <c r="AX114" s="34"/>
      <c r="AY114" s="34"/>
      <c r="AZ114" s="34"/>
    </row>
    <row r="115" spans="1:52" ht="13" x14ac:dyDescent="0.3">
      <c r="A115" s="185">
        <v>9257011</v>
      </c>
      <c r="B115" s="38" t="s">
        <v>70</v>
      </c>
      <c r="C115" s="39"/>
      <c r="D115" s="94">
        <f t="shared" si="18"/>
        <v>12825.584153727717</v>
      </c>
      <c r="E115" s="94">
        <f t="shared" si="19"/>
        <v>1641.6747716771474</v>
      </c>
      <c r="F115" s="925">
        <f t="shared" si="20"/>
        <v>17955.817815218805</v>
      </c>
      <c r="G115" s="925">
        <f t="shared" si="21"/>
        <v>3283.3495433542948</v>
      </c>
      <c r="H115" s="1448">
        <f t="shared" si="22"/>
        <v>35706.426283977962</v>
      </c>
      <c r="I115" s="609"/>
      <c r="J115" s="1440"/>
      <c r="K115" s="128"/>
      <c r="L115" s="128"/>
      <c r="M115" s="1440"/>
      <c r="N115" s="128"/>
      <c r="O115" s="1440"/>
      <c r="P115" s="1440"/>
      <c r="Q115" s="1441"/>
      <c r="R115" s="128"/>
      <c r="S115" s="50"/>
      <c r="T115" s="128"/>
      <c r="U115" s="128"/>
      <c r="V115" s="128"/>
      <c r="W115" s="128"/>
      <c r="X115" s="128"/>
      <c r="Y115" s="128"/>
      <c r="Z115" s="128"/>
      <c r="AA115" s="128"/>
      <c r="AB115" s="128"/>
      <c r="AC115" s="128"/>
      <c r="AD115" s="128"/>
      <c r="AE115" s="128"/>
      <c r="AF115" s="1442"/>
      <c r="AG115" s="128"/>
      <c r="AH115" s="1443"/>
      <c r="AI115" s="803"/>
      <c r="AJ115" s="128"/>
      <c r="AK115" s="128"/>
      <c r="AL115" s="128"/>
      <c r="AM115" s="50"/>
      <c r="AN115" s="1441"/>
      <c r="AO115" s="1441"/>
      <c r="AP115" s="1441"/>
      <c r="AQ115" s="50"/>
      <c r="AR115" s="50"/>
      <c r="AS115" s="50"/>
      <c r="AT115" s="50"/>
      <c r="AU115" s="50"/>
      <c r="AV115" s="50"/>
      <c r="AW115" s="50"/>
      <c r="AX115" s="34"/>
      <c r="AY115" s="34"/>
      <c r="AZ115" s="34"/>
    </row>
    <row r="116" spans="1:52" ht="13" x14ac:dyDescent="0.3">
      <c r="A116" s="185">
        <v>9257024</v>
      </c>
      <c r="B116" s="38" t="s">
        <v>71</v>
      </c>
      <c r="C116" s="39"/>
      <c r="D116" s="94">
        <f t="shared" si="18"/>
        <v>16907.722425393229</v>
      </c>
      <c r="E116" s="94">
        <f t="shared" si="19"/>
        <v>2705.2355880629161</v>
      </c>
      <c r="F116" s="925">
        <f t="shared" si="20"/>
        <v>24008.965844058377</v>
      </c>
      <c r="G116" s="925">
        <f t="shared" si="21"/>
        <v>5024.0089492597008</v>
      </c>
      <c r="H116" s="1448">
        <f t="shared" si="22"/>
        <v>48645.932806774224</v>
      </c>
      <c r="I116" s="609"/>
      <c r="J116" s="1440"/>
      <c r="K116" s="128"/>
      <c r="L116" s="128"/>
      <c r="M116" s="1440"/>
      <c r="N116" s="128"/>
      <c r="O116" s="1440"/>
      <c r="P116" s="1440"/>
      <c r="Q116" s="1441"/>
      <c r="R116" s="128"/>
      <c r="S116" s="50"/>
      <c r="T116" s="128"/>
      <c r="U116" s="128"/>
      <c r="V116" s="128"/>
      <c r="W116" s="128"/>
      <c r="X116" s="128"/>
      <c r="Y116" s="128"/>
      <c r="Z116" s="128"/>
      <c r="AA116" s="128"/>
      <c r="AB116" s="128"/>
      <c r="AC116" s="128"/>
      <c r="AD116" s="128"/>
      <c r="AE116" s="128"/>
      <c r="AF116" s="1442"/>
      <c r="AG116" s="128"/>
      <c r="AH116" s="1443"/>
      <c r="AI116" s="803"/>
      <c r="AJ116" s="128"/>
      <c r="AK116" s="128"/>
      <c r="AL116" s="128"/>
      <c r="AM116" s="50"/>
      <c r="AN116" s="1441"/>
      <c r="AO116" s="1441"/>
      <c r="AP116" s="1441"/>
      <c r="AQ116" s="50"/>
      <c r="AR116" s="50"/>
      <c r="AS116" s="50"/>
      <c r="AT116" s="50"/>
      <c r="AU116" s="50"/>
      <c r="AV116" s="50"/>
      <c r="AW116" s="50"/>
      <c r="AX116" s="34"/>
      <c r="AY116" s="34"/>
      <c r="AZ116" s="34"/>
    </row>
    <row r="117" spans="1:52" ht="13" x14ac:dyDescent="0.3">
      <c r="A117" s="185">
        <v>9257031</v>
      </c>
      <c r="B117" s="38" t="s">
        <v>98</v>
      </c>
      <c r="C117" s="39"/>
      <c r="D117" s="94">
        <f t="shared" si="18"/>
        <v>19479.573783333308</v>
      </c>
      <c r="E117" s="94">
        <f t="shared" si="19"/>
        <v>0</v>
      </c>
      <c r="F117" s="925">
        <f t="shared" si="20"/>
        <v>27612.295837874964</v>
      </c>
      <c r="G117" s="925">
        <f t="shared" si="21"/>
        <v>0</v>
      </c>
      <c r="H117" s="1448">
        <f t="shared" si="22"/>
        <v>47091.869621208272</v>
      </c>
      <c r="I117" s="609"/>
      <c r="J117" s="1440"/>
      <c r="K117" s="128"/>
      <c r="L117" s="128"/>
      <c r="M117" s="1440"/>
      <c r="N117" s="128"/>
      <c r="O117" s="1440"/>
      <c r="P117" s="1440"/>
      <c r="Q117" s="1441"/>
      <c r="R117" s="128"/>
      <c r="S117" s="50"/>
      <c r="T117" s="128"/>
      <c r="U117" s="128"/>
      <c r="V117" s="128"/>
      <c r="W117" s="128"/>
      <c r="X117" s="128"/>
      <c r="Y117" s="128"/>
      <c r="Z117" s="128"/>
      <c r="AA117" s="128"/>
      <c r="AB117" s="128"/>
      <c r="AC117" s="128"/>
      <c r="AD117" s="128"/>
      <c r="AE117" s="128"/>
      <c r="AF117" s="1442"/>
      <c r="AG117" s="128"/>
      <c r="AH117" s="1444"/>
      <c r="AI117" s="803"/>
      <c r="AJ117" s="128"/>
      <c r="AK117" s="128"/>
      <c r="AL117" s="128"/>
      <c r="AM117" s="50"/>
      <c r="AN117" s="1441"/>
      <c r="AO117" s="1441"/>
      <c r="AP117" s="1441"/>
      <c r="AQ117" s="50"/>
      <c r="AR117" s="50"/>
      <c r="AS117" s="50"/>
      <c r="AT117" s="50"/>
      <c r="AU117" s="50"/>
      <c r="AV117" s="50"/>
      <c r="AW117" s="50"/>
      <c r="AX117" s="34"/>
      <c r="AY117" s="34"/>
      <c r="AZ117" s="34"/>
    </row>
    <row r="118" spans="1:52" ht="13" x14ac:dyDescent="0.3">
      <c r="A118" s="185">
        <v>9257033</v>
      </c>
      <c r="B118" s="38" t="s">
        <v>72</v>
      </c>
      <c r="C118" s="39"/>
      <c r="D118" s="94">
        <f t="shared" si="18"/>
        <v>25247.834414832214</v>
      </c>
      <c r="E118" s="94">
        <f t="shared" si="19"/>
        <v>0</v>
      </c>
      <c r="F118" s="925">
        <f t="shared" si="20"/>
        <v>34989.928098131109</v>
      </c>
      <c r="G118" s="925">
        <f t="shared" si="21"/>
        <v>0</v>
      </c>
      <c r="H118" s="1448">
        <f t="shared" si="22"/>
        <v>60237.762512963323</v>
      </c>
      <c r="I118" s="609"/>
      <c r="J118" s="1440"/>
      <c r="K118" s="128"/>
      <c r="L118" s="128"/>
      <c r="M118" s="1440"/>
      <c r="N118" s="128"/>
      <c r="O118" s="1440"/>
      <c r="P118" s="1440"/>
      <c r="Q118" s="1441"/>
      <c r="R118" s="128"/>
      <c r="S118" s="50"/>
      <c r="T118" s="128"/>
      <c r="U118" s="128"/>
      <c r="V118" s="128"/>
      <c r="W118" s="128"/>
      <c r="X118" s="128"/>
      <c r="Y118" s="128"/>
      <c r="Z118" s="128"/>
      <c r="AA118" s="128"/>
      <c r="AB118" s="128"/>
      <c r="AC118" s="128"/>
      <c r="AD118" s="128"/>
      <c r="AE118" s="128"/>
      <c r="AF118" s="1442"/>
      <c r="AG118" s="128"/>
      <c r="AH118" s="1444"/>
      <c r="AI118" s="803"/>
      <c r="AJ118" s="128"/>
      <c r="AK118" s="128"/>
      <c r="AL118" s="128"/>
      <c r="AM118" s="50"/>
      <c r="AN118" s="1441"/>
      <c r="AO118" s="1441"/>
      <c r="AP118" s="1441"/>
      <c r="AQ118" s="50"/>
      <c r="AR118" s="50"/>
      <c r="AS118" s="50"/>
      <c r="AT118" s="50"/>
      <c r="AU118" s="50"/>
      <c r="AV118" s="50"/>
      <c r="AW118" s="50"/>
      <c r="AX118" s="34"/>
      <c r="AY118" s="34"/>
      <c r="AZ118" s="34"/>
    </row>
    <row r="119" spans="1:52" ht="13" x14ac:dyDescent="0.3">
      <c r="A119" s="185">
        <v>9257008</v>
      </c>
      <c r="B119" s="38" t="s">
        <v>73</v>
      </c>
      <c r="C119" s="39"/>
      <c r="D119" s="94">
        <f t="shared" si="18"/>
        <v>25750.586404070542</v>
      </c>
      <c r="E119" s="94">
        <f t="shared" si="19"/>
        <v>0</v>
      </c>
      <c r="F119" s="925">
        <f t="shared" si="20"/>
        <v>36418.686485756916</v>
      </c>
      <c r="G119" s="925">
        <f t="shared" si="21"/>
        <v>0</v>
      </c>
      <c r="H119" s="1448">
        <f t="shared" si="22"/>
        <v>62169.272889827458</v>
      </c>
      <c r="I119" s="609"/>
      <c r="J119" s="1440"/>
      <c r="K119" s="128"/>
      <c r="L119" s="128"/>
      <c r="M119" s="1440"/>
      <c r="N119" s="128"/>
      <c r="O119" s="1440"/>
      <c r="P119" s="1440"/>
      <c r="Q119" s="1441"/>
      <c r="R119" s="128"/>
      <c r="S119" s="50"/>
      <c r="T119" s="128"/>
      <c r="U119" s="128"/>
      <c r="V119" s="128"/>
      <c r="W119" s="128"/>
      <c r="X119" s="128"/>
      <c r="Y119" s="128"/>
      <c r="Z119" s="128"/>
      <c r="AA119" s="128"/>
      <c r="AB119" s="128"/>
      <c r="AC119" s="128"/>
      <c r="AD119" s="128"/>
      <c r="AE119" s="128"/>
      <c r="AF119" s="1442"/>
      <c r="AG119" s="128"/>
      <c r="AH119" s="1444"/>
      <c r="AI119" s="803"/>
      <c r="AJ119" s="128"/>
      <c r="AK119" s="128"/>
      <c r="AL119" s="128"/>
      <c r="AM119" s="50"/>
      <c r="AN119" s="1441"/>
      <c r="AO119" s="1441"/>
      <c r="AP119" s="1441"/>
      <c r="AQ119" s="50"/>
      <c r="AR119" s="50"/>
      <c r="AS119" s="50"/>
      <c r="AT119" s="50"/>
      <c r="AU119" s="50"/>
      <c r="AV119" s="50"/>
      <c r="AW119" s="50"/>
      <c r="AX119" s="34"/>
      <c r="AY119" s="34"/>
      <c r="AZ119" s="34"/>
    </row>
    <row r="120" spans="1:52" ht="13" x14ac:dyDescent="0.3">
      <c r="A120" s="185">
        <v>9257034</v>
      </c>
      <c r="B120" s="38" t="s">
        <v>74</v>
      </c>
      <c r="C120" s="39"/>
      <c r="D120" s="94">
        <f t="shared" si="18"/>
        <v>22368.306031884455</v>
      </c>
      <c r="E120" s="94">
        <f t="shared" si="19"/>
        <v>6472.531107098479</v>
      </c>
      <c r="F120" s="925">
        <f t="shared" si="20"/>
        <v>29316.758543916647</v>
      </c>
      <c r="G120" s="925">
        <f t="shared" si="21"/>
        <v>12183.587966303021</v>
      </c>
      <c r="H120" s="1448">
        <f t="shared" si="22"/>
        <v>70341.183649202605</v>
      </c>
      <c r="I120" s="609"/>
      <c r="J120" s="1440"/>
      <c r="K120" s="128"/>
      <c r="L120" s="128"/>
      <c r="M120" s="1440"/>
      <c r="N120" s="128"/>
      <c r="O120" s="1440"/>
      <c r="P120" s="1440"/>
      <c r="Q120" s="1441"/>
      <c r="R120" s="128"/>
      <c r="S120" s="50"/>
      <c r="T120" s="128"/>
      <c r="U120" s="128"/>
      <c r="V120" s="128"/>
      <c r="W120" s="128"/>
      <c r="X120" s="128"/>
      <c r="Y120" s="128"/>
      <c r="Z120" s="128"/>
      <c r="AA120" s="128"/>
      <c r="AB120" s="128"/>
      <c r="AC120" s="128"/>
      <c r="AD120" s="128"/>
      <c r="AE120" s="128"/>
      <c r="AF120" s="1442"/>
      <c r="AG120" s="128"/>
      <c r="AH120" s="1444"/>
      <c r="AI120" s="803"/>
      <c r="AJ120" s="128"/>
      <c r="AK120" s="128"/>
      <c r="AL120" s="128"/>
      <c r="AM120" s="50"/>
      <c r="AN120" s="1441"/>
      <c r="AO120" s="1441"/>
      <c r="AP120" s="1441"/>
      <c r="AQ120" s="50"/>
      <c r="AR120" s="50"/>
      <c r="AS120" s="50"/>
      <c r="AT120" s="50"/>
      <c r="AU120" s="50"/>
      <c r="AV120" s="50"/>
      <c r="AW120" s="50"/>
      <c r="AX120" s="34"/>
      <c r="AY120" s="34"/>
      <c r="AZ120" s="34"/>
    </row>
    <row r="121" spans="1:52" ht="13" x14ac:dyDescent="0.3">
      <c r="A121" s="185">
        <v>9257002</v>
      </c>
      <c r="B121" s="38" t="s">
        <v>75</v>
      </c>
      <c r="C121" s="39"/>
      <c r="D121" s="94">
        <f t="shared" si="18"/>
        <v>36459.441622395811</v>
      </c>
      <c r="E121" s="94">
        <f t="shared" si="19"/>
        <v>0</v>
      </c>
      <c r="F121" s="925">
        <f t="shared" si="20"/>
        <v>51383.506393163159</v>
      </c>
      <c r="G121" s="925">
        <f t="shared" si="21"/>
        <v>0</v>
      </c>
      <c r="H121" s="1448">
        <f t="shared" si="22"/>
        <v>87842.94801555897</v>
      </c>
      <c r="I121" s="609"/>
      <c r="J121" s="1440"/>
      <c r="K121" s="128"/>
      <c r="L121" s="128"/>
      <c r="M121" s="1440"/>
      <c r="N121" s="128"/>
      <c r="O121" s="1440"/>
      <c r="P121" s="1440"/>
      <c r="Q121" s="1441"/>
      <c r="R121" s="128"/>
      <c r="S121" s="50"/>
      <c r="T121" s="128"/>
      <c r="U121" s="128"/>
      <c r="V121" s="128"/>
      <c r="W121" s="128"/>
      <c r="X121" s="128"/>
      <c r="Y121" s="128"/>
      <c r="Z121" s="128"/>
      <c r="AA121" s="128"/>
      <c r="AB121" s="128"/>
      <c r="AC121" s="128"/>
      <c r="AD121" s="128"/>
      <c r="AE121" s="128"/>
      <c r="AF121" s="1442"/>
      <c r="AG121" s="128"/>
      <c r="AH121" s="1444"/>
      <c r="AI121" s="803"/>
      <c r="AJ121" s="128"/>
      <c r="AK121" s="128"/>
      <c r="AL121" s="128"/>
      <c r="AM121" s="50"/>
      <c r="AN121" s="1441"/>
      <c r="AO121" s="1441"/>
      <c r="AP121" s="1441"/>
      <c r="AQ121" s="50"/>
      <c r="AR121" s="50"/>
      <c r="AS121" s="50"/>
      <c r="AT121" s="50"/>
      <c r="AU121" s="50"/>
      <c r="AV121" s="50"/>
      <c r="AW121" s="50"/>
      <c r="AX121" s="34"/>
      <c r="AY121" s="34"/>
      <c r="AZ121" s="34"/>
    </row>
    <row r="122" spans="1:52" ht="13" x14ac:dyDescent="0.3">
      <c r="A122" s="185">
        <v>9257009</v>
      </c>
      <c r="B122" s="38" t="s">
        <v>76</v>
      </c>
      <c r="C122" s="39"/>
      <c r="D122" s="94">
        <f t="shared" si="18"/>
        <v>33755.504090012189</v>
      </c>
      <c r="E122" s="94">
        <f t="shared" si="19"/>
        <v>0</v>
      </c>
      <c r="F122" s="925">
        <f t="shared" si="20"/>
        <v>47257.70572601707</v>
      </c>
      <c r="G122" s="925">
        <f t="shared" si="21"/>
        <v>0</v>
      </c>
      <c r="H122" s="1448">
        <f t="shared" si="22"/>
        <v>81013.209816029266</v>
      </c>
      <c r="I122" s="609"/>
      <c r="J122" s="1440"/>
      <c r="K122" s="128"/>
      <c r="L122" s="128"/>
      <c r="M122" s="1440"/>
      <c r="N122" s="128"/>
      <c r="O122" s="1440"/>
      <c r="P122" s="1440"/>
      <c r="Q122" s="1441"/>
      <c r="R122" s="128"/>
      <c r="S122" s="50"/>
      <c r="T122" s="128"/>
      <c r="U122" s="128"/>
      <c r="V122" s="128"/>
      <c r="W122" s="128"/>
      <c r="X122" s="128"/>
      <c r="Y122" s="128"/>
      <c r="Z122" s="128"/>
      <c r="AA122" s="128"/>
      <c r="AB122" s="128"/>
      <c r="AC122" s="128"/>
      <c r="AD122" s="128"/>
      <c r="AE122" s="128"/>
      <c r="AF122" s="1442"/>
      <c r="AG122" s="128"/>
      <c r="AH122" s="1444"/>
      <c r="AI122" s="803"/>
      <c r="AJ122" s="128"/>
      <c r="AK122" s="128"/>
      <c r="AL122" s="128"/>
      <c r="AM122" s="50"/>
      <c r="AN122" s="1441"/>
      <c r="AO122" s="1441"/>
      <c r="AP122" s="1441"/>
      <c r="AQ122" s="50"/>
      <c r="AR122" s="50"/>
      <c r="AS122" s="50"/>
      <c r="AT122" s="50"/>
      <c r="AU122" s="50"/>
      <c r="AV122" s="50"/>
      <c r="AW122" s="50"/>
      <c r="AX122" s="34"/>
      <c r="AY122" s="34"/>
      <c r="AZ122" s="34"/>
    </row>
    <row r="123" spans="1:52" ht="13" x14ac:dyDescent="0.3">
      <c r="A123" s="185">
        <v>9257029</v>
      </c>
      <c r="B123" s="915" t="s">
        <v>848</v>
      </c>
      <c r="C123" s="39"/>
      <c r="D123" s="94">
        <f t="shared" si="18"/>
        <v>17044.627060416646</v>
      </c>
      <c r="E123" s="94">
        <f t="shared" si="19"/>
        <v>0</v>
      </c>
      <c r="F123" s="925">
        <f t="shared" si="20"/>
        <v>26589.618214249967</v>
      </c>
      <c r="G123" s="925">
        <f t="shared" si="21"/>
        <v>0</v>
      </c>
      <c r="H123" s="1448">
        <f t="shared" si="22"/>
        <v>43634.245274666609</v>
      </c>
      <c r="I123" s="609"/>
      <c r="J123" s="1440"/>
      <c r="K123" s="128"/>
      <c r="L123" s="128"/>
      <c r="M123" s="1440"/>
      <c r="N123" s="128"/>
      <c r="O123" s="1440"/>
      <c r="P123" s="1440"/>
      <c r="Q123" s="1441"/>
      <c r="R123" s="128"/>
      <c r="S123" s="50"/>
      <c r="T123" s="128"/>
      <c r="U123" s="128"/>
      <c r="V123" s="128"/>
      <c r="W123" s="128"/>
      <c r="X123" s="128"/>
      <c r="Y123" s="128"/>
      <c r="Z123" s="128"/>
      <c r="AA123" s="128"/>
      <c r="AB123" s="128"/>
      <c r="AC123" s="128"/>
      <c r="AD123" s="128"/>
      <c r="AE123" s="128"/>
      <c r="AF123" s="1442"/>
      <c r="AG123" s="128"/>
      <c r="AH123" s="1444"/>
      <c r="AI123" s="803"/>
      <c r="AJ123" s="128"/>
      <c r="AK123" s="128"/>
      <c r="AL123" s="128"/>
      <c r="AM123" s="50"/>
      <c r="AN123" s="1441"/>
      <c r="AO123" s="1441"/>
      <c r="AP123" s="1441"/>
      <c r="AQ123" s="50"/>
      <c r="AR123" s="50"/>
      <c r="AS123" s="50"/>
      <c r="AT123" s="50"/>
      <c r="AU123" s="50"/>
      <c r="AV123" s="50"/>
      <c r="AW123" s="50"/>
      <c r="AX123" s="34"/>
      <c r="AY123" s="34"/>
      <c r="AZ123" s="34"/>
    </row>
    <row r="124" spans="1:52" ht="13" x14ac:dyDescent="0.3">
      <c r="A124" s="185">
        <v>9257032</v>
      </c>
      <c r="B124" s="915" t="s">
        <v>934</v>
      </c>
      <c r="C124" s="39"/>
      <c r="D124" s="94">
        <f t="shared" si="18"/>
        <v>19966.563127916641</v>
      </c>
      <c r="E124" s="94">
        <f t="shared" si="19"/>
        <v>0</v>
      </c>
      <c r="F124" s="925">
        <f t="shared" si="20"/>
        <v>35452.824285666626</v>
      </c>
      <c r="G124" s="925">
        <f t="shared" si="21"/>
        <v>0</v>
      </c>
      <c r="H124" s="1448">
        <f t="shared" si="22"/>
        <v>55419.387413583267</v>
      </c>
      <c r="I124" s="609"/>
      <c r="J124" s="1440"/>
      <c r="K124" s="128"/>
      <c r="L124" s="128"/>
      <c r="M124" s="1440"/>
      <c r="N124" s="128"/>
      <c r="O124" s="1440"/>
      <c r="P124" s="1440"/>
      <c r="Q124" s="1441"/>
      <c r="R124" s="128"/>
      <c r="S124" s="50"/>
      <c r="T124" s="128"/>
      <c r="U124" s="128"/>
      <c r="V124" s="128"/>
      <c r="W124" s="128"/>
      <c r="X124" s="128"/>
      <c r="Y124" s="128"/>
      <c r="Z124" s="128"/>
      <c r="AA124" s="128"/>
      <c r="AB124" s="128"/>
      <c r="AC124" s="128"/>
      <c r="AD124" s="128"/>
      <c r="AE124" s="128"/>
      <c r="AF124" s="1442"/>
      <c r="AG124" s="128"/>
      <c r="AH124" s="1444"/>
      <c r="AI124" s="803"/>
      <c r="AJ124" s="128"/>
      <c r="AK124" s="128"/>
      <c r="AL124" s="128"/>
      <c r="AM124" s="50"/>
      <c r="AN124" s="1441"/>
      <c r="AO124" s="1441"/>
      <c r="AP124" s="1441"/>
      <c r="AQ124" s="50"/>
      <c r="AR124" s="50"/>
      <c r="AS124" s="50"/>
      <c r="AT124" s="50"/>
      <c r="AU124" s="50"/>
      <c r="AV124" s="50"/>
      <c r="AW124" s="50"/>
      <c r="AX124" s="34"/>
      <c r="AY124" s="34"/>
      <c r="AZ124" s="34"/>
    </row>
    <row r="125" spans="1:52" ht="13" x14ac:dyDescent="0.3">
      <c r="A125" s="185">
        <v>9257030</v>
      </c>
      <c r="B125" s="915" t="s">
        <v>933</v>
      </c>
      <c r="C125" s="39"/>
      <c r="D125" s="94">
        <f t="shared" si="18"/>
        <v>18262.100421874977</v>
      </c>
      <c r="E125" s="94">
        <f t="shared" si="19"/>
        <v>0</v>
      </c>
      <c r="F125" s="925">
        <f t="shared" si="20"/>
        <v>24544.26296699997</v>
      </c>
      <c r="G125" s="925">
        <f t="shared" si="21"/>
        <v>0</v>
      </c>
      <c r="H125" s="1448">
        <f t="shared" si="22"/>
        <v>42806.363388874946</v>
      </c>
      <c r="I125" s="609"/>
      <c r="J125" s="1440"/>
      <c r="K125" s="128"/>
      <c r="L125" s="128"/>
      <c r="M125" s="1440"/>
      <c r="N125" s="128"/>
      <c r="O125" s="1440"/>
      <c r="P125" s="1440"/>
      <c r="Q125" s="1441"/>
      <c r="R125" s="128"/>
      <c r="S125" s="50"/>
      <c r="T125" s="128"/>
      <c r="U125" s="128"/>
      <c r="V125" s="128"/>
      <c r="W125" s="128"/>
      <c r="X125" s="128"/>
      <c r="Y125" s="128"/>
      <c r="Z125" s="128"/>
      <c r="AA125" s="128"/>
      <c r="AB125" s="128"/>
      <c r="AC125" s="128"/>
      <c r="AD125" s="128"/>
      <c r="AE125" s="128"/>
      <c r="AF125" s="1442"/>
      <c r="AG125" s="128"/>
      <c r="AH125" s="1444"/>
      <c r="AI125" s="803"/>
      <c r="AJ125" s="128"/>
      <c r="AK125" s="128"/>
      <c r="AL125" s="128"/>
      <c r="AM125" s="50"/>
      <c r="AN125" s="1441"/>
      <c r="AO125" s="1441"/>
      <c r="AP125" s="1441"/>
      <c r="AQ125" s="50"/>
      <c r="AR125" s="50"/>
      <c r="AS125" s="50"/>
      <c r="AT125" s="50"/>
      <c r="AU125" s="50"/>
      <c r="AV125" s="50"/>
      <c r="AW125" s="50"/>
      <c r="AX125" s="34"/>
      <c r="AY125" s="34"/>
      <c r="AZ125" s="34"/>
    </row>
    <row r="126" spans="1:52" ht="13" x14ac:dyDescent="0.3">
      <c r="A126" s="185">
        <v>9257028</v>
      </c>
      <c r="B126" s="38" t="s">
        <v>77</v>
      </c>
      <c r="C126" s="39"/>
      <c r="D126" s="94">
        <f t="shared" si="18"/>
        <v>22084.886415576166</v>
      </c>
      <c r="E126" s="94">
        <f t="shared" si="19"/>
        <v>1553.2227808756861</v>
      </c>
      <c r="F126" s="925">
        <f t="shared" si="20"/>
        <v>39752.795548037095</v>
      </c>
      <c r="G126" s="925">
        <f t="shared" si="21"/>
        <v>1941.5284760946079</v>
      </c>
      <c r="H126" s="1448">
        <f t="shared" si="22"/>
        <v>65332.433220583553</v>
      </c>
      <c r="I126" s="609"/>
      <c r="J126" s="1440"/>
      <c r="K126" s="128"/>
      <c r="L126" s="128"/>
      <c r="M126" s="1440"/>
      <c r="N126" s="128"/>
      <c r="O126" s="1440"/>
      <c r="P126" s="1440"/>
      <c r="Q126" s="1441"/>
      <c r="R126" s="128"/>
      <c r="S126" s="50"/>
      <c r="T126" s="128"/>
      <c r="U126" s="128"/>
      <c r="V126" s="128"/>
      <c r="W126" s="128"/>
      <c r="X126" s="128"/>
      <c r="Y126" s="128"/>
      <c r="Z126" s="128"/>
      <c r="AA126" s="128"/>
      <c r="AB126" s="128"/>
      <c r="AC126" s="128"/>
      <c r="AD126" s="128"/>
      <c r="AE126" s="128"/>
      <c r="AF126" s="1442"/>
      <c r="AG126" s="128"/>
      <c r="AH126" s="1444"/>
      <c r="AI126" s="803"/>
      <c r="AJ126" s="128"/>
      <c r="AK126" s="128"/>
      <c r="AL126" s="128"/>
      <c r="AM126" s="50"/>
      <c r="AN126" s="1441"/>
      <c r="AO126" s="1441"/>
      <c r="AP126" s="1441"/>
      <c r="AQ126" s="50"/>
      <c r="AR126" s="50"/>
      <c r="AS126" s="50"/>
      <c r="AT126" s="50"/>
      <c r="AU126" s="50"/>
      <c r="AV126" s="50"/>
      <c r="AW126" s="50"/>
      <c r="AX126" s="34"/>
      <c r="AY126" s="34"/>
      <c r="AZ126" s="34"/>
    </row>
    <row r="127" spans="1:52" ht="13" x14ac:dyDescent="0.3">
      <c r="A127" s="185">
        <v>9257021</v>
      </c>
      <c r="B127" s="38" t="s">
        <v>78</v>
      </c>
      <c r="C127" s="39"/>
      <c r="D127" s="94">
        <f t="shared" si="18"/>
        <v>41816.745611000137</v>
      </c>
      <c r="E127" s="94">
        <f t="shared" si="19"/>
        <v>0</v>
      </c>
      <c r="F127" s="925">
        <f t="shared" si="20"/>
        <v>59601.457900979716</v>
      </c>
      <c r="G127" s="925">
        <f t="shared" si="21"/>
        <v>0</v>
      </c>
      <c r="H127" s="1448">
        <f t="shared" si="22"/>
        <v>101418.20351197985</v>
      </c>
      <c r="I127" s="609"/>
      <c r="J127" s="1440"/>
      <c r="K127" s="128"/>
      <c r="L127" s="128"/>
      <c r="M127" s="1440"/>
      <c r="N127" s="128"/>
      <c r="O127" s="1440"/>
      <c r="P127" s="1440"/>
      <c r="Q127" s="1441"/>
      <c r="R127" s="128"/>
      <c r="S127" s="50"/>
      <c r="T127" s="128"/>
      <c r="U127" s="128"/>
      <c r="V127" s="128"/>
      <c r="W127" s="128"/>
      <c r="X127" s="128"/>
      <c r="Y127" s="128"/>
      <c r="Z127" s="128"/>
      <c r="AA127" s="128"/>
      <c r="AB127" s="128"/>
      <c r="AC127" s="128"/>
      <c r="AD127" s="128"/>
      <c r="AE127" s="128"/>
      <c r="AF127" s="1442"/>
      <c r="AG127" s="128"/>
      <c r="AH127" s="1444"/>
      <c r="AI127" s="803"/>
      <c r="AJ127" s="128"/>
      <c r="AK127" s="128"/>
      <c r="AL127" s="128"/>
      <c r="AM127" s="50"/>
      <c r="AN127" s="1441"/>
      <c r="AO127" s="1441"/>
      <c r="AP127" s="1441"/>
      <c r="AQ127" s="50"/>
      <c r="AR127" s="50"/>
      <c r="AS127" s="50"/>
      <c r="AT127" s="50"/>
      <c r="AU127" s="50"/>
      <c r="AV127" s="50"/>
      <c r="AW127" s="50"/>
      <c r="AX127" s="34"/>
      <c r="AY127" s="34"/>
      <c r="AZ127" s="34"/>
    </row>
    <row r="128" spans="1:52" ht="13" x14ac:dyDescent="0.3">
      <c r="A128" s="131">
        <v>9257015</v>
      </c>
      <c r="B128" s="38" t="s">
        <v>55</v>
      </c>
      <c r="C128" s="39"/>
      <c r="D128" s="94">
        <f t="shared" si="18"/>
        <v>57458.99647387657</v>
      </c>
      <c r="E128" s="94">
        <f t="shared" si="19"/>
        <v>1641.68561353933</v>
      </c>
      <c r="F128" s="925">
        <f t="shared" si="20"/>
        <v>80083.476335465457</v>
      </c>
      <c r="G128" s="925">
        <f t="shared" si="21"/>
        <v>1231.2642101544975</v>
      </c>
      <c r="H128" s="1448">
        <f t="shared" si="22"/>
        <v>140415.42263303587</v>
      </c>
      <c r="I128" s="609"/>
      <c r="J128" s="1440"/>
      <c r="K128" s="128"/>
      <c r="L128" s="128"/>
      <c r="M128" s="1440"/>
      <c r="N128" s="128"/>
      <c r="O128" s="1440"/>
      <c r="P128" s="1440"/>
      <c r="Q128" s="1441"/>
      <c r="R128" s="128"/>
      <c r="S128" s="50"/>
      <c r="T128" s="128"/>
      <c r="U128" s="128"/>
      <c r="V128" s="128"/>
      <c r="W128" s="128"/>
      <c r="X128" s="128"/>
      <c r="Y128" s="128"/>
      <c r="Z128" s="128"/>
      <c r="AA128" s="128"/>
      <c r="AB128" s="128"/>
      <c r="AC128" s="128"/>
      <c r="AD128" s="128"/>
      <c r="AE128" s="128"/>
      <c r="AF128" s="1442"/>
      <c r="AG128" s="128"/>
      <c r="AH128" s="1444"/>
      <c r="AI128" s="803"/>
      <c r="AJ128" s="128"/>
      <c r="AK128" s="128"/>
      <c r="AL128" s="128"/>
      <c r="AM128" s="50"/>
      <c r="AN128" s="1441"/>
      <c r="AO128" s="1441"/>
      <c r="AP128" s="1441"/>
      <c r="AQ128" s="50"/>
      <c r="AR128" s="50"/>
      <c r="AS128" s="50"/>
      <c r="AT128" s="50"/>
      <c r="AU128" s="50"/>
      <c r="AV128" s="50"/>
      <c r="AW128" s="50"/>
      <c r="AX128" s="34"/>
      <c r="AY128" s="34"/>
      <c r="AZ128" s="34"/>
    </row>
    <row r="129" spans="1:52" ht="13" x14ac:dyDescent="0.3">
      <c r="A129" s="185">
        <v>9257016</v>
      </c>
      <c r="B129" s="38" t="s">
        <v>80</v>
      </c>
      <c r="C129" s="39"/>
      <c r="D129" s="94">
        <f t="shared" si="18"/>
        <v>23457.157560520176</v>
      </c>
      <c r="E129" s="94">
        <f t="shared" si="19"/>
        <v>8018.0829479596223</v>
      </c>
      <c r="F129" s="925">
        <f t="shared" si="20"/>
        <v>31347.292376331508</v>
      </c>
      <c r="G129" s="925">
        <f t="shared" si="21"/>
        <v>20130.506124664586</v>
      </c>
      <c r="H129" s="1448">
        <f t="shared" si="22"/>
        <v>82953.039009475891</v>
      </c>
      <c r="I129" s="609"/>
      <c r="J129" s="1440"/>
      <c r="K129" s="128"/>
      <c r="L129" s="128"/>
      <c r="M129" s="1440"/>
      <c r="N129" s="128"/>
      <c r="O129" s="1440"/>
      <c r="P129" s="1440"/>
      <c r="Q129" s="1441"/>
      <c r="R129" s="128"/>
      <c r="S129" s="50"/>
      <c r="T129" s="128"/>
      <c r="U129" s="128"/>
      <c r="V129" s="128"/>
      <c r="W129" s="128"/>
      <c r="X129" s="128"/>
      <c r="Y129" s="128"/>
      <c r="Z129" s="128"/>
      <c r="AA129" s="128"/>
      <c r="AB129" s="128"/>
      <c r="AC129" s="128"/>
      <c r="AD129" s="128"/>
      <c r="AE129" s="128"/>
      <c r="AF129" s="1442"/>
      <c r="AG129" s="128"/>
      <c r="AH129" s="1444"/>
      <c r="AI129" s="803"/>
      <c r="AJ129" s="128"/>
      <c r="AK129" s="128"/>
      <c r="AL129" s="128"/>
      <c r="AM129" s="50"/>
      <c r="AN129" s="1441"/>
      <c r="AO129" s="1441"/>
      <c r="AP129" s="1441"/>
      <c r="AQ129" s="50"/>
      <c r="AR129" s="50"/>
      <c r="AS129" s="50"/>
      <c r="AT129" s="50"/>
      <c r="AU129" s="50"/>
      <c r="AV129" s="50"/>
      <c r="AW129" s="50"/>
      <c r="AX129" s="34"/>
      <c r="AY129" s="34"/>
      <c r="AZ129" s="34"/>
    </row>
    <row r="130" spans="1:52" ht="13" x14ac:dyDescent="0.3">
      <c r="C130" s="40"/>
      <c r="D130" s="1440">
        <f>SUM(D112:D129)</f>
        <v>436336.44499999611</v>
      </c>
      <c r="E130" s="1440">
        <f>SUM(E112:E129)</f>
        <v>33178.284897914993</v>
      </c>
      <c r="F130" s="1440">
        <f>SUM(F112:F129)</f>
        <v>639644.75370737293</v>
      </c>
      <c r="G130" s="1440">
        <f>SUM(G112:G129)</f>
        <v>69824.432424872124</v>
      </c>
      <c r="H130" s="1558">
        <f>SUM(D130:G130)</f>
        <v>1178983.9160301562</v>
      </c>
      <c r="I130" s="921" t="s">
        <v>1261</v>
      </c>
      <c r="J130" s="50"/>
      <c r="K130" s="50"/>
      <c r="L130" s="50"/>
      <c r="M130" s="50"/>
      <c r="N130" s="50"/>
      <c r="O130" s="50"/>
      <c r="P130" s="50"/>
      <c r="Q130" s="1445"/>
      <c r="R130" s="50"/>
      <c r="S130" s="50"/>
      <c r="T130" s="50"/>
      <c r="U130" s="50"/>
      <c r="V130" s="50"/>
      <c r="W130" s="50"/>
      <c r="X130" s="50"/>
      <c r="Y130" s="50"/>
      <c r="Z130" s="50"/>
      <c r="AA130" s="50"/>
      <c r="AB130" s="50"/>
      <c r="AC130" s="50"/>
      <c r="AD130" s="50"/>
      <c r="AE130" s="50"/>
      <c r="AF130" s="50"/>
      <c r="AG130" s="50"/>
      <c r="AH130" s="50"/>
      <c r="AI130" s="50"/>
      <c r="AJ130" s="61"/>
      <c r="AK130" s="128"/>
      <c r="AL130" s="50"/>
      <c r="AM130" s="50"/>
      <c r="AN130" s="50"/>
      <c r="AO130" s="50"/>
      <c r="AP130" s="50"/>
      <c r="AQ130" s="50"/>
      <c r="AR130" s="50"/>
      <c r="AS130" s="50"/>
      <c r="AT130" s="50"/>
      <c r="AU130" s="50"/>
      <c r="AV130" s="50"/>
      <c r="AW130" s="50"/>
      <c r="AX130" s="34"/>
      <c r="AY130" s="34"/>
      <c r="AZ130" s="34"/>
    </row>
    <row r="131" spans="1:52" x14ac:dyDescent="0.25">
      <c r="C131" s="40"/>
      <c r="D131" s="128"/>
      <c r="E131" s="128"/>
      <c r="F131" s="128"/>
      <c r="G131" s="128"/>
      <c r="H131" s="128"/>
      <c r="I131" s="128"/>
      <c r="J131" s="128"/>
      <c r="K131" s="128"/>
      <c r="L131" s="128"/>
      <c r="M131" s="128"/>
      <c r="N131" s="128"/>
      <c r="O131" s="128"/>
      <c r="P131" s="128"/>
      <c r="Q131" s="1441"/>
      <c r="R131" s="128"/>
      <c r="S131" s="50"/>
      <c r="T131" s="1442"/>
      <c r="U131" s="1442"/>
      <c r="V131" s="128"/>
      <c r="W131" s="128"/>
      <c r="X131" s="128"/>
      <c r="Y131" s="128"/>
      <c r="Z131" s="128"/>
      <c r="AA131" s="128"/>
      <c r="AB131" s="128"/>
      <c r="AC131" s="128"/>
      <c r="AD131" s="128"/>
      <c r="AE131" s="128"/>
      <c r="AF131" s="1442"/>
      <c r="AG131" s="128"/>
      <c r="AH131" s="1446"/>
      <c r="AI131" s="50"/>
      <c r="AJ131" s="128"/>
      <c r="AK131" s="128"/>
      <c r="AL131" s="128"/>
      <c r="AM131" s="50"/>
      <c r="AN131" s="50"/>
      <c r="AO131" s="50"/>
      <c r="AP131" s="50"/>
      <c r="AQ131" s="50"/>
      <c r="AR131" s="50"/>
      <c r="AS131" s="50"/>
      <c r="AT131" s="50"/>
      <c r="AU131" s="50"/>
      <c r="AV131" s="50"/>
      <c r="AW131" s="50"/>
      <c r="AX131" s="34"/>
      <c r="AY131" s="34"/>
      <c r="AZ131" s="34"/>
    </row>
    <row r="132" spans="1:52" x14ac:dyDescent="0.25">
      <c r="B132" s="42">
        <v>1365692.302626061</v>
      </c>
      <c r="C132" s="916" t="s">
        <v>1165</v>
      </c>
      <c r="D132" s="50"/>
      <c r="E132" s="50"/>
      <c r="F132" s="61"/>
      <c r="G132" s="61"/>
      <c r="H132" s="50"/>
      <c r="I132" s="50"/>
      <c r="J132" s="50"/>
      <c r="K132" s="50"/>
      <c r="L132" s="50"/>
      <c r="M132" s="50"/>
      <c r="N132" s="50"/>
      <c r="O132" s="50"/>
      <c r="P132" s="50"/>
      <c r="Q132" s="1445"/>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61"/>
      <c r="AU132" s="61"/>
      <c r="AV132" s="50"/>
      <c r="AW132" s="50"/>
    </row>
    <row r="133" spans="1:52" x14ac:dyDescent="0.25">
      <c r="C133" s="526" t="s">
        <v>1166</v>
      </c>
      <c r="D133" s="803"/>
      <c r="E133" s="803"/>
      <c r="F133" s="803"/>
      <c r="G133" s="803"/>
      <c r="H133" s="803"/>
      <c r="I133" s="803"/>
      <c r="J133" s="803"/>
      <c r="K133" s="803"/>
      <c r="L133" s="803"/>
      <c r="M133" s="803"/>
      <c r="N133" s="803"/>
      <c r="O133" s="803"/>
      <c r="P133" s="803"/>
      <c r="Q133" s="1447"/>
      <c r="R133" s="803"/>
      <c r="S133" s="50"/>
      <c r="T133" s="803"/>
      <c r="U133" s="803"/>
      <c r="V133" s="803"/>
      <c r="W133" s="803"/>
      <c r="X133" s="803"/>
      <c r="Y133" s="803"/>
      <c r="Z133" s="803"/>
      <c r="AA133" s="803"/>
      <c r="AB133" s="803"/>
      <c r="AC133" s="803"/>
      <c r="AD133" s="803"/>
      <c r="AE133" s="803"/>
      <c r="AF133" s="803"/>
      <c r="AG133" s="803"/>
      <c r="AH133" s="50"/>
      <c r="AI133" s="50"/>
      <c r="AJ133" s="50"/>
      <c r="AK133" s="50"/>
      <c r="AL133" s="1446"/>
      <c r="AM133" s="50"/>
      <c r="AN133" s="50"/>
      <c r="AO133" s="50"/>
      <c r="AP133" s="50"/>
      <c r="AQ133" s="50"/>
      <c r="AR133" s="50"/>
      <c r="AS133" s="50"/>
      <c r="AT133" s="61"/>
      <c r="AU133" s="61"/>
      <c r="AV133" s="50"/>
      <c r="AW133" s="50"/>
    </row>
    <row r="134" spans="1:52" x14ac:dyDescent="0.25">
      <c r="A134" s="526" t="s">
        <v>359</v>
      </c>
      <c r="B134" s="1456">
        <f>'2122 Pay &amp; Pension Allocations'!A95</f>
        <v>1400520</v>
      </c>
    </row>
    <row r="136" spans="1:52" x14ac:dyDescent="0.25">
      <c r="B136" s="1458">
        <f>B132-B134</f>
        <v>-34827.69737393898</v>
      </c>
      <c r="C136" s="526" t="s">
        <v>1170</v>
      </c>
    </row>
    <row r="137" spans="1:52" x14ac:dyDescent="0.25">
      <c r="C137" s="526" t="s">
        <v>1171</v>
      </c>
    </row>
    <row r="138" spans="1:52" x14ac:dyDescent="0.25">
      <c r="C138" s="526" t="s">
        <v>1172</v>
      </c>
    </row>
  </sheetData>
  <mergeCells count="3">
    <mergeCell ref="AG110:AG111"/>
    <mergeCell ref="O106:U107"/>
    <mergeCell ref="O108:U10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M67"/>
  <sheetViews>
    <sheetView zoomScaleNormal="100" workbookViewId="0">
      <selection sqref="A1:XFD1048576"/>
    </sheetView>
  </sheetViews>
  <sheetFormatPr defaultColWidth="9.1796875" defaultRowHeight="12" customHeight="1" x14ac:dyDescent="0.35"/>
  <cols>
    <col min="1" max="1" width="10.54296875" style="188" bestFit="1" customWidth="1"/>
    <col min="2" max="5" width="9.1796875" style="187"/>
    <col min="6" max="6" width="10.26953125" style="187" customWidth="1"/>
    <col min="7" max="8" width="9.1796875" style="187" customWidth="1"/>
    <col min="9" max="9" width="10.7265625" style="187" customWidth="1"/>
    <col min="10" max="12" width="10.7265625" style="188" customWidth="1"/>
    <col min="13" max="14" width="10.7265625" style="189" customWidth="1"/>
    <col min="15" max="19" width="10.7265625" style="187" customWidth="1"/>
    <col min="20" max="20" width="3.26953125" style="187" customWidth="1"/>
    <col min="21" max="23" width="10.7265625" style="187" customWidth="1"/>
    <col min="24" max="24" width="9.1796875" style="187" customWidth="1"/>
    <col min="25" max="25" width="10.81640625" style="188" customWidth="1"/>
    <col min="26" max="28" width="9.1796875" style="187" customWidth="1"/>
    <col min="29" max="29" width="11.26953125" style="189" customWidth="1"/>
    <col min="30" max="30" width="11.1796875" style="189" customWidth="1"/>
    <col min="31" max="31" width="14.453125" style="189" customWidth="1"/>
    <col min="32" max="32" width="9.1796875" style="189"/>
    <col min="33" max="33" width="8.81640625" style="189" bestFit="1" customWidth="1"/>
    <col min="34" max="36" width="9.1796875" style="189"/>
    <col min="37" max="37" width="10.453125" style="189" customWidth="1"/>
    <col min="38" max="38" width="13.453125" style="189" customWidth="1"/>
    <col min="39" max="16384" width="9.1796875" style="189"/>
  </cols>
  <sheetData>
    <row r="2" spans="1:38" ht="12" customHeight="1" x14ac:dyDescent="0.35">
      <c r="B2" s="186" t="s">
        <v>219</v>
      </c>
      <c r="V2" s="1903" t="s">
        <v>280</v>
      </c>
    </row>
    <row r="3" spans="1:38" ht="12" customHeight="1" x14ac:dyDescent="0.35">
      <c r="V3" s="1904"/>
      <c r="X3" s="209" t="s">
        <v>250</v>
      </c>
    </row>
    <row r="4" spans="1:38" s="190" customFormat="1" ht="12" customHeight="1" x14ac:dyDescent="0.3">
      <c r="A4" s="188"/>
      <c r="B4" s="187"/>
      <c r="C4" s="187"/>
      <c r="D4" s="187"/>
      <c r="E4" s="187"/>
      <c r="F4" s="1905" t="s">
        <v>206</v>
      </c>
      <c r="G4" s="1905" t="s">
        <v>207</v>
      </c>
      <c r="H4" s="1905" t="s">
        <v>218</v>
      </c>
      <c r="I4" s="1906" t="s">
        <v>274</v>
      </c>
      <c r="J4" s="1907" t="s">
        <v>208</v>
      </c>
      <c r="K4" s="1907" t="s">
        <v>275</v>
      </c>
      <c r="L4" s="1907" t="s">
        <v>276</v>
      </c>
      <c r="M4" s="1907" t="s">
        <v>209</v>
      </c>
      <c r="N4" s="1907" t="s">
        <v>210</v>
      </c>
      <c r="O4" s="1907" t="s">
        <v>211</v>
      </c>
      <c r="P4" s="1907" t="s">
        <v>222</v>
      </c>
      <c r="Q4" s="1907" t="s">
        <v>277</v>
      </c>
      <c r="R4" s="1907" t="s">
        <v>228</v>
      </c>
      <c r="S4" s="1907" t="s">
        <v>229</v>
      </c>
      <c r="T4" s="209"/>
      <c r="U4" s="1907" t="s">
        <v>278</v>
      </c>
      <c r="V4" s="1910" t="s">
        <v>279</v>
      </c>
      <c r="W4" s="209"/>
      <c r="X4" s="1907" t="s">
        <v>249</v>
      </c>
      <c r="Y4" s="1907" t="s">
        <v>281</v>
      </c>
      <c r="Z4" s="1906" t="s">
        <v>430</v>
      </c>
      <c r="AA4" s="1907" t="s">
        <v>431</v>
      </c>
      <c r="AB4" s="1907" t="s">
        <v>432</v>
      </c>
      <c r="AC4" s="1910" t="s">
        <v>433</v>
      </c>
      <c r="AD4" s="1907" t="s">
        <v>434</v>
      </c>
      <c r="AE4" s="1907" t="s">
        <v>435</v>
      </c>
      <c r="AG4" s="1928" t="s">
        <v>541</v>
      </c>
      <c r="AH4" s="1926" t="s">
        <v>542</v>
      </c>
      <c r="AI4" s="1926" t="s">
        <v>543</v>
      </c>
      <c r="AJ4" s="1929" t="s">
        <v>544</v>
      </c>
      <c r="AK4" s="1926" t="s">
        <v>545</v>
      </c>
      <c r="AL4" s="1907" t="s">
        <v>435</v>
      </c>
    </row>
    <row r="5" spans="1:38" s="190" customFormat="1" ht="12" customHeight="1" x14ac:dyDescent="0.3">
      <c r="A5" s="188"/>
      <c r="B5" s="187"/>
      <c r="C5" s="187"/>
      <c r="D5" s="187"/>
      <c r="E5" s="187"/>
      <c r="F5" s="1905"/>
      <c r="G5" s="1905"/>
      <c r="H5" s="1905"/>
      <c r="I5" s="1906"/>
      <c r="J5" s="1907"/>
      <c r="K5" s="1907"/>
      <c r="L5" s="1907"/>
      <c r="M5" s="1907"/>
      <c r="N5" s="1907"/>
      <c r="O5" s="1907"/>
      <c r="P5" s="1907"/>
      <c r="Q5" s="1907"/>
      <c r="R5" s="1907"/>
      <c r="S5" s="1907"/>
      <c r="T5" s="209"/>
      <c r="U5" s="1907"/>
      <c r="V5" s="1911"/>
      <c r="W5" s="209"/>
      <c r="X5" s="1907"/>
      <c r="Y5" s="1907"/>
      <c r="Z5" s="1906"/>
      <c r="AA5" s="1907"/>
      <c r="AB5" s="1907"/>
      <c r="AC5" s="1911"/>
      <c r="AD5" s="1907"/>
      <c r="AE5" s="1907"/>
      <c r="AG5" s="1906"/>
      <c r="AH5" s="1907"/>
      <c r="AI5" s="1907"/>
      <c r="AJ5" s="1911"/>
      <c r="AK5" s="1907"/>
      <c r="AL5" s="1907"/>
    </row>
    <row r="6" spans="1:38" s="190" customFormat="1" ht="12" customHeight="1" x14ac:dyDescent="0.3">
      <c r="A6" s="188"/>
      <c r="B6" s="1913" t="s">
        <v>158</v>
      </c>
      <c r="C6" s="1914"/>
      <c r="D6" s="1914"/>
      <c r="E6" s="1915"/>
      <c r="F6" s="1905"/>
      <c r="G6" s="1905"/>
      <c r="H6" s="1905"/>
      <c r="I6" s="1906"/>
      <c r="J6" s="1907"/>
      <c r="K6" s="1907"/>
      <c r="L6" s="1907"/>
      <c r="M6" s="1907"/>
      <c r="N6" s="1907"/>
      <c r="O6" s="1907"/>
      <c r="P6" s="1907"/>
      <c r="Q6" s="1907"/>
      <c r="R6" s="1907"/>
      <c r="S6" s="1907"/>
      <c r="T6" s="209"/>
      <c r="U6" s="1907"/>
      <c r="V6" s="1912"/>
      <c r="W6" s="209"/>
      <c r="X6" s="1907"/>
      <c r="Y6" s="1907"/>
      <c r="Z6" s="1906"/>
      <c r="AA6" s="1907"/>
      <c r="AB6" s="1907"/>
      <c r="AC6" s="1912"/>
      <c r="AD6" s="1907"/>
      <c r="AE6" s="1907"/>
      <c r="AG6" s="1906"/>
      <c r="AH6" s="1907"/>
      <c r="AI6" s="1907"/>
      <c r="AJ6" s="1912"/>
      <c r="AK6" s="1907"/>
      <c r="AL6" s="1907"/>
    </row>
    <row r="7" spans="1:38" ht="12" customHeight="1" x14ac:dyDescent="0.35">
      <c r="A7" s="220">
        <v>9257010</v>
      </c>
      <c r="B7" s="1916" t="s">
        <v>86</v>
      </c>
      <c r="C7" s="1917"/>
      <c r="D7" s="1917"/>
      <c r="E7" s="1917"/>
      <c r="F7" s="196">
        <v>35258</v>
      </c>
      <c r="G7" s="196">
        <v>35258</v>
      </c>
      <c r="H7" s="196">
        <v>35258</v>
      </c>
      <c r="I7" s="196">
        <v>35258</v>
      </c>
      <c r="J7" s="191"/>
      <c r="K7" s="191"/>
      <c r="L7" s="191"/>
      <c r="M7" s="193">
        <v>0</v>
      </c>
      <c r="N7" s="192"/>
      <c r="O7" s="191"/>
      <c r="P7" s="207"/>
      <c r="Q7" s="207"/>
      <c r="R7" s="209"/>
      <c r="S7" s="209"/>
      <c r="T7" s="209"/>
      <c r="U7" s="209"/>
      <c r="V7" s="194">
        <f>(9/12)*51500</f>
        <v>38625</v>
      </c>
      <c r="W7" s="209"/>
      <c r="X7" s="194">
        <f>(8/12)*864</f>
        <v>576</v>
      </c>
      <c r="Y7" s="212">
        <f>I7+L7+Q7+U7+V7</f>
        <v>73883</v>
      </c>
      <c r="Z7" s="194">
        <f>I7</f>
        <v>35258</v>
      </c>
      <c r="AA7" s="194"/>
      <c r="AB7" s="194"/>
      <c r="AC7" s="194">
        <f>51500*(5/12)</f>
        <v>21458.333333333336</v>
      </c>
      <c r="AD7" s="194"/>
      <c r="AE7" s="194">
        <f>SUM(Z7:AD7)</f>
        <v>56716.333333333336</v>
      </c>
      <c r="AG7" s="194">
        <v>35258</v>
      </c>
      <c r="AH7" s="194"/>
      <c r="AI7" s="194"/>
      <c r="AJ7" s="194">
        <v>0</v>
      </c>
      <c r="AK7" s="194"/>
      <c r="AL7" s="194">
        <f>SUM(AG7:AK7)</f>
        <v>35258</v>
      </c>
    </row>
    <row r="8" spans="1:38" ht="12" customHeight="1" x14ac:dyDescent="0.35">
      <c r="A8" s="220">
        <v>9257030</v>
      </c>
      <c r="B8" s="1908" t="s">
        <v>161</v>
      </c>
      <c r="C8" s="1909"/>
      <c r="D8" s="1909"/>
      <c r="E8" s="1909"/>
      <c r="F8" s="194"/>
      <c r="G8" s="194"/>
      <c r="H8" s="194"/>
      <c r="I8" s="194"/>
      <c r="J8" s="191"/>
      <c r="K8" s="191"/>
      <c r="L8" s="191"/>
      <c r="M8" s="193">
        <v>0</v>
      </c>
      <c r="N8" s="192"/>
      <c r="O8" s="191"/>
      <c r="P8" s="191"/>
      <c r="Q8" s="191"/>
      <c r="R8" s="209"/>
      <c r="S8" s="209"/>
      <c r="T8" s="209"/>
      <c r="U8" s="209"/>
      <c r="V8" s="194"/>
      <c r="W8" s="209"/>
      <c r="X8" s="194"/>
      <c r="Y8" s="212">
        <f t="shared" ref="Y8:Y25" si="0">I8+L8+Q8+U8+V8</f>
        <v>0</v>
      </c>
      <c r="Z8" s="194"/>
      <c r="AA8" s="194"/>
      <c r="AB8" s="194"/>
      <c r="AC8" s="367"/>
      <c r="AD8" s="194"/>
      <c r="AE8" s="194">
        <f t="shared" ref="AE8:AE26" si="1">SUM(Z8:AD8)</f>
        <v>0</v>
      </c>
      <c r="AG8" s="194"/>
      <c r="AH8" s="194"/>
      <c r="AI8" s="194"/>
      <c r="AJ8" s="367"/>
      <c r="AK8" s="194"/>
      <c r="AL8" s="194">
        <f t="shared" ref="AL8:AL26" si="2">SUM(AG8:AK8)</f>
        <v>0</v>
      </c>
    </row>
    <row r="9" spans="1:38" ht="12" customHeight="1" x14ac:dyDescent="0.35">
      <c r="A9" s="220">
        <v>9257031</v>
      </c>
      <c r="B9" s="1908" t="s">
        <v>162</v>
      </c>
      <c r="C9" s="1909"/>
      <c r="D9" s="1909"/>
      <c r="E9" s="1909"/>
      <c r="F9" s="194"/>
      <c r="G9" s="194"/>
      <c r="H9" s="194"/>
      <c r="I9" s="194"/>
      <c r="J9" s="191"/>
      <c r="K9" s="191"/>
      <c r="L9" s="191"/>
      <c r="M9" s="193">
        <v>0</v>
      </c>
      <c r="N9" s="192"/>
      <c r="O9" s="191"/>
      <c r="P9" s="191"/>
      <c r="Q9" s="191"/>
      <c r="R9" s="209"/>
      <c r="S9" s="209"/>
      <c r="T9" s="209"/>
      <c r="U9" s="209"/>
      <c r="V9" s="194"/>
      <c r="W9" s="209"/>
      <c r="X9" s="194"/>
      <c r="Y9" s="212">
        <f t="shared" si="0"/>
        <v>0</v>
      </c>
      <c r="Z9" s="194"/>
      <c r="AA9" s="194"/>
      <c r="AB9" s="194"/>
      <c r="AC9" s="367"/>
      <c r="AD9" s="194"/>
      <c r="AE9" s="194">
        <f t="shared" si="1"/>
        <v>0</v>
      </c>
      <c r="AG9" s="194"/>
      <c r="AH9" s="194"/>
      <c r="AI9" s="194"/>
      <c r="AJ9" s="367"/>
      <c r="AK9" s="194"/>
      <c r="AL9" s="194">
        <f t="shared" si="2"/>
        <v>0</v>
      </c>
    </row>
    <row r="10" spans="1:38" ht="12" customHeight="1" x14ac:dyDescent="0.35">
      <c r="A10" s="220">
        <v>9257008</v>
      </c>
      <c r="B10" s="1916" t="s">
        <v>87</v>
      </c>
      <c r="C10" s="1917"/>
      <c r="D10" s="1917"/>
      <c r="E10" s="1917"/>
      <c r="F10" s="194"/>
      <c r="G10" s="194"/>
      <c r="H10" s="194"/>
      <c r="I10" s="194"/>
      <c r="J10" s="194"/>
      <c r="K10" s="194"/>
      <c r="L10" s="194"/>
      <c r="M10" s="195">
        <v>4</v>
      </c>
      <c r="N10" s="196">
        <v>44916</v>
      </c>
      <c r="O10" s="194">
        <v>51500</v>
      </c>
      <c r="P10" s="194">
        <v>51500</v>
      </c>
      <c r="Q10" s="194">
        <v>51500</v>
      </c>
      <c r="R10" s="209"/>
      <c r="S10" s="209"/>
      <c r="T10" s="209"/>
      <c r="U10" s="209"/>
      <c r="V10" s="194"/>
      <c r="W10" s="209"/>
      <c r="X10" s="194"/>
      <c r="Y10" s="212">
        <f t="shared" si="0"/>
        <v>51500</v>
      </c>
      <c r="Z10" s="194"/>
      <c r="AA10" s="194"/>
      <c r="AB10" s="194">
        <f>Q10*(5/12)</f>
        <v>21458.333333333336</v>
      </c>
      <c r="AC10" s="194">
        <f>51500*(5/12)</f>
        <v>21458.333333333336</v>
      </c>
      <c r="AD10" s="194"/>
      <c r="AE10" s="194">
        <f t="shared" si="1"/>
        <v>42916.666666666672</v>
      </c>
      <c r="AG10" s="194"/>
      <c r="AH10" s="194"/>
      <c r="AI10" s="194">
        <v>617500</v>
      </c>
      <c r="AJ10" s="194">
        <v>0</v>
      </c>
      <c r="AK10" s="194"/>
      <c r="AL10" s="194">
        <f t="shared" si="2"/>
        <v>617500</v>
      </c>
    </row>
    <row r="11" spans="1:38" ht="12" customHeight="1" x14ac:dyDescent="0.35">
      <c r="A11" s="220">
        <v>9257002</v>
      </c>
      <c r="B11" s="1916" t="s">
        <v>53</v>
      </c>
      <c r="C11" s="1917"/>
      <c r="D11" s="1917"/>
      <c r="E11" s="1917"/>
      <c r="F11" s="194"/>
      <c r="G11" s="194"/>
      <c r="H11" s="194"/>
      <c r="I11" s="194"/>
      <c r="J11" s="194">
        <v>60000</v>
      </c>
      <c r="K11" s="194">
        <v>60000</v>
      </c>
      <c r="L11" s="194">
        <v>60000</v>
      </c>
      <c r="M11" s="193">
        <v>0</v>
      </c>
      <c r="N11" s="196"/>
      <c r="O11" s="194"/>
      <c r="P11" s="194"/>
      <c r="Q11" s="194"/>
      <c r="R11" s="209"/>
      <c r="S11" s="209"/>
      <c r="T11" s="209"/>
      <c r="U11" s="209"/>
      <c r="V11" s="194"/>
      <c r="W11" s="209"/>
      <c r="X11" s="194"/>
      <c r="Y11" s="212">
        <f t="shared" si="0"/>
        <v>60000</v>
      </c>
      <c r="Z11" s="194"/>
      <c r="AA11" s="194"/>
      <c r="AB11" s="194"/>
      <c r="AC11" s="367"/>
      <c r="AD11" s="194"/>
      <c r="AE11" s="194">
        <f t="shared" si="1"/>
        <v>0</v>
      </c>
      <c r="AG11" s="194"/>
      <c r="AH11" s="194"/>
      <c r="AI11" s="194"/>
      <c r="AJ11" s="367"/>
      <c r="AK11" s="194"/>
      <c r="AL11" s="194">
        <f t="shared" si="2"/>
        <v>0</v>
      </c>
    </row>
    <row r="12" spans="1:38" ht="12" customHeight="1" x14ac:dyDescent="0.35">
      <c r="A12" s="220">
        <v>9257005</v>
      </c>
      <c r="B12" s="1916" t="s">
        <v>88</v>
      </c>
      <c r="C12" s="1917"/>
      <c r="D12" s="1917"/>
      <c r="E12" s="1917"/>
      <c r="F12" s="196">
        <v>35258</v>
      </c>
      <c r="G12" s="196">
        <v>35258</v>
      </c>
      <c r="H12" s="196">
        <v>35258</v>
      </c>
      <c r="I12" s="196">
        <v>35258</v>
      </c>
      <c r="J12" s="194"/>
      <c r="K12" s="194"/>
      <c r="L12" s="194"/>
      <c r="M12" s="193">
        <v>0</v>
      </c>
      <c r="N12" s="196"/>
      <c r="O12" s="194"/>
      <c r="P12" s="194"/>
      <c r="Q12" s="194"/>
      <c r="R12" s="209"/>
      <c r="S12" s="209"/>
      <c r="T12" s="209"/>
      <c r="U12" s="209"/>
      <c r="V12" s="194"/>
      <c r="W12" s="209"/>
      <c r="X12" s="194">
        <f>(8/12)*2591</f>
        <v>1727.3333333333333</v>
      </c>
      <c r="Y12" s="212">
        <f t="shared" si="0"/>
        <v>35258</v>
      </c>
      <c r="Z12" s="194">
        <f>I12</f>
        <v>35258</v>
      </c>
      <c r="AA12" s="194"/>
      <c r="AB12" s="194"/>
      <c r="AC12" s="367"/>
      <c r="AD12" s="194"/>
      <c r="AE12" s="194">
        <f t="shared" si="1"/>
        <v>35258</v>
      </c>
      <c r="AG12" s="194">
        <v>35258</v>
      </c>
      <c r="AH12" s="194"/>
      <c r="AI12" s="194"/>
      <c r="AJ12" s="367"/>
      <c r="AK12" s="194"/>
      <c r="AL12" s="194">
        <f t="shared" si="2"/>
        <v>35258</v>
      </c>
    </row>
    <row r="13" spans="1:38" ht="12" customHeight="1" x14ac:dyDescent="0.35">
      <c r="A13" s="220">
        <v>9257034</v>
      </c>
      <c r="B13" s="1916" t="s">
        <v>163</v>
      </c>
      <c r="C13" s="1917"/>
      <c r="D13" s="1917"/>
      <c r="E13" s="1917"/>
      <c r="F13" s="194"/>
      <c r="G13" s="194"/>
      <c r="H13" s="194"/>
      <c r="I13" s="194"/>
      <c r="J13" s="194"/>
      <c r="K13" s="194"/>
      <c r="L13" s="194"/>
      <c r="M13" s="193">
        <v>0</v>
      </c>
      <c r="N13" s="196"/>
      <c r="O13" s="194"/>
      <c r="P13" s="194"/>
      <c r="Q13" s="194"/>
      <c r="R13" s="209"/>
      <c r="S13" s="209"/>
      <c r="T13" s="209"/>
      <c r="U13" s="209"/>
      <c r="V13" s="292"/>
      <c r="W13" s="209"/>
      <c r="X13" s="194">
        <f>(8/12)*3455</f>
        <v>2303.333333333333</v>
      </c>
      <c r="Y13" s="212">
        <f t="shared" si="0"/>
        <v>0</v>
      </c>
      <c r="Z13" s="194"/>
      <c r="AA13" s="194"/>
      <c r="AB13" s="194"/>
      <c r="AC13" s="367"/>
      <c r="AD13" s="194"/>
      <c r="AE13" s="194">
        <f t="shared" si="1"/>
        <v>0</v>
      </c>
      <c r="AG13" s="194"/>
      <c r="AH13" s="194"/>
      <c r="AI13" s="194"/>
      <c r="AJ13" s="367"/>
      <c r="AK13" s="194"/>
      <c r="AL13" s="194">
        <f t="shared" si="2"/>
        <v>0</v>
      </c>
    </row>
    <row r="14" spans="1:38" ht="12" customHeight="1" x14ac:dyDescent="0.35">
      <c r="A14" s="220">
        <v>9257021</v>
      </c>
      <c r="B14" s="1916" t="s">
        <v>56</v>
      </c>
      <c r="C14" s="1917"/>
      <c r="D14" s="1917"/>
      <c r="E14" s="1917"/>
      <c r="F14" s="194"/>
      <c r="G14" s="194"/>
      <c r="H14" s="194">
        <v>35258</v>
      </c>
      <c r="I14" s="196">
        <v>35258</v>
      </c>
      <c r="J14" s="194"/>
      <c r="K14" s="194"/>
      <c r="L14" s="194"/>
      <c r="M14" s="193">
        <v>0</v>
      </c>
      <c r="N14" s="196"/>
      <c r="O14" s="194"/>
      <c r="P14" s="194"/>
      <c r="Q14" s="194"/>
      <c r="R14" s="194">
        <v>274420</v>
      </c>
      <c r="S14" s="194">
        <f>R14*(3/12)</f>
        <v>68605</v>
      </c>
      <c r="T14" s="209" t="s">
        <v>220</v>
      </c>
      <c r="U14" s="209"/>
      <c r="V14" s="292"/>
      <c r="W14" s="209"/>
      <c r="X14" s="194"/>
      <c r="Y14" s="212">
        <f t="shared" si="0"/>
        <v>35258</v>
      </c>
      <c r="Z14" s="194">
        <f>I14</f>
        <v>35258</v>
      </c>
      <c r="AA14" s="194"/>
      <c r="AB14" s="194"/>
      <c r="AC14" s="367"/>
      <c r="AD14" s="194"/>
      <c r="AE14" s="194">
        <f t="shared" si="1"/>
        <v>35258</v>
      </c>
      <c r="AG14" s="194">
        <v>35258</v>
      </c>
      <c r="AH14" s="194"/>
      <c r="AI14" s="194"/>
      <c r="AJ14" s="367"/>
      <c r="AK14" s="565"/>
      <c r="AL14" s="194">
        <f t="shared" si="2"/>
        <v>35258</v>
      </c>
    </row>
    <row r="15" spans="1:38" s="187" customFormat="1" ht="12" customHeight="1" x14ac:dyDescent="0.3">
      <c r="A15" s="220">
        <v>9257033</v>
      </c>
      <c r="B15" s="1916" t="s">
        <v>164</v>
      </c>
      <c r="C15" s="1917"/>
      <c r="D15" s="1917"/>
      <c r="E15" s="1917"/>
      <c r="F15" s="196">
        <v>35258</v>
      </c>
      <c r="G15" s="196">
        <v>35258</v>
      </c>
      <c r="H15" s="196">
        <v>35258</v>
      </c>
      <c r="I15" s="196">
        <v>35258</v>
      </c>
      <c r="J15" s="194"/>
      <c r="K15" s="194"/>
      <c r="L15" s="194"/>
      <c r="M15" s="193">
        <v>0</v>
      </c>
      <c r="N15" s="196"/>
      <c r="O15" s="194"/>
      <c r="P15" s="207"/>
      <c r="Q15" s="207"/>
      <c r="R15" s="209"/>
      <c r="S15" s="209"/>
      <c r="T15" s="209"/>
      <c r="U15" s="209"/>
      <c r="V15" s="292">
        <f>(9/12)*51500</f>
        <v>38625</v>
      </c>
      <c r="W15" s="209"/>
      <c r="X15" s="194"/>
      <c r="Y15" s="212">
        <f t="shared" si="0"/>
        <v>73883</v>
      </c>
      <c r="Z15" s="194">
        <f>I15</f>
        <v>35258</v>
      </c>
      <c r="AA15" s="194"/>
      <c r="AB15" s="194"/>
      <c r="AC15" s="194">
        <f>51500*(5/12)</f>
        <v>21458.333333333336</v>
      </c>
      <c r="AD15" s="194"/>
      <c r="AE15" s="194">
        <f t="shared" si="1"/>
        <v>56716.333333333336</v>
      </c>
      <c r="AG15" s="194">
        <v>35258</v>
      </c>
      <c r="AH15" s="194"/>
      <c r="AI15" s="194"/>
      <c r="AJ15" s="194">
        <v>0</v>
      </c>
      <c r="AK15" s="194"/>
      <c r="AL15" s="194">
        <f t="shared" si="2"/>
        <v>35258</v>
      </c>
    </row>
    <row r="16" spans="1:38" s="187" customFormat="1" ht="12" customHeight="1" x14ac:dyDescent="0.3">
      <c r="A16" s="220">
        <v>9257017</v>
      </c>
      <c r="B16" s="1916" t="s">
        <v>54</v>
      </c>
      <c r="C16" s="1917"/>
      <c r="D16" s="1917"/>
      <c r="E16" s="1917"/>
      <c r="F16" s="196">
        <v>55122</v>
      </c>
      <c r="G16" s="196">
        <v>35258</v>
      </c>
      <c r="H16" s="196">
        <v>14690.833333333334</v>
      </c>
      <c r="I16" s="196"/>
      <c r="J16" s="194"/>
      <c r="K16" s="194"/>
      <c r="L16" s="194"/>
      <c r="M16" s="193">
        <v>0</v>
      </c>
      <c r="N16" s="196"/>
      <c r="O16" s="194"/>
      <c r="P16" s="194"/>
      <c r="Q16" s="194"/>
      <c r="R16" s="209"/>
      <c r="S16" s="209"/>
      <c r="T16" s="209"/>
      <c r="U16" s="209"/>
      <c r="V16" s="292"/>
      <c r="W16" s="209"/>
      <c r="X16" s="194"/>
      <c r="Y16" s="212">
        <f t="shared" si="0"/>
        <v>0</v>
      </c>
      <c r="Z16" s="194"/>
      <c r="AA16" s="194"/>
      <c r="AB16" s="194"/>
      <c r="AC16" s="194"/>
      <c r="AD16" s="194"/>
      <c r="AE16" s="194">
        <f t="shared" si="1"/>
        <v>0</v>
      </c>
      <c r="AG16" s="194"/>
      <c r="AH16" s="194"/>
      <c r="AI16" s="194"/>
      <c r="AJ16" s="194"/>
      <c r="AK16" s="194"/>
      <c r="AL16" s="194">
        <f t="shared" si="2"/>
        <v>0</v>
      </c>
    </row>
    <row r="17" spans="1:38" ht="12" customHeight="1" x14ac:dyDescent="0.35">
      <c r="A17" s="220">
        <v>9257015</v>
      </c>
      <c r="B17" s="1916" t="s">
        <v>94</v>
      </c>
      <c r="C17" s="1917"/>
      <c r="D17" s="1917"/>
      <c r="E17" s="1917"/>
      <c r="F17" s="194"/>
      <c r="G17" s="194"/>
      <c r="H17" s="194">
        <f>(7/12)*35258</f>
        <v>20567.166666666668</v>
      </c>
      <c r="I17" s="194">
        <v>35258</v>
      </c>
      <c r="J17" s="194"/>
      <c r="K17" s="194"/>
      <c r="L17" s="194"/>
      <c r="M17" s="195">
        <v>6</v>
      </c>
      <c r="N17" s="196">
        <v>67374</v>
      </c>
      <c r="O17" s="194">
        <v>67374</v>
      </c>
      <c r="P17" s="194">
        <v>51500</v>
      </c>
      <c r="Q17" s="194">
        <v>51500</v>
      </c>
      <c r="R17" s="209"/>
      <c r="S17" s="209"/>
      <c r="T17" s="209" t="s">
        <v>212</v>
      </c>
      <c r="U17" s="209"/>
      <c r="V17" s="292"/>
      <c r="W17" s="209"/>
      <c r="X17" s="194">
        <f>(8/12)*2015</f>
        <v>1343.3333333333333</v>
      </c>
      <c r="Y17" s="212">
        <f t="shared" si="0"/>
        <v>86758</v>
      </c>
      <c r="Z17" s="194">
        <f>I17</f>
        <v>35258</v>
      </c>
      <c r="AA17" s="194"/>
      <c r="AB17" s="194">
        <f>Q17*(5/12)</f>
        <v>21458.333333333336</v>
      </c>
      <c r="AC17" s="367"/>
      <c r="AD17" s="194"/>
      <c r="AE17" s="194">
        <f t="shared" si="1"/>
        <v>56716.333333333336</v>
      </c>
      <c r="AG17" s="194">
        <v>35258</v>
      </c>
      <c r="AH17" s="194"/>
      <c r="AI17" s="194">
        <v>0</v>
      </c>
      <c r="AJ17" s="367"/>
      <c r="AK17" s="194"/>
      <c r="AL17" s="194">
        <f t="shared" si="2"/>
        <v>35258</v>
      </c>
    </row>
    <row r="18" spans="1:38" ht="12" customHeight="1" x14ac:dyDescent="0.35">
      <c r="A18" s="220">
        <v>9257016</v>
      </c>
      <c r="B18" s="1916" t="s">
        <v>95</v>
      </c>
      <c r="C18" s="1917"/>
      <c r="D18" s="1917"/>
      <c r="E18" s="1917"/>
      <c r="F18" s="194"/>
      <c r="G18" s="194"/>
      <c r="H18" s="194"/>
      <c r="I18" s="194"/>
      <c r="J18" s="194">
        <v>60000</v>
      </c>
      <c r="K18" s="194">
        <v>60000</v>
      </c>
      <c r="L18" s="194">
        <v>60000</v>
      </c>
      <c r="M18" s="195">
        <v>8.5</v>
      </c>
      <c r="N18" s="196">
        <v>88935.5</v>
      </c>
      <c r="O18" s="194">
        <v>88936</v>
      </c>
      <c r="P18" s="194">
        <v>88936</v>
      </c>
      <c r="Q18" s="194">
        <v>88936</v>
      </c>
      <c r="R18" s="194">
        <v>582568</v>
      </c>
      <c r="S18" s="194">
        <v>582568</v>
      </c>
      <c r="T18" s="209"/>
      <c r="U18" s="194">
        <v>582568</v>
      </c>
      <c r="V18" s="292"/>
      <c r="W18" s="209"/>
      <c r="X18" s="194">
        <f>(8/12)*5470</f>
        <v>3646.6666666666665</v>
      </c>
      <c r="Y18" s="212">
        <f t="shared" si="0"/>
        <v>731504</v>
      </c>
      <c r="Z18" s="194"/>
      <c r="AA18" s="194">
        <f>L18*(5/12)</f>
        <v>25000</v>
      </c>
      <c r="AB18" s="194">
        <f>Q18*(5/12)</f>
        <v>37056.666666666672</v>
      </c>
      <c r="AC18" s="367"/>
      <c r="AD18" s="194">
        <f>U18</f>
        <v>582568</v>
      </c>
      <c r="AE18" s="194">
        <f t="shared" si="1"/>
        <v>644624.66666666663</v>
      </c>
      <c r="AG18" s="194"/>
      <c r="AH18" s="194">
        <v>0</v>
      </c>
      <c r="AI18" s="194">
        <v>140436</v>
      </c>
      <c r="AJ18" s="367"/>
      <c r="AK18" s="194">
        <v>582568</v>
      </c>
      <c r="AL18" s="194">
        <f t="shared" si="2"/>
        <v>723004</v>
      </c>
    </row>
    <row r="19" spans="1:38" ht="12" customHeight="1" x14ac:dyDescent="0.35">
      <c r="A19" s="220">
        <v>9257032</v>
      </c>
      <c r="B19" s="1918" t="s">
        <v>165</v>
      </c>
      <c r="C19" s="1919"/>
      <c r="D19" s="1919"/>
      <c r="E19" s="1920"/>
      <c r="F19" s="194"/>
      <c r="G19" s="194"/>
      <c r="H19" s="194"/>
      <c r="I19" s="194"/>
      <c r="J19" s="194">
        <v>60000</v>
      </c>
      <c r="K19" s="194">
        <v>60000</v>
      </c>
      <c r="L19" s="194">
        <v>60000</v>
      </c>
      <c r="M19" s="193">
        <v>0</v>
      </c>
      <c r="N19" s="196"/>
      <c r="O19" s="194"/>
      <c r="P19" s="194"/>
      <c r="Q19" s="194"/>
      <c r="R19" s="209"/>
      <c r="S19" s="209"/>
      <c r="T19" s="209"/>
      <c r="U19" s="209"/>
      <c r="V19" s="292"/>
      <c r="W19" s="209"/>
      <c r="X19" s="194"/>
      <c r="Y19" s="212">
        <f t="shared" si="0"/>
        <v>60000</v>
      </c>
      <c r="Z19" s="194"/>
      <c r="AA19" s="194">
        <f>L19*(5/12)</f>
        <v>25000</v>
      </c>
      <c r="AB19" s="194"/>
      <c r="AC19" s="367"/>
      <c r="AD19" s="194"/>
      <c r="AE19" s="194">
        <f t="shared" si="1"/>
        <v>25000</v>
      </c>
      <c r="AG19" s="194"/>
      <c r="AH19" s="194">
        <v>0</v>
      </c>
      <c r="AI19" s="194"/>
      <c r="AJ19" s="367"/>
      <c r="AK19" s="194"/>
      <c r="AL19" s="194">
        <f t="shared" si="2"/>
        <v>0</v>
      </c>
    </row>
    <row r="20" spans="1:38" ht="12" customHeight="1" x14ac:dyDescent="0.35">
      <c r="A20" s="220">
        <v>9257025</v>
      </c>
      <c r="B20" s="1916" t="s">
        <v>52</v>
      </c>
      <c r="C20" s="1917"/>
      <c r="D20" s="1917"/>
      <c r="E20" s="1917"/>
      <c r="F20" s="196">
        <v>35258</v>
      </c>
      <c r="G20" s="196">
        <v>35258</v>
      </c>
      <c r="H20" s="196">
        <v>35258</v>
      </c>
      <c r="I20" s="196">
        <v>35258</v>
      </c>
      <c r="J20" s="194"/>
      <c r="K20" s="194"/>
      <c r="L20" s="194"/>
      <c r="M20" s="193">
        <v>0</v>
      </c>
      <c r="N20" s="196"/>
      <c r="O20" s="194"/>
      <c r="P20" s="207"/>
      <c r="Q20" s="207"/>
      <c r="R20" s="194">
        <v>327644</v>
      </c>
      <c r="S20" s="194">
        <v>327644</v>
      </c>
      <c r="T20" s="209"/>
      <c r="U20" s="194">
        <v>327644</v>
      </c>
      <c r="V20" s="292">
        <f>(9/12)*51500</f>
        <v>38625</v>
      </c>
      <c r="W20" s="209"/>
      <c r="X20" s="194">
        <f>(8/12)*1727</f>
        <v>1151.3333333333333</v>
      </c>
      <c r="Y20" s="212">
        <f t="shared" si="0"/>
        <v>401527</v>
      </c>
      <c r="Z20" s="194">
        <f>I20</f>
        <v>35258</v>
      </c>
      <c r="AA20" s="194"/>
      <c r="AB20" s="194"/>
      <c r="AC20" s="194">
        <f>51500*(5/12)</f>
        <v>21458.333333333336</v>
      </c>
      <c r="AD20" s="194">
        <f>U20</f>
        <v>327644</v>
      </c>
      <c r="AE20" s="194">
        <f t="shared" si="1"/>
        <v>384360.33333333331</v>
      </c>
      <c r="AG20" s="194">
        <v>35258</v>
      </c>
      <c r="AH20" s="194"/>
      <c r="AI20" s="194"/>
      <c r="AJ20" s="194">
        <v>0</v>
      </c>
      <c r="AK20" s="194">
        <f>327644+209307</f>
        <v>536951</v>
      </c>
      <c r="AL20" s="194">
        <f t="shared" si="2"/>
        <v>572209</v>
      </c>
    </row>
    <row r="21" spans="1:38" ht="12" customHeight="1" x14ac:dyDescent="0.35">
      <c r="A21" s="220">
        <v>9257011</v>
      </c>
      <c r="B21" s="1916" t="s">
        <v>89</v>
      </c>
      <c r="C21" s="1917"/>
      <c r="D21" s="1917"/>
      <c r="E21" s="1917"/>
      <c r="F21" s="196">
        <v>35258</v>
      </c>
      <c r="G21" s="196">
        <v>35258</v>
      </c>
      <c r="H21" s="196">
        <v>35258</v>
      </c>
      <c r="I21" s="196">
        <v>35258</v>
      </c>
      <c r="J21" s="194"/>
      <c r="K21" s="194"/>
      <c r="L21" s="194"/>
      <c r="M21" s="193">
        <v>0</v>
      </c>
      <c r="N21" s="196"/>
      <c r="O21" s="194"/>
      <c r="P21" s="194"/>
      <c r="Q21" s="194"/>
      <c r="R21" s="209"/>
      <c r="S21" s="209"/>
      <c r="T21" s="209"/>
      <c r="U21" s="209"/>
      <c r="V21" s="292">
        <f>((9/12)*51500)/2</f>
        <v>19312.5</v>
      </c>
      <c r="W21" s="209"/>
      <c r="X21" s="194">
        <f>(8/12)*500</f>
        <v>333.33333333333331</v>
      </c>
      <c r="Y21" s="212">
        <f t="shared" si="0"/>
        <v>54570.5</v>
      </c>
      <c r="Z21" s="194">
        <f>I21</f>
        <v>35258</v>
      </c>
      <c r="AA21" s="194"/>
      <c r="AB21" s="194"/>
      <c r="AC21" s="194">
        <f>(51500)*(5/12)</f>
        <v>21458.333333333336</v>
      </c>
      <c r="AD21" s="194"/>
      <c r="AE21" s="194">
        <f t="shared" si="1"/>
        <v>56716.333333333336</v>
      </c>
      <c r="AG21" s="194">
        <v>35258</v>
      </c>
      <c r="AH21" s="194"/>
      <c r="AI21" s="194"/>
      <c r="AJ21" s="194">
        <v>0</v>
      </c>
      <c r="AK21" s="194"/>
      <c r="AL21" s="194">
        <f t="shared" si="2"/>
        <v>35258</v>
      </c>
    </row>
    <row r="22" spans="1:38" ht="12" customHeight="1" x14ac:dyDescent="0.35">
      <c r="A22" s="220">
        <v>9257009</v>
      </c>
      <c r="B22" s="1916" t="s">
        <v>93</v>
      </c>
      <c r="C22" s="1917"/>
      <c r="D22" s="1917"/>
      <c r="E22" s="1917"/>
      <c r="F22" s="194"/>
      <c r="G22" s="194"/>
      <c r="H22" s="194"/>
      <c r="I22" s="194"/>
      <c r="J22" s="194"/>
      <c r="K22" s="194"/>
      <c r="L22" s="194"/>
      <c r="M22" s="193">
        <v>0</v>
      </c>
      <c r="N22" s="196"/>
      <c r="O22" s="194"/>
      <c r="P22" s="207"/>
      <c r="Q22" s="207"/>
      <c r="R22" s="209"/>
      <c r="S22" s="209"/>
      <c r="T22" s="209"/>
      <c r="U22" s="209"/>
      <c r="V22" s="292">
        <f>((9/12)*51500)/2</f>
        <v>19312.5</v>
      </c>
      <c r="W22" s="209"/>
      <c r="X22" s="194"/>
      <c r="Y22" s="212">
        <f t="shared" si="0"/>
        <v>19312.5</v>
      </c>
      <c r="Z22" s="194"/>
      <c r="AA22" s="194"/>
      <c r="AB22" s="194"/>
      <c r="AC22" s="194">
        <f>(51500)*(5/12)</f>
        <v>21458.333333333336</v>
      </c>
      <c r="AD22" s="194"/>
      <c r="AE22" s="194">
        <f t="shared" si="1"/>
        <v>21458.333333333336</v>
      </c>
      <c r="AG22" s="194"/>
      <c r="AH22" s="194"/>
      <c r="AI22" s="194"/>
      <c r="AJ22" s="194">
        <v>0</v>
      </c>
      <c r="AK22" s="194"/>
      <c r="AL22" s="194">
        <f t="shared" si="2"/>
        <v>0</v>
      </c>
    </row>
    <row r="23" spans="1:38" ht="12" customHeight="1" x14ac:dyDescent="0.35">
      <c r="A23" s="220">
        <v>9257024</v>
      </c>
      <c r="B23" s="1916" t="s">
        <v>90</v>
      </c>
      <c r="C23" s="1917"/>
      <c r="D23" s="1917"/>
      <c r="E23" s="1917"/>
      <c r="F23" s="196">
        <v>35258</v>
      </c>
      <c r="G23" s="196">
        <v>35258</v>
      </c>
      <c r="H23" s="196">
        <v>35258</v>
      </c>
      <c r="I23" s="196">
        <v>35258</v>
      </c>
      <c r="J23" s="194">
        <v>60000</v>
      </c>
      <c r="K23" s="194">
        <v>60000</v>
      </c>
      <c r="L23" s="194">
        <v>60000</v>
      </c>
      <c r="M23" s="193">
        <v>0</v>
      </c>
      <c r="N23" s="196"/>
      <c r="O23" s="194"/>
      <c r="P23" s="194"/>
      <c r="Q23" s="194"/>
      <c r="R23" s="209"/>
      <c r="S23" s="209"/>
      <c r="T23" s="209"/>
      <c r="U23" s="209"/>
      <c r="V23" s="292"/>
      <c r="W23" s="209"/>
      <c r="X23" s="194">
        <f>(8/12)*1152</f>
        <v>768</v>
      </c>
      <c r="Y23" s="212">
        <f t="shared" si="0"/>
        <v>95258</v>
      </c>
      <c r="Z23" s="194">
        <f>I23</f>
        <v>35258</v>
      </c>
      <c r="AA23" s="194">
        <f>L23*(5/12)</f>
        <v>25000</v>
      </c>
      <c r="AB23" s="194"/>
      <c r="AC23" s="367"/>
      <c r="AD23" s="194"/>
      <c r="AE23" s="194">
        <f t="shared" si="1"/>
        <v>60258</v>
      </c>
      <c r="AG23" s="194">
        <v>35258</v>
      </c>
      <c r="AH23" s="194">
        <v>0</v>
      </c>
      <c r="AI23" s="194"/>
      <c r="AJ23" s="367"/>
      <c r="AK23" s="194"/>
      <c r="AL23" s="194">
        <f t="shared" si="2"/>
        <v>35258</v>
      </c>
    </row>
    <row r="24" spans="1:38" ht="12" customHeight="1" x14ac:dyDescent="0.35">
      <c r="A24" s="220">
        <v>9257028</v>
      </c>
      <c r="B24" s="1916" t="s">
        <v>135</v>
      </c>
      <c r="C24" s="1917"/>
      <c r="D24" s="1917"/>
      <c r="E24" s="1917"/>
      <c r="F24" s="196">
        <v>35258</v>
      </c>
      <c r="G24" s="196">
        <v>35258</v>
      </c>
      <c r="H24" s="196">
        <v>35258</v>
      </c>
      <c r="I24" s="196">
        <v>35258</v>
      </c>
      <c r="J24" s="194">
        <v>60000</v>
      </c>
      <c r="K24" s="194">
        <v>60000</v>
      </c>
      <c r="L24" s="194">
        <v>60000</v>
      </c>
      <c r="M24" s="193">
        <v>0</v>
      </c>
      <c r="N24" s="196"/>
      <c r="O24" s="194"/>
      <c r="P24" s="194"/>
      <c r="Q24" s="194"/>
      <c r="R24" s="209"/>
      <c r="S24" s="209"/>
      <c r="T24" s="209"/>
      <c r="U24" s="209"/>
      <c r="V24" s="194"/>
      <c r="W24" s="209"/>
      <c r="X24" s="194">
        <f>(8/12)*2015</f>
        <v>1343.3333333333333</v>
      </c>
      <c r="Y24" s="212">
        <f t="shared" si="0"/>
        <v>95258</v>
      </c>
      <c r="Z24" s="194">
        <f>I24</f>
        <v>35258</v>
      </c>
      <c r="AA24" s="194"/>
      <c r="AB24" s="194"/>
      <c r="AC24" s="367"/>
      <c r="AD24" s="194"/>
      <c r="AE24" s="194">
        <f t="shared" si="1"/>
        <v>35258</v>
      </c>
      <c r="AG24" s="194">
        <v>35258</v>
      </c>
      <c r="AH24" s="194"/>
      <c r="AI24" s="194"/>
      <c r="AJ24" s="367"/>
      <c r="AK24" s="194"/>
      <c r="AL24" s="194">
        <f t="shared" si="2"/>
        <v>35258</v>
      </c>
    </row>
    <row r="25" spans="1:38" ht="12" customHeight="1" x14ac:dyDescent="0.35">
      <c r="A25" s="220">
        <v>9257029</v>
      </c>
      <c r="B25" s="1921" t="s">
        <v>91</v>
      </c>
      <c r="C25" s="1922"/>
      <c r="D25" s="1922"/>
      <c r="E25" s="1923"/>
      <c r="F25" s="196"/>
      <c r="G25" s="196"/>
      <c r="H25" s="196"/>
      <c r="I25" s="196"/>
      <c r="J25" s="194">
        <v>60000</v>
      </c>
      <c r="K25" s="194">
        <v>60000</v>
      </c>
      <c r="L25" s="194">
        <v>60000</v>
      </c>
      <c r="M25" s="193">
        <v>0</v>
      </c>
      <c r="N25" s="196"/>
      <c r="O25" s="194"/>
      <c r="P25" s="194"/>
      <c r="Q25" s="194"/>
      <c r="R25" s="209"/>
      <c r="S25" s="209"/>
      <c r="T25" s="209"/>
      <c r="U25" s="209"/>
      <c r="V25" s="194"/>
      <c r="W25" s="209"/>
      <c r="X25" s="194"/>
      <c r="Y25" s="212">
        <f t="shared" si="0"/>
        <v>60000</v>
      </c>
      <c r="Z25" s="194"/>
      <c r="AA25" s="194">
        <f>L25*(5/12)</f>
        <v>25000</v>
      </c>
      <c r="AB25" s="194"/>
      <c r="AC25" s="367"/>
      <c r="AD25" s="194"/>
      <c r="AE25" s="194">
        <f t="shared" si="1"/>
        <v>25000</v>
      </c>
      <c r="AG25" s="194"/>
      <c r="AH25" s="194">
        <v>0</v>
      </c>
      <c r="AI25" s="194"/>
      <c r="AJ25" s="367"/>
      <c r="AK25" s="194"/>
      <c r="AL25" s="194">
        <f t="shared" si="2"/>
        <v>0</v>
      </c>
    </row>
    <row r="26" spans="1:38" ht="12" customHeight="1" x14ac:dyDescent="0.35">
      <c r="B26" s="1924" t="s">
        <v>62</v>
      </c>
      <c r="C26" s="1924"/>
      <c r="D26" s="1924"/>
      <c r="E26" s="1924"/>
      <c r="F26" s="197">
        <v>301928</v>
      </c>
      <c r="G26" s="197">
        <v>282064</v>
      </c>
      <c r="H26" s="197">
        <v>317322</v>
      </c>
      <c r="I26" s="197">
        <v>317322</v>
      </c>
      <c r="J26" s="197">
        <v>360000</v>
      </c>
      <c r="K26" s="197">
        <v>360000</v>
      </c>
      <c r="L26" s="197">
        <v>360000</v>
      </c>
      <c r="M26" s="198">
        <v>18.5</v>
      </c>
      <c r="N26" s="197">
        <v>201225.5</v>
      </c>
      <c r="O26" s="197">
        <v>207810</v>
      </c>
      <c r="P26" s="197">
        <v>191936</v>
      </c>
      <c r="Q26" s="197">
        <v>191936</v>
      </c>
      <c r="R26" s="197">
        <v>1184632</v>
      </c>
      <c r="S26" s="197">
        <v>978817</v>
      </c>
      <c r="T26" s="197">
        <v>0</v>
      </c>
      <c r="U26" s="197">
        <v>910212</v>
      </c>
      <c r="V26" s="197">
        <v>154500</v>
      </c>
      <c r="W26" s="209"/>
      <c r="X26" s="212">
        <f>SUM(X7:X25)</f>
        <v>13192.666666666668</v>
      </c>
      <c r="Y26" s="212">
        <f>I26+L26+Q26+U26+V26</f>
        <v>1933970</v>
      </c>
      <c r="Z26" s="194">
        <f>SUM(Z7:Z25)</f>
        <v>317322</v>
      </c>
      <c r="AA26" s="194">
        <f>SUM(AA7:AA25)</f>
        <v>100000</v>
      </c>
      <c r="AB26" s="194">
        <f>SUM(AB7:AB25)</f>
        <v>79973.333333333343</v>
      </c>
      <c r="AC26" s="194">
        <f>SUM(AC7:AC25)</f>
        <v>128750.00000000003</v>
      </c>
      <c r="AD26" s="194">
        <f>SUM(AD7:AD25)</f>
        <v>910212</v>
      </c>
      <c r="AE26" s="194">
        <f t="shared" si="1"/>
        <v>1536257.3333333335</v>
      </c>
      <c r="AG26" s="194">
        <f>SUM(AG7:AG25)</f>
        <v>317322</v>
      </c>
      <c r="AH26" s="194">
        <f>SUM(AH7:AH25)</f>
        <v>0</v>
      </c>
      <c r="AI26" s="194">
        <f>SUM(AI7:AI25)</f>
        <v>757936</v>
      </c>
      <c r="AJ26" s="194">
        <f>SUM(AJ7:AJ25)</f>
        <v>0</v>
      </c>
      <c r="AK26" s="194">
        <f>SUM(AK7:AK25)</f>
        <v>1119519</v>
      </c>
      <c r="AL26" s="194">
        <f t="shared" si="2"/>
        <v>2194777</v>
      </c>
    </row>
    <row r="27" spans="1:38" ht="15" customHeight="1" x14ac:dyDescent="0.35"/>
    <row r="28" spans="1:38" ht="15" hidden="1" customHeight="1" x14ac:dyDescent="0.35">
      <c r="B28" s="199" t="s">
        <v>115</v>
      </c>
    </row>
    <row r="29" spans="1:38" ht="15" hidden="1" customHeight="1" x14ac:dyDescent="0.35">
      <c r="B29" s="200" t="s">
        <v>213</v>
      </c>
    </row>
    <row r="30" spans="1:38" ht="15" hidden="1" customHeight="1" x14ac:dyDescent="0.35">
      <c r="B30" s="1930" t="s">
        <v>223</v>
      </c>
      <c r="C30" s="1930"/>
      <c r="D30" s="1930"/>
      <c r="E30" s="1930"/>
      <c r="F30" s="1930"/>
      <c r="G30" s="1930"/>
      <c r="H30" s="1930"/>
      <c r="I30" s="1930"/>
      <c r="J30" s="1930"/>
      <c r="K30" s="1930"/>
      <c r="L30" s="1930"/>
      <c r="M30" s="1930"/>
      <c r="N30" s="1930"/>
      <c r="O30" s="1930"/>
      <c r="P30" s="1930"/>
      <c r="Q30" s="1930"/>
      <c r="R30" s="1930"/>
      <c r="S30" s="1930"/>
      <c r="T30" s="1930"/>
      <c r="U30" s="1930"/>
      <c r="V30" s="1930"/>
    </row>
    <row r="31" spans="1:38" ht="15" hidden="1" customHeight="1" x14ac:dyDescent="0.35">
      <c r="B31" s="1930"/>
      <c r="C31" s="1930"/>
      <c r="D31" s="1930"/>
      <c r="E31" s="1930"/>
      <c r="F31" s="1930"/>
      <c r="G31" s="1930"/>
      <c r="H31" s="1930"/>
      <c r="I31" s="1930"/>
      <c r="J31" s="1930"/>
      <c r="K31" s="1930"/>
      <c r="L31" s="1930"/>
      <c r="M31" s="1930"/>
      <c r="N31" s="1930"/>
      <c r="O31" s="1930"/>
      <c r="P31" s="1930"/>
      <c r="Q31" s="1930"/>
      <c r="R31" s="1930"/>
      <c r="S31" s="1930"/>
      <c r="T31" s="1930"/>
      <c r="U31" s="1930"/>
      <c r="V31" s="1930"/>
    </row>
    <row r="32" spans="1:38" ht="15" hidden="1" customHeight="1" x14ac:dyDescent="0.35">
      <c r="B32" s="1930"/>
      <c r="C32" s="1930"/>
      <c r="D32" s="1930"/>
      <c r="E32" s="1930"/>
      <c r="F32" s="1930"/>
      <c r="G32" s="1930"/>
      <c r="H32" s="1930"/>
      <c r="I32" s="1930"/>
      <c r="J32" s="1930"/>
      <c r="K32" s="1930"/>
      <c r="L32" s="1930"/>
      <c r="M32" s="1930"/>
      <c r="N32" s="1930"/>
      <c r="O32" s="1930"/>
      <c r="P32" s="1930"/>
      <c r="Q32" s="1930"/>
      <c r="R32" s="1930"/>
      <c r="S32" s="1930"/>
      <c r="T32" s="1930"/>
      <c r="U32" s="1930"/>
      <c r="V32" s="1930"/>
    </row>
    <row r="33" spans="1:28" ht="18.75" hidden="1" customHeight="1" x14ac:dyDescent="0.35">
      <c r="B33" s="1930"/>
      <c r="C33" s="1930"/>
      <c r="D33" s="1930"/>
      <c r="E33" s="1930"/>
      <c r="F33" s="1930"/>
      <c r="G33" s="1930"/>
      <c r="H33" s="1930"/>
      <c r="I33" s="1930"/>
      <c r="J33" s="1930"/>
      <c r="K33" s="1930"/>
      <c r="L33" s="1930"/>
      <c r="M33" s="1930"/>
      <c r="N33" s="1930"/>
      <c r="O33" s="1930"/>
      <c r="P33" s="1930"/>
      <c r="Q33" s="1930"/>
      <c r="R33" s="1930"/>
      <c r="S33" s="1930"/>
      <c r="T33" s="1930"/>
      <c r="U33" s="1930"/>
      <c r="V33" s="1930"/>
    </row>
    <row r="34" spans="1:28" ht="15" hidden="1" customHeight="1" x14ac:dyDescent="0.35">
      <c r="B34" s="201"/>
      <c r="C34" s="201"/>
      <c r="D34" s="201"/>
      <c r="E34" s="201"/>
      <c r="F34" s="201"/>
      <c r="G34" s="201"/>
      <c r="H34" s="201"/>
      <c r="I34" s="201"/>
      <c r="J34" s="522"/>
      <c r="K34" s="522"/>
      <c r="L34" s="522"/>
      <c r="M34" s="201"/>
      <c r="N34" s="201"/>
    </row>
    <row r="35" spans="1:28" ht="15" hidden="1" customHeight="1" x14ac:dyDescent="0.35">
      <c r="B35" s="200" t="s">
        <v>139</v>
      </c>
    </row>
    <row r="36" spans="1:28" ht="15" hidden="1" customHeight="1" x14ac:dyDescent="0.35">
      <c r="B36" s="1930" t="s">
        <v>214</v>
      </c>
      <c r="C36" s="1930"/>
      <c r="D36" s="1930"/>
      <c r="E36" s="1930"/>
      <c r="F36" s="1930"/>
      <c r="G36" s="1930"/>
      <c r="H36" s="1930"/>
      <c r="I36" s="1930"/>
      <c r="J36" s="1930"/>
      <c r="K36" s="1930"/>
      <c r="L36" s="1930"/>
      <c r="M36" s="1930"/>
      <c r="N36" s="1930"/>
      <c r="O36" s="1930"/>
      <c r="P36" s="1930"/>
      <c r="Q36" s="1930"/>
      <c r="R36" s="1930"/>
      <c r="S36" s="1930"/>
      <c r="T36" s="1930"/>
      <c r="U36" s="1930"/>
      <c r="V36" s="1930"/>
    </row>
    <row r="37" spans="1:28" ht="15" hidden="1" customHeight="1" x14ac:dyDescent="0.35">
      <c r="B37" s="1930"/>
      <c r="C37" s="1930"/>
      <c r="D37" s="1930"/>
      <c r="E37" s="1930"/>
      <c r="F37" s="1930"/>
      <c r="G37" s="1930"/>
      <c r="H37" s="1930"/>
      <c r="I37" s="1930"/>
      <c r="J37" s="1930"/>
      <c r="K37" s="1930"/>
      <c r="L37" s="1930"/>
      <c r="M37" s="1930"/>
      <c r="N37" s="1930"/>
      <c r="O37" s="1930"/>
      <c r="P37" s="1930"/>
      <c r="Q37" s="1930"/>
      <c r="R37" s="1930"/>
      <c r="S37" s="1930"/>
      <c r="T37" s="1930"/>
      <c r="U37" s="1930"/>
      <c r="V37" s="1930"/>
    </row>
    <row r="38" spans="1:28" ht="23.25" hidden="1" customHeight="1" x14ac:dyDescent="0.35">
      <c r="B38" s="1930"/>
      <c r="C38" s="1930"/>
      <c r="D38" s="1930"/>
      <c r="E38" s="1930"/>
      <c r="F38" s="1930"/>
      <c r="G38" s="1930"/>
      <c r="H38" s="1930"/>
      <c r="I38" s="1930"/>
      <c r="J38" s="1930"/>
      <c r="K38" s="1930"/>
      <c r="L38" s="1930"/>
      <c r="M38" s="1930"/>
      <c r="N38" s="1930"/>
      <c r="O38" s="1930"/>
      <c r="P38" s="1930"/>
      <c r="Q38" s="1930"/>
      <c r="R38" s="1930"/>
      <c r="S38" s="1930"/>
      <c r="T38" s="1930"/>
      <c r="U38" s="1930"/>
      <c r="V38" s="1930"/>
    </row>
    <row r="39" spans="1:28" s="205" customFormat="1" ht="15.5" hidden="1" x14ac:dyDescent="0.35">
      <c r="A39" s="188"/>
      <c r="B39" s="203"/>
      <c r="C39" s="203"/>
      <c r="D39" s="203"/>
      <c r="E39" s="203"/>
      <c r="F39" s="203"/>
      <c r="G39" s="203"/>
      <c r="H39" s="203"/>
      <c r="I39" s="203"/>
      <c r="J39" s="203"/>
      <c r="K39" s="203"/>
      <c r="L39" s="203"/>
      <c r="M39" s="203"/>
      <c r="N39" s="203"/>
      <c r="O39" s="204"/>
      <c r="P39" s="204"/>
      <c r="Q39" s="204"/>
      <c r="R39" s="204"/>
      <c r="S39" s="204"/>
      <c r="T39" s="204"/>
      <c r="U39" s="204"/>
      <c r="V39" s="204"/>
      <c r="W39" s="204"/>
      <c r="X39" s="204"/>
      <c r="Y39" s="188"/>
      <c r="Z39" s="204"/>
      <c r="AA39" s="204"/>
      <c r="AB39" s="204"/>
    </row>
    <row r="40" spans="1:28" s="205" customFormat="1" ht="15.5" hidden="1" x14ac:dyDescent="0.35">
      <c r="A40" s="188"/>
      <c r="B40" s="206" t="s">
        <v>215</v>
      </c>
      <c r="C40" s="203"/>
      <c r="D40" s="203"/>
      <c r="E40" s="203"/>
      <c r="F40" s="203"/>
      <c r="G40" s="203"/>
      <c r="H40" s="203"/>
      <c r="I40" s="203"/>
      <c r="J40" s="203"/>
      <c r="K40" s="203"/>
      <c r="L40" s="203"/>
      <c r="M40" s="203"/>
      <c r="N40" s="203"/>
      <c r="O40" s="204"/>
      <c r="P40" s="204"/>
      <c r="Q40" s="204"/>
      <c r="R40" s="204"/>
      <c r="S40" s="204"/>
      <c r="T40" s="204"/>
      <c r="U40" s="204"/>
      <c r="V40" s="204"/>
      <c r="W40" s="204"/>
      <c r="X40" s="204"/>
      <c r="Y40" s="188"/>
      <c r="Z40" s="204"/>
      <c r="AA40" s="204"/>
      <c r="AB40" s="204"/>
    </row>
    <row r="41" spans="1:28" s="205" customFormat="1" ht="15.75" hidden="1" customHeight="1" x14ac:dyDescent="0.35">
      <c r="A41" s="188"/>
      <c r="B41" s="1931" t="s">
        <v>216</v>
      </c>
      <c r="C41" s="1931"/>
      <c r="D41" s="1931"/>
      <c r="E41" s="1931"/>
      <c r="F41" s="1931"/>
      <c r="G41" s="1931"/>
      <c r="H41" s="1931"/>
      <c r="I41" s="1931"/>
      <c r="J41" s="1931"/>
      <c r="K41" s="1931"/>
      <c r="L41" s="1931"/>
      <c r="M41" s="1931"/>
      <c r="N41" s="1931"/>
      <c r="O41" s="1931"/>
      <c r="P41" s="1931"/>
      <c r="Q41" s="1931"/>
      <c r="R41" s="1931"/>
      <c r="S41" s="1931"/>
      <c r="T41" s="1931"/>
      <c r="U41" s="1931"/>
      <c r="V41" s="1931"/>
      <c r="W41" s="204"/>
      <c r="X41" s="204"/>
      <c r="Y41" s="188"/>
      <c r="Z41" s="204"/>
      <c r="AA41" s="204"/>
      <c r="AB41" s="204"/>
    </row>
    <row r="42" spans="1:28" s="205" customFormat="1" ht="15.5" hidden="1" x14ac:dyDescent="0.35">
      <c r="A42" s="188"/>
      <c r="B42" s="1931"/>
      <c r="C42" s="1931"/>
      <c r="D42" s="1931"/>
      <c r="E42" s="1931"/>
      <c r="F42" s="1931"/>
      <c r="G42" s="1931"/>
      <c r="H42" s="1931"/>
      <c r="I42" s="1931"/>
      <c r="J42" s="1931"/>
      <c r="K42" s="1931"/>
      <c r="L42" s="1931"/>
      <c r="M42" s="1931"/>
      <c r="N42" s="1931"/>
      <c r="O42" s="1931"/>
      <c r="P42" s="1931"/>
      <c r="Q42" s="1931"/>
      <c r="R42" s="1931"/>
      <c r="S42" s="1931"/>
      <c r="T42" s="1931"/>
      <c r="U42" s="1931"/>
      <c r="V42" s="1931"/>
      <c r="W42" s="204"/>
      <c r="X42" s="204"/>
      <c r="Y42" s="188"/>
      <c r="Z42" s="204"/>
      <c r="AA42" s="204"/>
      <c r="AB42" s="204"/>
    </row>
    <row r="43" spans="1:28" s="205" customFormat="1" ht="15.5" hidden="1" x14ac:dyDescent="0.35">
      <c r="A43" s="188"/>
      <c r="B43" s="1931"/>
      <c r="C43" s="1931"/>
      <c r="D43" s="1931"/>
      <c r="E43" s="1931"/>
      <c r="F43" s="1931"/>
      <c r="G43" s="1931"/>
      <c r="H43" s="1931"/>
      <c r="I43" s="1931"/>
      <c r="J43" s="1931"/>
      <c r="K43" s="1931"/>
      <c r="L43" s="1931"/>
      <c r="M43" s="1931"/>
      <c r="N43" s="1931"/>
      <c r="O43" s="1931"/>
      <c r="P43" s="1931"/>
      <c r="Q43" s="1931"/>
      <c r="R43" s="1931"/>
      <c r="S43" s="1931"/>
      <c r="T43" s="1931"/>
      <c r="U43" s="1931"/>
      <c r="V43" s="1931"/>
      <c r="W43" s="204"/>
      <c r="X43" s="204"/>
      <c r="Y43" s="188"/>
      <c r="Z43" s="204"/>
      <c r="AA43" s="204"/>
      <c r="AB43" s="204"/>
    </row>
    <row r="44" spans="1:28" s="205" customFormat="1" ht="15.5" hidden="1" x14ac:dyDescent="0.35">
      <c r="A44" s="188"/>
      <c r="B44" s="1931"/>
      <c r="C44" s="1931"/>
      <c r="D44" s="1931"/>
      <c r="E44" s="1931"/>
      <c r="F44" s="1931"/>
      <c r="G44" s="1931"/>
      <c r="H44" s="1931"/>
      <c r="I44" s="1931"/>
      <c r="J44" s="1931"/>
      <c r="K44" s="1931"/>
      <c r="L44" s="1931"/>
      <c r="M44" s="1931"/>
      <c r="N44" s="1931"/>
      <c r="O44" s="1931"/>
      <c r="P44" s="1931"/>
      <c r="Q44" s="1931"/>
      <c r="R44" s="1931"/>
      <c r="S44" s="1931"/>
      <c r="T44" s="1931"/>
      <c r="U44" s="1931"/>
      <c r="V44" s="1931"/>
      <c r="W44" s="204"/>
      <c r="X44" s="204"/>
      <c r="Y44" s="188"/>
      <c r="Z44" s="204"/>
      <c r="AA44" s="204"/>
      <c r="AB44" s="204"/>
    </row>
    <row r="45" spans="1:28" s="205" customFormat="1" ht="15" hidden="1" customHeight="1" x14ac:dyDescent="0.35">
      <c r="A45" s="188"/>
      <c r="B45" s="203"/>
      <c r="C45" s="203"/>
      <c r="D45" s="203"/>
      <c r="E45" s="203"/>
      <c r="F45" s="203"/>
      <c r="G45" s="203"/>
      <c r="H45" s="203"/>
      <c r="I45" s="203"/>
      <c r="J45" s="203"/>
      <c r="K45" s="203"/>
      <c r="L45" s="203"/>
      <c r="M45" s="203"/>
      <c r="N45" s="203"/>
      <c r="O45" s="204"/>
      <c r="P45" s="204"/>
      <c r="Q45" s="204"/>
      <c r="R45" s="204"/>
      <c r="S45" s="204"/>
      <c r="T45" s="204"/>
      <c r="U45" s="204"/>
      <c r="V45" s="204"/>
      <c r="W45" s="204"/>
      <c r="X45" s="204"/>
      <c r="Y45" s="188"/>
      <c r="Z45" s="204"/>
      <c r="AA45" s="204"/>
      <c r="AB45" s="204"/>
    </row>
    <row r="46" spans="1:28" ht="15" hidden="1" customHeight="1" x14ac:dyDescent="0.35">
      <c r="B46" s="1930" t="s">
        <v>217</v>
      </c>
      <c r="C46" s="1930"/>
      <c r="D46" s="1930"/>
      <c r="E46" s="1930"/>
      <c r="F46" s="1930"/>
      <c r="G46" s="1930"/>
      <c r="H46" s="1930"/>
      <c r="I46" s="1930"/>
      <c r="J46" s="1930"/>
      <c r="K46" s="1930"/>
      <c r="L46" s="1930"/>
      <c r="M46" s="1930"/>
      <c r="N46" s="1930"/>
      <c r="O46" s="1930"/>
      <c r="P46" s="1930"/>
      <c r="Q46" s="1930"/>
      <c r="R46" s="1930"/>
      <c r="S46" s="1930"/>
      <c r="T46" s="1930"/>
      <c r="U46" s="1930"/>
      <c r="V46" s="1930"/>
    </row>
    <row r="47" spans="1:28" ht="15.5" hidden="1" x14ac:dyDescent="0.35">
      <c r="B47" s="1930"/>
      <c r="C47" s="1930"/>
      <c r="D47" s="1930"/>
      <c r="E47" s="1930"/>
      <c r="F47" s="1930"/>
      <c r="G47" s="1930"/>
      <c r="H47" s="1930"/>
      <c r="I47" s="1930"/>
      <c r="J47" s="1930"/>
      <c r="K47" s="1930"/>
      <c r="L47" s="1930"/>
      <c r="M47" s="1930"/>
      <c r="N47" s="1930"/>
      <c r="O47" s="1930"/>
      <c r="P47" s="1930"/>
      <c r="Q47" s="1930"/>
      <c r="R47" s="1930"/>
      <c r="S47" s="1930"/>
      <c r="T47" s="1930"/>
      <c r="U47" s="1930"/>
      <c r="V47" s="1930"/>
    </row>
    <row r="48" spans="1:28" ht="15" hidden="1" customHeight="1" x14ac:dyDescent="0.35">
      <c r="B48" s="1930" t="s">
        <v>221</v>
      </c>
      <c r="C48" s="1930"/>
      <c r="D48" s="1930"/>
      <c r="E48" s="1930"/>
      <c r="F48" s="1930"/>
      <c r="G48" s="1930"/>
      <c r="H48" s="1930"/>
      <c r="I48" s="1930"/>
      <c r="J48" s="1930"/>
      <c r="K48" s="1930"/>
      <c r="L48" s="1930"/>
      <c r="M48" s="1930"/>
      <c r="N48" s="1930"/>
      <c r="O48" s="1930"/>
      <c r="P48" s="1930"/>
      <c r="Q48" s="1930"/>
      <c r="R48" s="1930"/>
      <c r="S48" s="1930"/>
      <c r="T48" s="1930"/>
      <c r="U48" s="1930"/>
      <c r="V48" s="1930"/>
    </row>
    <row r="49" spans="1:39" ht="37.5" hidden="1" customHeight="1" x14ac:dyDescent="0.35">
      <c r="B49" s="1930"/>
      <c r="C49" s="1930"/>
      <c r="D49" s="1930"/>
      <c r="E49" s="1930"/>
      <c r="F49" s="1930"/>
      <c r="G49" s="1930"/>
      <c r="H49" s="1930"/>
      <c r="I49" s="1930"/>
      <c r="J49" s="1930"/>
      <c r="K49" s="1930"/>
      <c r="L49" s="1930"/>
      <c r="M49" s="1930"/>
      <c r="N49" s="1930"/>
      <c r="O49" s="1930"/>
      <c r="P49" s="1930"/>
      <c r="Q49" s="1930"/>
      <c r="R49" s="1930"/>
      <c r="S49" s="1930"/>
      <c r="T49" s="1930"/>
      <c r="U49" s="1930"/>
      <c r="V49" s="1930"/>
    </row>
    <row r="50" spans="1:39" ht="15" hidden="1" customHeight="1" x14ac:dyDescent="0.35"/>
    <row r="51" spans="1:39" ht="15" hidden="1" customHeight="1" x14ac:dyDescent="0.35">
      <c r="B51" s="200" t="s">
        <v>184</v>
      </c>
      <c r="F51" s="211" t="s">
        <v>142</v>
      </c>
      <c r="G51" s="211" t="s">
        <v>225</v>
      </c>
    </row>
    <row r="52" spans="1:39" ht="15" hidden="1" customHeight="1" x14ac:dyDescent="0.35">
      <c r="A52" s="188">
        <v>9257021</v>
      </c>
      <c r="B52" s="1908" t="s">
        <v>56</v>
      </c>
      <c r="C52" s="1909"/>
      <c r="D52" s="1909"/>
      <c r="E52" s="1932"/>
      <c r="F52" s="194">
        <v>274420</v>
      </c>
      <c r="G52" s="194">
        <f>F52*(3/12)</f>
        <v>68605</v>
      </c>
      <c r="J52" s="188" t="s">
        <v>226</v>
      </c>
    </row>
    <row r="53" spans="1:39" ht="15" hidden="1" customHeight="1" x14ac:dyDescent="0.35">
      <c r="A53" s="188">
        <v>9257016</v>
      </c>
      <c r="B53" s="1916" t="s">
        <v>95</v>
      </c>
      <c r="C53" s="1917"/>
      <c r="D53" s="1917"/>
      <c r="E53" s="1927"/>
      <c r="F53" s="194">
        <v>582568</v>
      </c>
      <c r="G53" s="194">
        <f>F53</f>
        <v>582568</v>
      </c>
    </row>
    <row r="54" spans="1:39" ht="15" hidden="1" customHeight="1" x14ac:dyDescent="0.35">
      <c r="A54" s="188">
        <v>9257025</v>
      </c>
      <c r="B54" s="1916" t="s">
        <v>52</v>
      </c>
      <c r="C54" s="1917"/>
      <c r="D54" s="1917"/>
      <c r="E54" s="1927"/>
      <c r="F54" s="194">
        <v>327644</v>
      </c>
      <c r="G54" s="194">
        <f>F54</f>
        <v>327644</v>
      </c>
    </row>
    <row r="55" spans="1:39" ht="15" hidden="1" customHeight="1" x14ac:dyDescent="0.35">
      <c r="F55" s="210">
        <f>SUM(F52:F54)</f>
        <v>1184632</v>
      </c>
      <c r="G55" s="212">
        <f>SUM(G52:G54)</f>
        <v>978817</v>
      </c>
      <c r="H55" s="187" t="s">
        <v>227</v>
      </c>
    </row>
    <row r="56" spans="1:39" ht="15" hidden="1" customHeight="1" x14ac:dyDescent="0.35">
      <c r="F56" s="208"/>
      <c r="G56" s="208"/>
    </row>
    <row r="57" spans="1:39" ht="15" hidden="1" customHeight="1" x14ac:dyDescent="0.35">
      <c r="B57" s="187" t="s">
        <v>224</v>
      </c>
    </row>
    <row r="58" spans="1:39" ht="15" hidden="1" customHeight="1" x14ac:dyDescent="0.35"/>
    <row r="59" spans="1:39" ht="15" customHeight="1" x14ac:dyDescent="0.35">
      <c r="Z59" s="188" t="s">
        <v>402</v>
      </c>
      <c r="AA59" s="366">
        <f>L26-AA26</f>
        <v>260000</v>
      </c>
      <c r="AB59" s="366">
        <f>Q26-AB26</f>
        <v>111962.66666666666</v>
      </c>
      <c r="AC59" s="366">
        <f>206000-AC26</f>
        <v>77249.999999999971</v>
      </c>
      <c r="AD59" s="366" t="s">
        <v>402</v>
      </c>
      <c r="AE59" s="208"/>
      <c r="AG59" s="620" t="s">
        <v>402</v>
      </c>
      <c r="AH59" s="620" t="s">
        <v>402</v>
      </c>
      <c r="AI59" s="620" t="s">
        <v>402</v>
      </c>
      <c r="AJ59" s="620" t="s">
        <v>402</v>
      </c>
      <c r="AK59" s="620" t="s">
        <v>402</v>
      </c>
      <c r="AL59" s="620" t="s">
        <v>402</v>
      </c>
      <c r="AM59" s="621"/>
    </row>
    <row r="60" spans="1:39" ht="15" customHeight="1" x14ac:dyDescent="0.35">
      <c r="AC60" s="366"/>
      <c r="AD60" s="208"/>
      <c r="AE60" s="208"/>
      <c r="AG60" s="621"/>
      <c r="AH60" s="621"/>
      <c r="AI60" s="621"/>
      <c r="AJ60" s="621"/>
      <c r="AK60" s="621"/>
      <c r="AL60" s="621"/>
      <c r="AM60" s="621"/>
    </row>
    <row r="61" spans="1:39" ht="15" customHeight="1" x14ac:dyDescent="0.35">
      <c r="AA61" s="188" t="s">
        <v>402</v>
      </c>
      <c r="AB61" s="188" t="s">
        <v>402</v>
      </c>
      <c r="AC61" s="188" t="s">
        <v>402</v>
      </c>
      <c r="AD61" s="208"/>
      <c r="AE61" s="208"/>
      <c r="AG61" s="621"/>
      <c r="AH61" s="620" t="s">
        <v>562</v>
      </c>
      <c r="AI61" s="622">
        <f>SUM(AA64:AC64)</f>
        <v>757936</v>
      </c>
      <c r="AJ61" s="620"/>
      <c r="AK61" s="620" t="s">
        <v>524</v>
      </c>
      <c r="AL61" s="622">
        <f>AL26-AE64</f>
        <v>209307</v>
      </c>
      <c r="AM61" s="621"/>
    </row>
    <row r="62" spans="1:39" ht="15" customHeight="1" x14ac:dyDescent="0.35">
      <c r="AA62" s="208">
        <f>((L18+L19+L23+L24+L25)*(7/12))+L11</f>
        <v>235000</v>
      </c>
      <c r="AB62" s="366">
        <f>Q26*(7/12)</f>
        <v>111962.66666666667</v>
      </c>
      <c r="AC62" s="366">
        <f>(7/12)*206000</f>
        <v>120166.66666666667</v>
      </c>
      <c r="AD62" s="208"/>
      <c r="AE62" s="208"/>
      <c r="AG62" s="621"/>
      <c r="AH62" s="620"/>
      <c r="AI62" s="620" t="s">
        <v>402</v>
      </c>
      <c r="AJ62" s="620"/>
      <c r="AK62" s="1925" t="s">
        <v>563</v>
      </c>
      <c r="AL62" s="1925"/>
      <c r="AM62" s="621"/>
    </row>
    <row r="63" spans="1:39" ht="15" customHeight="1" x14ac:dyDescent="0.35">
      <c r="AC63" s="208"/>
      <c r="AD63" s="208"/>
      <c r="AE63" s="208"/>
      <c r="AG63" s="621"/>
      <c r="AH63" s="620"/>
      <c r="AI63" s="620"/>
      <c r="AJ63" s="620"/>
      <c r="AK63" s="1925"/>
      <c r="AL63" s="1925"/>
      <c r="AM63" s="621"/>
    </row>
    <row r="64" spans="1:39" ht="12" customHeight="1" x14ac:dyDescent="0.35">
      <c r="Z64" s="208">
        <f>I26</f>
        <v>317322</v>
      </c>
      <c r="AA64" s="208">
        <f>L26</f>
        <v>360000</v>
      </c>
      <c r="AB64" s="208">
        <f>Q26</f>
        <v>191936</v>
      </c>
      <c r="AC64" s="366">
        <f>206000</f>
        <v>206000</v>
      </c>
      <c r="AD64" s="366">
        <f>U26</f>
        <v>910212</v>
      </c>
      <c r="AE64" s="366">
        <f>SUM(Z64:AD64)</f>
        <v>1985470</v>
      </c>
      <c r="AG64" s="621"/>
      <c r="AH64" s="620"/>
      <c r="AI64" s="620"/>
      <c r="AJ64" s="620"/>
      <c r="AK64" s="1925"/>
      <c r="AL64" s="1925"/>
      <c r="AM64" s="621"/>
    </row>
    <row r="65" spans="2:38" s="189" customFormat="1" ht="12" customHeight="1" x14ac:dyDescent="0.35">
      <c r="B65" s="368"/>
      <c r="C65" s="187"/>
      <c r="D65" s="187"/>
      <c r="E65" s="187"/>
      <c r="F65" s="187"/>
      <c r="G65" s="187"/>
      <c r="H65" s="187"/>
      <c r="I65" s="187"/>
      <c r="J65" s="188"/>
      <c r="K65" s="188"/>
      <c r="L65" s="188"/>
      <c r="O65" s="187"/>
      <c r="P65" s="187"/>
      <c r="Q65" s="187"/>
      <c r="R65" s="187"/>
      <c r="S65" s="187"/>
      <c r="T65" s="187"/>
      <c r="U65" s="187"/>
      <c r="V65" s="187"/>
      <c r="W65" s="187"/>
      <c r="X65" s="187"/>
      <c r="Y65" s="188"/>
      <c r="Z65" s="187"/>
      <c r="AA65" s="187"/>
      <c r="AB65" s="187"/>
      <c r="AC65" s="366"/>
      <c r="AD65" s="366"/>
      <c r="AE65" s="366"/>
    </row>
    <row r="66" spans="2:38" s="189" customFormat="1" ht="12" customHeight="1" x14ac:dyDescent="0.35">
      <c r="B66" s="187"/>
      <c r="C66" s="187"/>
      <c r="D66" s="187"/>
      <c r="E66" s="422" t="s">
        <v>513</v>
      </c>
      <c r="F66" s="187"/>
      <c r="G66" s="187"/>
      <c r="H66" s="187"/>
      <c r="I66" s="187"/>
      <c r="J66" s="188"/>
      <c r="K66" s="188"/>
      <c r="L66" s="188"/>
      <c r="O66" s="187"/>
      <c r="P66" s="187"/>
      <c r="Q66" s="187"/>
      <c r="R66" s="187"/>
      <c r="S66" s="187"/>
      <c r="T66" s="187"/>
      <c r="U66" s="187"/>
      <c r="V66" s="187"/>
      <c r="W66" s="187"/>
      <c r="X66" s="187"/>
      <c r="Y66" s="188"/>
      <c r="Z66" s="208">
        <f>Z26</f>
        <v>317322</v>
      </c>
      <c r="AA66" s="187"/>
      <c r="AB66" s="187"/>
      <c r="AC66" s="366"/>
      <c r="AD66" s="366">
        <f>AD26</f>
        <v>910212</v>
      </c>
      <c r="AE66" s="366"/>
      <c r="AL66" s="620" t="s">
        <v>564</v>
      </c>
    </row>
    <row r="67" spans="2:38" s="189" customFormat="1" ht="12" customHeight="1" x14ac:dyDescent="0.35">
      <c r="B67" s="187"/>
      <c r="C67" s="187"/>
      <c r="D67" s="187"/>
      <c r="E67" s="187"/>
      <c r="F67" s="187"/>
      <c r="G67" s="187"/>
      <c r="H67" s="187"/>
      <c r="I67" s="187"/>
      <c r="J67" s="188"/>
      <c r="K67" s="188"/>
      <c r="L67" s="188"/>
      <c r="O67" s="187"/>
      <c r="P67" s="187"/>
      <c r="Q67" s="187"/>
      <c r="R67" s="187"/>
      <c r="S67" s="187"/>
      <c r="T67" s="187"/>
      <c r="U67" s="187"/>
      <c r="V67" s="187"/>
      <c r="W67" s="187"/>
      <c r="X67" s="187"/>
      <c r="Y67" s="188"/>
      <c r="Z67" s="187"/>
      <c r="AA67" s="187"/>
      <c r="AB67" s="187"/>
      <c r="AL67" s="620" t="s">
        <v>565</v>
      </c>
    </row>
  </sheetData>
  <mergeCells count="61">
    <mergeCell ref="AK62:AL64"/>
    <mergeCell ref="AK4:AK6"/>
    <mergeCell ref="AL4:AL6"/>
    <mergeCell ref="B53:E53"/>
    <mergeCell ref="B54:E54"/>
    <mergeCell ref="AG4:AG6"/>
    <mergeCell ref="AH4:AH6"/>
    <mergeCell ref="AI4:AI6"/>
    <mergeCell ref="AJ4:AJ6"/>
    <mergeCell ref="B30:V33"/>
    <mergeCell ref="B36:V38"/>
    <mergeCell ref="B41:V44"/>
    <mergeCell ref="B46:V47"/>
    <mergeCell ref="B48:V49"/>
    <mergeCell ref="B52:E52"/>
    <mergeCell ref="B21:E21"/>
    <mergeCell ref="B22:E22"/>
    <mergeCell ref="B23:E23"/>
    <mergeCell ref="B24:E24"/>
    <mergeCell ref="B25:E25"/>
    <mergeCell ref="B26:E26"/>
    <mergeCell ref="B20:E20"/>
    <mergeCell ref="B9:E9"/>
    <mergeCell ref="B10:E10"/>
    <mergeCell ref="B11:E11"/>
    <mergeCell ref="B12:E12"/>
    <mergeCell ref="B13:E13"/>
    <mergeCell ref="B14:E14"/>
    <mergeCell ref="B15:E15"/>
    <mergeCell ref="B16:E16"/>
    <mergeCell ref="B17:E17"/>
    <mergeCell ref="B18:E18"/>
    <mergeCell ref="B19:E19"/>
    <mergeCell ref="AC4:AC6"/>
    <mergeCell ref="AD4:AD6"/>
    <mergeCell ref="AE4:AE6"/>
    <mergeCell ref="B6:E6"/>
    <mergeCell ref="B7:E7"/>
    <mergeCell ref="AA4:AA6"/>
    <mergeCell ref="AB4:AB6"/>
    <mergeCell ref="B8:E8"/>
    <mergeCell ref="V4:V6"/>
    <mergeCell ref="X4:X6"/>
    <mergeCell ref="Y4:Y6"/>
    <mergeCell ref="Z4:Z6"/>
    <mergeCell ref="O4:O6"/>
    <mergeCell ref="P4:P6"/>
    <mergeCell ref="Q4:Q6"/>
    <mergeCell ref="R4:R6"/>
    <mergeCell ref="S4:S6"/>
    <mergeCell ref="U4:U6"/>
    <mergeCell ref="V2:V3"/>
    <mergeCell ref="F4:F6"/>
    <mergeCell ref="G4:G6"/>
    <mergeCell ref="H4:H6"/>
    <mergeCell ref="I4:I6"/>
    <mergeCell ref="J4:J6"/>
    <mergeCell ref="K4:K6"/>
    <mergeCell ref="L4:L6"/>
    <mergeCell ref="M4:M6"/>
    <mergeCell ref="N4:N6"/>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B148"/>
  <sheetViews>
    <sheetView topLeftCell="A79" workbookViewId="0">
      <selection activeCell="L127" sqref="L127"/>
    </sheetView>
  </sheetViews>
  <sheetFormatPr defaultColWidth="10.26953125" defaultRowHeight="12.5" x14ac:dyDescent="0.25"/>
  <cols>
    <col min="1" max="1" width="9.1796875" style="34" customWidth="1"/>
    <col min="2" max="2" width="26.7265625" style="34" customWidth="1"/>
    <col min="3" max="3" width="10.7265625" style="34" bestFit="1" customWidth="1"/>
    <col min="4" max="4" width="12.1796875" style="34" bestFit="1" customWidth="1"/>
    <col min="5" max="5" width="16.453125" style="34" customWidth="1"/>
    <col min="6" max="6" width="12.7265625" style="34" customWidth="1"/>
    <col min="7" max="7" width="14.54296875" style="34" customWidth="1"/>
    <col min="8" max="8" width="13.26953125" style="34" customWidth="1"/>
    <col min="9" max="9" width="13" style="1478" customWidth="1"/>
    <col min="10" max="10" width="12.81640625" style="1478" customWidth="1"/>
    <col min="11" max="11" width="12.26953125" style="34" customWidth="1"/>
    <col min="12" max="12" width="11.1796875" style="34" customWidth="1"/>
    <col min="13" max="13" width="13.26953125" style="34" customWidth="1"/>
    <col min="14" max="14" width="11.453125" style="34" customWidth="1"/>
    <col min="15" max="15" width="12.81640625" style="34" customWidth="1"/>
    <col min="16" max="16" width="12.453125" style="34" customWidth="1"/>
    <col min="17" max="17" width="12.453125" style="34" bestFit="1" customWidth="1"/>
    <col min="18" max="18" width="11.54296875" style="34" customWidth="1"/>
    <col min="19" max="19" width="12.453125" style="347" customWidth="1"/>
    <col min="20" max="20" width="12.26953125" style="34" customWidth="1"/>
    <col min="21" max="22" width="11.26953125" style="34" customWidth="1"/>
    <col min="23" max="23" width="10.26953125" style="34" customWidth="1"/>
    <col min="24" max="24" width="11.1796875" style="34" bestFit="1" customWidth="1"/>
    <col min="25" max="25" width="11.1796875" style="34" customWidth="1"/>
    <col min="26" max="26" width="12.81640625" style="34" customWidth="1"/>
    <col min="27" max="27" width="11" style="34" customWidth="1"/>
    <col min="28" max="28" width="12.7265625" style="34" customWidth="1"/>
    <col min="29" max="29" width="13.1796875" style="34" customWidth="1"/>
    <col min="30" max="30" width="12.1796875" style="34" customWidth="1"/>
    <col min="31" max="31" width="11" style="34" customWidth="1"/>
    <col min="32" max="32" width="10.54296875" style="34" bestFit="1" customWidth="1"/>
    <col min="33" max="33" width="12.453125" style="34" customWidth="1"/>
    <col min="34" max="34" width="10.26953125" style="34" customWidth="1"/>
    <col min="35" max="35" width="28.54296875" style="34" bestFit="1" customWidth="1"/>
    <col min="36" max="36" width="11.1796875" style="34" customWidth="1"/>
    <col min="37" max="37" width="2" style="34" customWidth="1"/>
    <col min="38" max="38" width="10" style="34" customWidth="1"/>
    <col min="39" max="39" width="9.7265625" style="34" customWidth="1"/>
    <col min="40" max="40" width="10.54296875" style="34" bestFit="1" customWidth="1"/>
    <col min="41" max="41" width="10.26953125" style="34" customWidth="1"/>
    <col min="42" max="42" width="15" style="34" customWidth="1"/>
    <col min="43" max="43" width="14.1796875" style="34" customWidth="1"/>
    <col min="44" max="47" width="10.26953125" style="34"/>
    <col min="48" max="48" width="14.7265625" style="1478" customWidth="1"/>
    <col min="49" max="49" width="13.26953125" style="1478" customWidth="1"/>
    <col min="50" max="51" width="10.26953125" style="34"/>
    <col min="52" max="52" width="19" style="1478" bestFit="1" customWidth="1"/>
    <col min="53" max="53" width="16.81640625" style="1478" customWidth="1"/>
    <col min="54" max="54" width="10.26953125" style="1478"/>
    <col min="55" max="16384" width="10.26953125" style="34"/>
  </cols>
  <sheetData>
    <row r="1" spans="1:54" x14ac:dyDescent="0.25">
      <c r="A1" s="63" t="s">
        <v>97</v>
      </c>
      <c r="C1" s="33"/>
      <c r="S1" s="976"/>
      <c r="T1" s="810"/>
      <c r="U1" s="810"/>
      <c r="V1" s="810"/>
      <c r="W1" s="810"/>
      <c r="AV1" s="34"/>
      <c r="AW1" s="34"/>
      <c r="AZ1" s="34"/>
      <c r="BA1" s="34"/>
      <c r="BB1" s="34"/>
    </row>
    <row r="2" spans="1:54" ht="13" x14ac:dyDescent="0.3">
      <c r="A2" s="63"/>
      <c r="C2" s="33"/>
      <c r="E2" s="332" t="s">
        <v>920</v>
      </c>
      <c r="S2" s="976"/>
      <c r="T2" s="810"/>
      <c r="U2" s="810"/>
      <c r="V2" s="810"/>
      <c r="W2" s="810"/>
      <c r="AV2" s="34"/>
      <c r="AW2" s="34"/>
      <c r="AZ2" s="34"/>
      <c r="BA2" s="34"/>
      <c r="BB2" s="34"/>
    </row>
    <row r="3" spans="1:54" ht="13" x14ac:dyDescent="0.3">
      <c r="A3" s="230" t="s">
        <v>929</v>
      </c>
      <c r="C3" s="47"/>
      <c r="K3" s="231" t="s">
        <v>853</v>
      </c>
      <c r="S3" s="976"/>
      <c r="T3" s="810"/>
      <c r="U3" s="810"/>
      <c r="V3" s="810"/>
      <c r="W3" s="810"/>
      <c r="AV3" s="34"/>
      <c r="AW3" s="34"/>
      <c r="AZ3" s="34"/>
      <c r="BA3" s="34"/>
      <c r="BB3" s="34"/>
    </row>
    <row r="4" spans="1:54" x14ac:dyDescent="0.25">
      <c r="B4" s="35"/>
      <c r="C4" s="35"/>
      <c r="O4" s="1886"/>
      <c r="P4" s="1886"/>
      <c r="R4" s="976"/>
      <c r="S4" s="810"/>
      <c r="T4" s="810"/>
      <c r="U4" s="810"/>
      <c r="V4" s="810"/>
      <c r="AV4" s="34"/>
      <c r="AW4" s="34"/>
      <c r="AZ4" s="34"/>
      <c r="BA4" s="34"/>
      <c r="BB4" s="34"/>
    </row>
    <row r="5" spans="1:54" ht="37.5" x14ac:dyDescent="0.25">
      <c r="A5" s="183" t="s">
        <v>201</v>
      </c>
      <c r="B5" s="36" t="s">
        <v>66</v>
      </c>
      <c r="C5" s="1482" t="s">
        <v>51</v>
      </c>
      <c r="D5" s="1483" t="s">
        <v>858</v>
      </c>
      <c r="E5" s="1483" t="s">
        <v>859</v>
      </c>
      <c r="F5" s="1483" t="s">
        <v>860</v>
      </c>
      <c r="G5" s="1483" t="s">
        <v>861</v>
      </c>
      <c r="H5" s="1483" t="s">
        <v>862</v>
      </c>
      <c r="I5" s="1483" t="s">
        <v>863</v>
      </c>
      <c r="J5" s="1483" t="s">
        <v>864</v>
      </c>
      <c r="K5" s="1484" t="s">
        <v>253</v>
      </c>
      <c r="L5" s="1484" t="s">
        <v>336</v>
      </c>
      <c r="M5" s="1484" t="s">
        <v>386</v>
      </c>
      <c r="N5" s="1484" t="s">
        <v>387</v>
      </c>
      <c r="O5" s="384"/>
      <c r="P5" s="384"/>
      <c r="R5" s="977" t="s">
        <v>900</v>
      </c>
      <c r="S5" s="34"/>
      <c r="AV5" s="34"/>
      <c r="AW5" s="34"/>
      <c r="AZ5" s="34"/>
      <c r="BA5" s="34"/>
      <c r="BB5" s="34"/>
    </row>
    <row r="6" spans="1:54" x14ac:dyDescent="0.25">
      <c r="A6" s="185">
        <v>9257010</v>
      </c>
      <c r="B6" s="38" t="s">
        <v>67</v>
      </c>
      <c r="C6" s="781">
        <v>5</v>
      </c>
      <c r="D6" s="812">
        <f>VLOOKUP(A6,'2122 Band Moderations'!$B$5:$S$22,6,(FALSE))</f>
        <v>1.5873015873015872E-2</v>
      </c>
      <c r="E6" s="812">
        <f>VLOOKUP(A6,'2122 Band Moderations'!$B$5:$S$22,8,(FALSE))</f>
        <v>0.31746031746031744</v>
      </c>
      <c r="F6" s="812">
        <f>VLOOKUP(A6,'2122 Band Moderations'!$B$5:$S$22,10,(FALSE))</f>
        <v>9.5238095238095233E-2</v>
      </c>
      <c r="G6" s="812">
        <f>VLOOKUP(A6,'2122 Band Moderations'!$B$5:$S$22,12,(FALSE))</f>
        <v>0.17460317460317459</v>
      </c>
      <c r="H6" s="812">
        <f>VLOOKUP(A6,'2122 Band Moderations'!$B$5:$S$22,14,(FALSE))</f>
        <v>6.3492063492063489E-2</v>
      </c>
      <c r="I6" s="812">
        <f>VLOOKUP(A6,'2122 Band Moderations'!$B$5:$S$22,16,(FALSE))</f>
        <v>0.19047619047619047</v>
      </c>
      <c r="J6" s="812">
        <f>VLOOKUP(A6,'2122 Band Moderations'!$B$5:$S$22,18,(FALSE))</f>
        <v>0.14285714285714285</v>
      </c>
      <c r="K6" s="1012">
        <v>58</v>
      </c>
      <c r="L6" s="813">
        <f t="shared" ref="L6:L23" si="0">((((K6*D6)*$G$92)+((K6*E6)*$G$94)+((K6*F6)*$G$96)+((K6*G6)*$G$98)+((K6*H6)*$G$100)+((K6*I6)*$G$102)+((K6*J6)*$G$104))*(5/12))</f>
        <v>4905.4888944271843</v>
      </c>
      <c r="M6" s="813">
        <f>((K6*F6)*$G$106)*(5/12)</f>
        <v>0</v>
      </c>
      <c r="N6" s="813">
        <f t="shared" ref="N6:N23" si="1">SUM(L6:M6)</f>
        <v>4905.4888944271843</v>
      </c>
      <c r="O6" s="128"/>
      <c r="P6" s="128"/>
      <c r="Q6" s="42"/>
      <c r="R6" s="42">
        <f t="shared" ref="R6:R23" si="2">(J6*K6*$G$104)*5/12</f>
        <v>1254.7256736167717</v>
      </c>
      <c r="S6" s="168"/>
      <c r="T6" s="623"/>
      <c r="W6" s="42"/>
      <c r="AV6" s="34"/>
      <c r="AW6" s="34"/>
      <c r="AZ6" s="34"/>
      <c r="BA6" s="34"/>
      <c r="BB6" s="34"/>
    </row>
    <row r="7" spans="1:54" ht="12.75" customHeight="1" x14ac:dyDescent="0.25">
      <c r="A7" s="185">
        <v>9257005</v>
      </c>
      <c r="B7" s="38" t="s">
        <v>68</v>
      </c>
      <c r="C7" s="781">
        <v>4</v>
      </c>
      <c r="D7" s="812">
        <f>VLOOKUP(A7,'2122 Band Moderations'!$B$5:$S$22,6,(FALSE))</f>
        <v>0.05</v>
      </c>
      <c r="E7" s="812">
        <f>VLOOKUP(A7,'2122 Band Moderations'!$B$5:$S$22,8,(FALSE))</f>
        <v>0.4</v>
      </c>
      <c r="F7" s="812">
        <f>VLOOKUP(A7,'2122 Band Moderations'!$B$5:$S$22,10,(FALSE))</f>
        <v>6.25E-2</v>
      </c>
      <c r="G7" s="812">
        <f>VLOOKUP(A7,'2122 Band Moderations'!$B$5:$S$22,12,(FALSE))</f>
        <v>0.15</v>
      </c>
      <c r="H7" s="812">
        <f>VLOOKUP(A7,'2122 Band Moderations'!$B$5:$S$22,14,(FALSE))</f>
        <v>0.125</v>
      </c>
      <c r="I7" s="812">
        <f>VLOOKUP(A7,'2122 Band Moderations'!$B$5:$S$22,16,(FALSE))</f>
        <v>0.15</v>
      </c>
      <c r="J7" s="812">
        <f>VLOOKUP(A7,'2122 Band Moderations'!$B$5:$S$22,18,(FALSE))</f>
        <v>6.25E-2</v>
      </c>
      <c r="K7" s="1012">
        <v>53</v>
      </c>
      <c r="L7" s="813">
        <f t="shared" si="0"/>
        <v>3862.9242415892982</v>
      </c>
      <c r="M7" s="813">
        <f t="shared" ref="M7:M23" si="3">((K7*F7)*$G$106)*(5/12)</f>
        <v>0</v>
      </c>
      <c r="N7" s="813">
        <f t="shared" si="1"/>
        <v>3862.9242415892982</v>
      </c>
      <c r="O7" s="128"/>
      <c r="P7" s="128"/>
      <c r="Q7" s="42"/>
      <c r="R7" s="42">
        <f t="shared" si="2"/>
        <v>501.61985443084296</v>
      </c>
      <c r="S7" s="978"/>
      <c r="T7" s="624"/>
      <c r="U7" s="33"/>
      <c r="V7" s="33"/>
      <c r="W7" s="42"/>
      <c r="X7" s="1483"/>
      <c r="AV7" s="34"/>
      <c r="AW7" s="34"/>
      <c r="AZ7" s="34"/>
      <c r="BA7" s="34"/>
      <c r="BB7" s="34"/>
    </row>
    <row r="8" spans="1:54" ht="12.75" customHeight="1" x14ac:dyDescent="0.25">
      <c r="A8" s="185">
        <v>9257025</v>
      </c>
      <c r="B8" s="38" t="s">
        <v>69</v>
      </c>
      <c r="C8" s="781">
        <v>4</v>
      </c>
      <c r="D8" s="812">
        <f>VLOOKUP(A8,'2122 Band Moderations'!$B$5:$S$22,6,(FALSE))</f>
        <v>0.15584415584415584</v>
      </c>
      <c r="E8" s="812">
        <f>VLOOKUP(A8,'2122 Band Moderations'!$B$5:$S$22,8,(FALSE))</f>
        <v>0.40259740259740262</v>
      </c>
      <c r="F8" s="812">
        <f>VLOOKUP(A8,'2122 Band Moderations'!$B$5:$S$22,10,(FALSE))</f>
        <v>3.896103896103896E-2</v>
      </c>
      <c r="G8" s="812">
        <f>VLOOKUP(A8,'2122 Band Moderations'!$B$5:$S$22,12,(FALSE))</f>
        <v>0.15584415584415584</v>
      </c>
      <c r="H8" s="812">
        <f>VLOOKUP(A8,'2122 Band Moderations'!$B$5:$S$22,14,(FALSE))</f>
        <v>5.1948051948051951E-2</v>
      </c>
      <c r="I8" s="812">
        <f>VLOOKUP(A8,'2122 Band Moderations'!$B$5:$S$22,16,(FALSE))</f>
        <v>0.14285714285714285</v>
      </c>
      <c r="J8" s="812">
        <f>VLOOKUP(A8,'2122 Band Moderations'!$B$5:$S$22,18,(FALSE))</f>
        <v>5.1948051948051951E-2</v>
      </c>
      <c r="K8" s="1012">
        <v>56</v>
      </c>
      <c r="L8" s="813">
        <f t="shared" si="0"/>
        <v>3571.8198240381557</v>
      </c>
      <c r="M8" s="813">
        <f t="shared" si="3"/>
        <v>0</v>
      </c>
      <c r="N8" s="813">
        <f t="shared" si="1"/>
        <v>3571.8198240381557</v>
      </c>
      <c r="O8" s="128"/>
      <c r="P8" s="128"/>
      <c r="Q8" s="42"/>
      <c r="R8" s="42">
        <f t="shared" si="2"/>
        <v>440.53064402845911</v>
      </c>
      <c r="S8" s="978"/>
      <c r="T8" s="808"/>
      <c r="U8" s="808"/>
      <c r="V8" s="808"/>
      <c r="W8" s="808"/>
      <c r="X8" s="808"/>
      <c r="Y8" s="808"/>
      <c r="Z8" s="808"/>
      <c r="AV8" s="34"/>
      <c r="AW8" s="34"/>
      <c r="AZ8" s="34"/>
      <c r="BA8" s="34"/>
      <c r="BB8" s="34"/>
    </row>
    <row r="9" spans="1:54" x14ac:dyDescent="0.25">
      <c r="A9" s="185">
        <v>9257011</v>
      </c>
      <c r="B9" s="38" t="s">
        <v>70</v>
      </c>
      <c r="C9" s="781" t="s">
        <v>1009</v>
      </c>
      <c r="D9" s="812">
        <f>VLOOKUP(A9,'2122 Band Moderations'!$B$5:$S$22,6,(FALSE))</f>
        <v>5.6603773584905662E-2</v>
      </c>
      <c r="E9" s="812">
        <f>VLOOKUP(A9,'2122 Band Moderations'!$B$5:$S$22,8,(FALSE))</f>
        <v>0.35849056603773582</v>
      </c>
      <c r="F9" s="812">
        <f>VLOOKUP(A9,'2122 Band Moderations'!$B$5:$S$22,10,(FALSE))</f>
        <v>1.8867924528301886E-2</v>
      </c>
      <c r="G9" s="812">
        <f>VLOOKUP(A9,'2122 Band Moderations'!$B$5:$S$22,12,(FALSE))</f>
        <v>0.16981132075471697</v>
      </c>
      <c r="H9" s="812">
        <f>VLOOKUP(A9,'2122 Band Moderations'!$B$5:$S$22,14,(FALSE))</f>
        <v>0.13207547169811321</v>
      </c>
      <c r="I9" s="812">
        <f>VLOOKUP(A9,'2122 Band Moderations'!$B$5:$S$22,16,(FALSE))</f>
        <v>0.15094339622641509</v>
      </c>
      <c r="J9" s="812">
        <f>VLOOKUP(A9,'2122 Band Moderations'!$B$5:$S$22,18,(FALSE))</f>
        <v>0.11320754716981132</v>
      </c>
      <c r="K9" s="1012">
        <v>50</v>
      </c>
      <c r="L9" s="813">
        <f t="shared" si="0"/>
        <v>3935.8348071698592</v>
      </c>
      <c r="M9" s="813">
        <f t="shared" si="3"/>
        <v>0</v>
      </c>
      <c r="N9" s="813">
        <f t="shared" si="1"/>
        <v>3935.8348071698592</v>
      </c>
      <c r="O9" s="128"/>
      <c r="P9" s="128"/>
      <c r="Q9" s="42"/>
      <c r="R9" s="42">
        <f t="shared" si="2"/>
        <v>857.16457859311038</v>
      </c>
      <c r="S9" s="978"/>
      <c r="T9" s="808"/>
      <c r="U9" s="808"/>
      <c r="V9" s="808"/>
      <c r="W9" s="808"/>
      <c r="X9" s="808"/>
      <c r="Y9" s="808"/>
      <c r="Z9" s="808"/>
      <c r="AV9" s="34"/>
      <c r="AW9" s="34"/>
      <c r="AZ9" s="34"/>
      <c r="BA9" s="34"/>
      <c r="BB9" s="34"/>
    </row>
    <row r="10" spans="1:54" x14ac:dyDescent="0.25">
      <c r="A10" s="185">
        <v>9257024</v>
      </c>
      <c r="B10" s="38" t="s">
        <v>71</v>
      </c>
      <c r="C10" s="781">
        <v>4</v>
      </c>
      <c r="D10" s="812">
        <f>VLOOKUP(A10,'2122 Band Moderations'!$B$5:$S$22,6,(FALSE))</f>
        <v>8.4337349397590355E-2</v>
      </c>
      <c r="E10" s="812">
        <f>VLOOKUP(A10,'2122 Band Moderations'!$B$5:$S$22,8,(FALSE))</f>
        <v>0.45783132530120479</v>
      </c>
      <c r="F10" s="812">
        <f>VLOOKUP(A10,'2122 Band Moderations'!$B$5:$S$22,10,(FALSE))</f>
        <v>1.2048192771084338E-2</v>
      </c>
      <c r="G10" s="812">
        <f>VLOOKUP(A10,'2122 Band Moderations'!$B$5:$S$22,12,(FALSE))</f>
        <v>0.18072289156626506</v>
      </c>
      <c r="H10" s="812">
        <f>VLOOKUP(A10,'2122 Band Moderations'!$B$5:$S$22,14,(FALSE))</f>
        <v>8.4337349397590355E-2</v>
      </c>
      <c r="I10" s="812">
        <f>VLOOKUP(A10,'2122 Band Moderations'!$B$5:$S$22,16,(FALSE))</f>
        <v>7.2289156626506021E-2</v>
      </c>
      <c r="J10" s="812">
        <f>VLOOKUP(A10,'2122 Band Moderations'!$B$5:$S$22,18,(FALSE))</f>
        <v>0.10843373493975904</v>
      </c>
      <c r="K10" s="1012">
        <v>70</v>
      </c>
      <c r="L10" s="813">
        <f t="shared" si="0"/>
        <v>4846.6115329923286</v>
      </c>
      <c r="M10" s="813">
        <f t="shared" si="3"/>
        <v>0</v>
      </c>
      <c r="N10" s="813">
        <f t="shared" si="1"/>
        <v>4846.6115329923286</v>
      </c>
      <c r="O10" s="128"/>
      <c r="P10" s="128"/>
      <c r="Q10" s="42"/>
      <c r="R10" s="42">
        <f t="shared" si="2"/>
        <v>1149.4267180411225</v>
      </c>
      <c r="S10" s="978"/>
      <c r="T10" s="808"/>
      <c r="U10" s="808"/>
      <c r="V10" s="808"/>
      <c r="W10" s="808"/>
      <c r="X10" s="808"/>
      <c r="Y10" s="808"/>
      <c r="Z10" s="808"/>
      <c r="AV10" s="34"/>
      <c r="AW10" s="34"/>
      <c r="AZ10" s="34"/>
      <c r="BA10" s="34"/>
      <c r="BB10" s="34"/>
    </row>
    <row r="11" spans="1:54" ht="12.75" customHeight="1" x14ac:dyDescent="0.25">
      <c r="A11" s="185">
        <v>9257031</v>
      </c>
      <c r="B11" s="38" t="s">
        <v>98</v>
      </c>
      <c r="C11" s="781">
        <v>5</v>
      </c>
      <c r="D11" s="812">
        <f>VLOOKUP(A11,'2122 Band Moderations'!$B$5:$S$22,6,(FALSE))</f>
        <v>0</v>
      </c>
      <c r="E11" s="812">
        <f>VLOOKUP(A11,'2122 Band Moderations'!$B$5:$S$22,8,(FALSE))</f>
        <v>0</v>
      </c>
      <c r="F11" s="812">
        <f>VLOOKUP(A11,'2122 Band Moderations'!$B$5:$S$22,10,(FALSE))</f>
        <v>1</v>
      </c>
      <c r="G11" s="812">
        <f>VLOOKUP(A11,'2122 Band Moderations'!$B$5:$S$22,12,(FALSE))</f>
        <v>0</v>
      </c>
      <c r="H11" s="812">
        <f>VLOOKUP(A11,'2122 Band Moderations'!$B$5:$S$22,14,(FALSE))</f>
        <v>0</v>
      </c>
      <c r="I11" s="812">
        <f>VLOOKUP(A11,'2122 Band Moderations'!$B$5:$S$22,16,(FALSE))</f>
        <v>0</v>
      </c>
      <c r="J11" s="812">
        <f>VLOOKUP(A11,'2122 Band Moderations'!$B$5:$S$22,18,(FALSE))</f>
        <v>0</v>
      </c>
      <c r="K11" s="1012">
        <v>80</v>
      </c>
      <c r="L11" s="813">
        <f t="shared" si="0"/>
        <v>7045.4006550218164</v>
      </c>
      <c r="M11" s="813">
        <f t="shared" si="3"/>
        <v>0</v>
      </c>
      <c r="N11" s="813">
        <f t="shared" si="1"/>
        <v>7045.4006550218164</v>
      </c>
      <c r="O11" s="128"/>
      <c r="P11" s="128"/>
      <c r="Q11" s="42"/>
      <c r="R11" s="42">
        <f t="shared" si="2"/>
        <v>0</v>
      </c>
      <c r="S11" s="978"/>
      <c r="T11" s="808"/>
      <c r="U11" s="808"/>
      <c r="V11" s="808"/>
      <c r="W11" s="808"/>
      <c r="X11" s="808"/>
      <c r="Y11" s="808"/>
      <c r="Z11" s="808"/>
      <c r="AV11" s="34"/>
      <c r="AW11" s="34"/>
      <c r="AZ11" s="34"/>
      <c r="BA11" s="34"/>
      <c r="BB11" s="34"/>
    </row>
    <row r="12" spans="1:54" x14ac:dyDescent="0.25">
      <c r="A12" s="185">
        <v>9257033</v>
      </c>
      <c r="B12" s="38" t="s">
        <v>72</v>
      </c>
      <c r="C12" s="781" t="s">
        <v>946</v>
      </c>
      <c r="D12" s="812">
        <f>VLOOKUP(A12,'2122 Band Moderations'!$B$5:$S$22,6,(FALSE))</f>
        <v>0.16842105263157894</v>
      </c>
      <c r="E12" s="812">
        <f>VLOOKUP(A12,'2122 Band Moderations'!$B$5:$S$22,8,(FALSE))</f>
        <v>0.5368421052631579</v>
      </c>
      <c r="F12" s="812">
        <f>VLOOKUP(A12,'2122 Band Moderations'!$B$5:$S$22,10,(FALSE))</f>
        <v>6.3157894736842107E-2</v>
      </c>
      <c r="G12" s="812">
        <f>VLOOKUP(A12,'2122 Band Moderations'!$B$5:$S$22,12,(FALSE))</f>
        <v>0.14736842105263157</v>
      </c>
      <c r="H12" s="812">
        <f>VLOOKUP(A12,'2122 Band Moderations'!$B$5:$S$22,14,(FALSE))</f>
        <v>4.2105263157894736E-2</v>
      </c>
      <c r="I12" s="812">
        <f>VLOOKUP(A12,'2122 Band Moderations'!$B$5:$S$22,16,(FALSE))</f>
        <v>4.2105263157894736E-2</v>
      </c>
      <c r="J12" s="812">
        <f>VLOOKUP(A12,'2122 Band Moderations'!$B$5:$S$22,18,(FALSE))</f>
        <v>0</v>
      </c>
      <c r="K12" s="1012">
        <v>99</v>
      </c>
      <c r="L12" s="813">
        <f t="shared" si="0"/>
        <v>4991.5736614427587</v>
      </c>
      <c r="M12" s="813">
        <f t="shared" si="3"/>
        <v>0</v>
      </c>
      <c r="N12" s="813">
        <f t="shared" si="1"/>
        <v>4991.5736614427587</v>
      </c>
      <c r="O12" s="128"/>
      <c r="P12" s="128"/>
      <c r="Q12" s="42"/>
      <c r="R12" s="42">
        <f t="shared" si="2"/>
        <v>0</v>
      </c>
      <c r="S12" s="978"/>
      <c r="T12" s="808"/>
      <c r="U12" s="808"/>
      <c r="V12" s="808"/>
      <c r="W12" s="808"/>
      <c r="X12" s="808"/>
      <c r="Y12" s="808"/>
      <c r="Z12" s="808"/>
      <c r="AV12" s="34"/>
      <c r="AW12" s="34"/>
      <c r="AZ12" s="34"/>
      <c r="BA12" s="34"/>
      <c r="BB12" s="34"/>
    </row>
    <row r="13" spans="1:54" x14ac:dyDescent="0.25">
      <c r="A13" s="185">
        <v>9257008</v>
      </c>
      <c r="B13" s="38" t="s">
        <v>73</v>
      </c>
      <c r="C13" s="781">
        <v>4</v>
      </c>
      <c r="D13" s="812">
        <f>VLOOKUP(A13,'2122 Band Moderations'!$B$5:$S$22,6,(FALSE))</f>
        <v>0.10101010101010101</v>
      </c>
      <c r="E13" s="812">
        <f>VLOOKUP(A13,'2122 Band Moderations'!$B$5:$S$22,8,(FALSE))</f>
        <v>0.58585858585858586</v>
      </c>
      <c r="F13" s="812">
        <f>VLOOKUP(A13,'2122 Band Moderations'!$B$5:$S$22,10,(FALSE))</f>
        <v>8.0808080808080815E-2</v>
      </c>
      <c r="G13" s="812">
        <f>VLOOKUP(A13,'2122 Band Moderations'!$B$5:$S$22,12,(FALSE))</f>
        <v>9.0909090909090912E-2</v>
      </c>
      <c r="H13" s="812">
        <f>VLOOKUP(A13,'2122 Band Moderations'!$B$5:$S$22,14,(FALSE))</f>
        <v>1.0101010101010102E-2</v>
      </c>
      <c r="I13" s="812">
        <f>VLOOKUP(A13,'2122 Band Moderations'!$B$5:$S$22,16,(FALSE))</f>
        <v>0.12121212121212122</v>
      </c>
      <c r="J13" s="812">
        <f>VLOOKUP(A13,'2122 Band Moderations'!$B$5:$S$22,18,(FALSE))</f>
        <v>1.0101010101010102E-2</v>
      </c>
      <c r="K13" s="1012">
        <v>98</v>
      </c>
      <c r="L13" s="813">
        <f t="shared" si="0"/>
        <v>5027.0240641365317</v>
      </c>
      <c r="M13" s="813">
        <f t="shared" si="3"/>
        <v>0</v>
      </c>
      <c r="N13" s="813">
        <f t="shared" si="1"/>
        <v>5027.0240641365317</v>
      </c>
      <c r="O13" s="128"/>
      <c r="P13" s="128"/>
      <c r="Q13" s="42"/>
      <c r="R13" s="42">
        <f t="shared" si="2"/>
        <v>149.90278859301733</v>
      </c>
      <c r="S13" s="978"/>
      <c r="T13" s="808"/>
      <c r="U13" s="808"/>
      <c r="V13" s="808"/>
      <c r="W13" s="808"/>
      <c r="X13" s="808"/>
      <c r="Y13" s="808"/>
      <c r="Z13" s="808"/>
      <c r="AV13" s="34"/>
      <c r="AW13" s="34"/>
      <c r="AZ13" s="34"/>
      <c r="BA13" s="34"/>
      <c r="BB13" s="34"/>
    </row>
    <row r="14" spans="1:54" x14ac:dyDescent="0.25">
      <c r="A14" s="185">
        <v>9257034</v>
      </c>
      <c r="B14" s="38" t="s">
        <v>74</v>
      </c>
      <c r="C14" s="781" t="s">
        <v>946</v>
      </c>
      <c r="D14" s="812">
        <f>VLOOKUP(A14,'2122 Band Moderations'!$B$5:$S$22,6,(FALSE))</f>
        <v>0.42424242424242425</v>
      </c>
      <c r="E14" s="812">
        <f>VLOOKUP(A14,'2122 Band Moderations'!$B$5:$S$22,8,(FALSE))</f>
        <v>0.29292929292929293</v>
      </c>
      <c r="F14" s="1606">
        <f>VLOOKUP(A14,'2122 Band Moderations'!$B$5:$S$22,10,(FALSE))</f>
        <v>0.14141414141414141</v>
      </c>
      <c r="G14" s="812">
        <f>VLOOKUP(A14,'2122 Band Moderations'!$B$5:$S$22,12,(FALSE))</f>
        <v>3.0303030303030304E-2</v>
      </c>
      <c r="H14" s="812">
        <f>VLOOKUP(A14,'2122 Band Moderations'!$B$5:$S$22,14,(FALSE))</f>
        <v>4.0404040404040407E-2</v>
      </c>
      <c r="I14" s="812">
        <f>VLOOKUP(A14,'2122 Band Moderations'!$B$5:$S$22,16,(FALSE))</f>
        <v>6.0606060606060608E-2</v>
      </c>
      <c r="J14" s="812">
        <f>VLOOKUP(A14,'2122 Band Moderations'!$B$5:$S$22,18,(FALSE))</f>
        <v>1.0101010101010102E-2</v>
      </c>
      <c r="K14" s="1012">
        <v>94</v>
      </c>
      <c r="L14" s="813">
        <f t="shared" si="0"/>
        <v>4387.4817600498927</v>
      </c>
      <c r="M14" s="813">
        <f t="shared" si="3"/>
        <v>0</v>
      </c>
      <c r="N14" s="813">
        <f t="shared" si="1"/>
        <v>4387.4817600498927</v>
      </c>
      <c r="O14" s="128"/>
      <c r="P14" s="128"/>
      <c r="Q14" s="42"/>
      <c r="R14" s="42">
        <f t="shared" si="2"/>
        <v>143.7843074259554</v>
      </c>
      <c r="S14" s="978"/>
      <c r="T14" s="808"/>
      <c r="U14" s="808"/>
      <c r="V14" s="808"/>
      <c r="W14" s="808"/>
      <c r="X14" s="808"/>
      <c r="Y14" s="808"/>
      <c r="Z14" s="808"/>
      <c r="AV14" s="34"/>
      <c r="AW14" s="34"/>
      <c r="AZ14" s="34"/>
      <c r="BA14" s="34"/>
      <c r="BB14" s="34"/>
    </row>
    <row r="15" spans="1:54" x14ac:dyDescent="0.25">
      <c r="A15" s="185">
        <v>9257002</v>
      </c>
      <c r="B15" s="38" t="s">
        <v>75</v>
      </c>
      <c r="C15" s="781">
        <v>5</v>
      </c>
      <c r="D15" s="812">
        <f>VLOOKUP(A15,'2122 Band Moderations'!$B$5:$S$22,6,(FALSE))</f>
        <v>0.3546099290780142</v>
      </c>
      <c r="E15" s="812">
        <f>VLOOKUP(A15,'2122 Band Moderations'!$B$5:$S$22,8,(FALSE))</f>
        <v>0.38297872340425532</v>
      </c>
      <c r="F15" s="812">
        <f>VLOOKUP(A15,'2122 Band Moderations'!$B$5:$S$22,10,(FALSE))</f>
        <v>0.1276595744680851</v>
      </c>
      <c r="G15" s="812">
        <f>VLOOKUP(A15,'2122 Band Moderations'!$B$5:$S$22,12,(FALSE))</f>
        <v>2.8368794326241134E-2</v>
      </c>
      <c r="H15" s="812">
        <f>VLOOKUP(A15,'2122 Band Moderations'!$B$5:$S$22,14,(FALSE))</f>
        <v>2.1276595744680851E-2</v>
      </c>
      <c r="I15" s="812">
        <f>VLOOKUP(A15,'2122 Band Moderations'!$B$5:$S$22,16,(FALSE))</f>
        <v>7.8014184397163122E-2</v>
      </c>
      <c r="J15" s="812">
        <f>VLOOKUP(A15,'2122 Band Moderations'!$B$5:$S$22,18,(FALSE))</f>
        <v>7.0921985815602835E-3</v>
      </c>
      <c r="K15" s="1012">
        <v>150</v>
      </c>
      <c r="L15" s="813">
        <f t="shared" si="0"/>
        <v>6799.9935019757831</v>
      </c>
      <c r="M15" s="813">
        <f t="shared" si="3"/>
        <v>0</v>
      </c>
      <c r="N15" s="813">
        <f t="shared" si="1"/>
        <v>6799.9935019757831</v>
      </c>
      <c r="O15" s="128"/>
      <c r="P15" s="128"/>
      <c r="Q15" s="42"/>
      <c r="R15" s="42">
        <f t="shared" si="2"/>
        <v>161.098307324237</v>
      </c>
      <c r="S15" s="978"/>
      <c r="T15" s="808"/>
      <c r="U15" s="808"/>
      <c r="V15" s="808"/>
      <c r="W15" s="808"/>
      <c r="X15" s="808"/>
      <c r="Y15" s="808"/>
      <c r="Z15" s="808"/>
      <c r="AV15" s="34"/>
      <c r="AW15" s="34"/>
      <c r="AZ15" s="34"/>
      <c r="BA15" s="34"/>
      <c r="BB15" s="34"/>
    </row>
    <row r="16" spans="1:54" x14ac:dyDescent="0.25">
      <c r="A16" s="185">
        <v>9257009</v>
      </c>
      <c r="B16" s="38" t="s">
        <v>76</v>
      </c>
      <c r="C16" s="781" t="s">
        <v>946</v>
      </c>
      <c r="D16" s="812">
        <f>VLOOKUP(A16,'2122 Band Moderations'!$B$5:$S$22,6,(FALSE))</f>
        <v>0.24</v>
      </c>
      <c r="E16" s="812">
        <f>VLOOKUP(A16,'2122 Band Moderations'!$B$5:$S$22,8,(FALSE))</f>
        <v>0.58399999999999996</v>
      </c>
      <c r="F16" s="812">
        <f>VLOOKUP(A16,'2122 Band Moderations'!$B$5:$S$22,10,(FALSE))</f>
        <v>7.1999999999999995E-2</v>
      </c>
      <c r="G16" s="812">
        <f>VLOOKUP(A16,'2122 Band Moderations'!$B$5:$S$22,12,(FALSE))</f>
        <v>1.6E-2</v>
      </c>
      <c r="H16" s="812">
        <f>VLOOKUP(A16,'2122 Band Moderations'!$B$5:$S$22,14,(FALSE))</f>
        <v>8.0000000000000002E-3</v>
      </c>
      <c r="I16" s="812">
        <f>VLOOKUP(A16,'2122 Band Moderations'!$B$5:$S$22,16,(FALSE))</f>
        <v>0.08</v>
      </c>
      <c r="J16" s="812">
        <f>VLOOKUP(A16,'2122 Band Moderations'!$B$5:$S$22,18,(FALSE))</f>
        <v>0</v>
      </c>
      <c r="K16" s="1012">
        <v>136</v>
      </c>
      <c r="L16" s="813">
        <f t="shared" si="0"/>
        <v>5416.3474591217773</v>
      </c>
      <c r="M16" s="813">
        <f t="shared" si="3"/>
        <v>0</v>
      </c>
      <c r="N16" s="813">
        <f t="shared" si="1"/>
        <v>5416.3474591217773</v>
      </c>
      <c r="O16" s="128"/>
      <c r="P16" s="128"/>
      <c r="Q16" s="42"/>
      <c r="R16" s="42">
        <f t="shared" si="2"/>
        <v>0</v>
      </c>
      <c r="S16" s="978"/>
      <c r="T16" s="808"/>
      <c r="U16" s="808"/>
      <c r="V16" s="808"/>
      <c r="W16" s="808"/>
      <c r="X16" s="808"/>
      <c r="Y16" s="808"/>
      <c r="Z16" s="808"/>
      <c r="AV16" s="34"/>
      <c r="AW16" s="34"/>
      <c r="AZ16" s="34"/>
      <c r="BA16" s="34"/>
      <c r="BB16" s="34"/>
    </row>
    <row r="17" spans="1:23" s="34" customFormat="1" x14ac:dyDescent="0.25">
      <c r="A17" s="185">
        <v>9257029</v>
      </c>
      <c r="B17" s="915" t="s">
        <v>848</v>
      </c>
      <c r="C17" s="781" t="s">
        <v>949</v>
      </c>
      <c r="D17" s="812">
        <f>VLOOKUP(A17,'2122 Band Moderations'!$B$5:$S$22,6,(FALSE))</f>
        <v>0</v>
      </c>
      <c r="E17" s="812">
        <f>VLOOKUP(A17,'2122 Band Moderations'!$B$5:$S$22,8,(FALSE))</f>
        <v>0</v>
      </c>
      <c r="F17" s="812">
        <f>VLOOKUP(A17,'2122 Band Moderations'!$B$5:$S$22,10,(FALSE))</f>
        <v>1</v>
      </c>
      <c r="G17" s="812">
        <f>VLOOKUP(A17,'2122 Band Moderations'!$B$5:$S$22,12,(FALSE))</f>
        <v>0</v>
      </c>
      <c r="H17" s="812">
        <f>VLOOKUP(A17,'2122 Band Moderations'!$B$5:$S$22,14,(FALSE))</f>
        <v>0</v>
      </c>
      <c r="I17" s="812">
        <f>VLOOKUP(A17,'2122 Band Moderations'!$B$5:$S$22,16,(FALSE))</f>
        <v>0</v>
      </c>
      <c r="J17" s="812">
        <f>VLOOKUP(A17,'2122 Band Moderations'!$B$5:$S$22,18,(FALSE))</f>
        <v>0</v>
      </c>
      <c r="K17" s="1012">
        <v>70</v>
      </c>
      <c r="L17" s="813">
        <f t="shared" si="0"/>
        <v>6164.7255731440891</v>
      </c>
      <c r="M17" s="813">
        <f t="shared" si="3"/>
        <v>0</v>
      </c>
      <c r="N17" s="813">
        <f t="shared" si="1"/>
        <v>6164.7255731440891</v>
      </c>
      <c r="O17" s="128"/>
      <c r="P17" s="128"/>
      <c r="Q17" s="42"/>
      <c r="R17" s="42">
        <f t="shared" si="2"/>
        <v>0</v>
      </c>
      <c r="S17" s="978"/>
      <c r="T17" s="625"/>
      <c r="W17" s="42"/>
    </row>
    <row r="18" spans="1:23" s="34" customFormat="1" x14ac:dyDescent="0.25">
      <c r="A18" s="185">
        <v>9257032</v>
      </c>
      <c r="B18" s="915" t="s">
        <v>934</v>
      </c>
      <c r="C18" s="781" t="s">
        <v>949</v>
      </c>
      <c r="D18" s="812">
        <f>VLOOKUP(A18,'2122 Band Moderations'!$B$5:$S$22,6,(FALSE))</f>
        <v>0</v>
      </c>
      <c r="E18" s="812">
        <f>VLOOKUP(A18,'2122 Band Moderations'!$B$5:$S$22,8,(FALSE))</f>
        <v>0</v>
      </c>
      <c r="F18" s="812">
        <f>VLOOKUP(A18,'2122 Band Moderations'!$B$5:$S$22,10,(FALSE))</f>
        <v>1</v>
      </c>
      <c r="G18" s="812">
        <f>VLOOKUP(A18,'2122 Band Moderations'!$B$5:$S$22,12,(FALSE))</f>
        <v>0</v>
      </c>
      <c r="H18" s="812">
        <f>VLOOKUP(A18,'2122 Band Moderations'!$B$5:$S$22,14,(FALSE))</f>
        <v>0</v>
      </c>
      <c r="I18" s="812">
        <f>VLOOKUP(A18,'2122 Band Moderations'!$B$5:$S$22,16,(FALSE))</f>
        <v>0</v>
      </c>
      <c r="J18" s="812">
        <f>VLOOKUP(A18,'2122 Band Moderations'!$B$5:$S$22,18,(FALSE))</f>
        <v>0</v>
      </c>
      <c r="K18" s="1012">
        <v>82</v>
      </c>
      <c r="L18" s="813">
        <f t="shared" si="0"/>
        <v>7221.5356713973615</v>
      </c>
      <c r="M18" s="813">
        <f t="shared" si="3"/>
        <v>0</v>
      </c>
      <c r="N18" s="813">
        <f t="shared" si="1"/>
        <v>7221.5356713973615</v>
      </c>
      <c r="O18" s="128"/>
      <c r="P18" s="128"/>
      <c r="Q18" s="42"/>
      <c r="R18" s="42">
        <f t="shared" si="2"/>
        <v>0</v>
      </c>
      <c r="S18" s="168"/>
      <c r="W18" s="42"/>
    </row>
    <row r="19" spans="1:23" s="34" customFormat="1" x14ac:dyDescent="0.25">
      <c r="A19" s="185">
        <v>9257030</v>
      </c>
      <c r="B19" s="915" t="s">
        <v>933</v>
      </c>
      <c r="C19" s="781" t="s">
        <v>949</v>
      </c>
      <c r="D19" s="812">
        <f>VLOOKUP(A19,'2122 Band Moderations'!$B$5:$S$22,6,(FALSE))</f>
        <v>0</v>
      </c>
      <c r="E19" s="812">
        <f>VLOOKUP(A19,'2122 Band Moderations'!$B$5:$S$22,8,(FALSE))</f>
        <v>0</v>
      </c>
      <c r="F19" s="812">
        <f>VLOOKUP(A19,'2122 Band Moderations'!$B$5:$S$22,10,(FALSE))</f>
        <v>1</v>
      </c>
      <c r="G19" s="812">
        <f>VLOOKUP(A19,'2122 Band Moderations'!$B$5:$S$22,12,(FALSE))</f>
        <v>0</v>
      </c>
      <c r="H19" s="812">
        <f>VLOOKUP(A19,'2122 Band Moderations'!$B$5:$S$22,14,(FALSE))</f>
        <v>0</v>
      </c>
      <c r="I19" s="812">
        <f>VLOOKUP(A19,'2122 Band Moderations'!$B$5:$S$22,16,(FALSE))</f>
        <v>0</v>
      </c>
      <c r="J19" s="812">
        <f>VLOOKUP(A19,'2122 Band Moderations'!$B$5:$S$22,18,(FALSE))</f>
        <v>0</v>
      </c>
      <c r="K19" s="1012">
        <v>75</v>
      </c>
      <c r="L19" s="813">
        <f t="shared" si="0"/>
        <v>6605.0631140829528</v>
      </c>
      <c r="M19" s="813">
        <f t="shared" si="3"/>
        <v>0</v>
      </c>
      <c r="N19" s="813">
        <f t="shared" si="1"/>
        <v>6605.0631140829528</v>
      </c>
      <c r="O19" s="128"/>
      <c r="P19" s="128"/>
      <c r="Q19" s="42"/>
      <c r="R19" s="42">
        <f t="shared" si="2"/>
        <v>0</v>
      </c>
      <c r="S19" s="168"/>
      <c r="W19" s="42"/>
    </row>
    <row r="20" spans="1:23" s="34" customFormat="1" x14ac:dyDescent="0.25">
      <c r="A20" s="185">
        <v>9257028</v>
      </c>
      <c r="B20" s="38" t="s">
        <v>77</v>
      </c>
      <c r="C20" s="781">
        <v>5</v>
      </c>
      <c r="D20" s="812">
        <f>VLOOKUP(A20,'2122 Band Moderations'!$B$5:$S$22,6,(FALSE))</f>
        <v>8.9108910891089105E-2</v>
      </c>
      <c r="E20" s="812">
        <f>VLOOKUP(A20,'2122 Band Moderations'!$B$5:$S$22,8,(FALSE))</f>
        <v>0.40594059405940597</v>
      </c>
      <c r="F20" s="812">
        <f>VLOOKUP(A20,'2122 Band Moderations'!$B$5:$S$22,10,(FALSE))</f>
        <v>7.9207920792079209E-2</v>
      </c>
      <c r="G20" s="812">
        <f>VLOOKUP(A20,'2122 Band Moderations'!$B$5:$S$22,12,(FALSE))</f>
        <v>8.9108910891089105E-2</v>
      </c>
      <c r="H20" s="812">
        <f>VLOOKUP(A20,'2122 Band Moderations'!$B$5:$S$22,14,(FALSE))</f>
        <v>0.12871287128712872</v>
      </c>
      <c r="I20" s="812">
        <f>VLOOKUP(A20,'2122 Band Moderations'!$B$5:$S$22,16,(FALSE))</f>
        <v>9.9009900990099015E-2</v>
      </c>
      <c r="J20" s="812">
        <f>VLOOKUP(A20,'2122 Band Moderations'!$B$5:$S$22,18,(FALSE))</f>
        <v>0.10891089108910891</v>
      </c>
      <c r="K20" s="1012">
        <v>91</v>
      </c>
      <c r="L20" s="813">
        <f t="shared" si="0"/>
        <v>6482.1182674558213</v>
      </c>
      <c r="M20" s="813">
        <f t="shared" si="3"/>
        <v>0</v>
      </c>
      <c r="N20" s="813">
        <f t="shared" si="1"/>
        <v>6482.1182674558213</v>
      </c>
      <c r="O20" s="128"/>
      <c r="P20" s="128"/>
      <c r="Q20" s="42"/>
      <c r="R20" s="42">
        <f t="shared" si="2"/>
        <v>1500.8301118184909</v>
      </c>
      <c r="S20" s="168"/>
      <c r="W20" s="42"/>
    </row>
    <row r="21" spans="1:23" s="34" customFormat="1" x14ac:dyDescent="0.25">
      <c r="A21" s="185">
        <v>9257021</v>
      </c>
      <c r="B21" s="38" t="s">
        <v>78</v>
      </c>
      <c r="C21" s="781" t="s">
        <v>947</v>
      </c>
      <c r="D21" s="812">
        <f>VLOOKUP(A21,'2122 Band Moderations'!$B$5:$S$22,6,(FALSE))</f>
        <v>0.26829268292682928</v>
      </c>
      <c r="E21" s="812">
        <f>VLOOKUP(A21,'2122 Band Moderations'!$B$5:$S$22,8,(FALSE))</f>
        <v>0.42682926829268292</v>
      </c>
      <c r="F21" s="812">
        <f>VLOOKUP(A21,'2122 Band Moderations'!$B$5:$S$22,10,(FALSE))</f>
        <v>7.926829268292683E-2</v>
      </c>
      <c r="G21" s="812">
        <f>VLOOKUP(A21,'2122 Band Moderations'!$B$5:$S$22,12,(FALSE))</f>
        <v>6.7073170731707321E-2</v>
      </c>
      <c r="H21" s="812">
        <f>VLOOKUP(A21,'2122 Band Moderations'!$B$5:$S$22,14,(FALSE))</f>
        <v>5.4878048780487805E-2</v>
      </c>
      <c r="I21" s="812">
        <f>VLOOKUP(A21,'2122 Band Moderations'!$B$5:$S$22,16,(FALSE))</f>
        <v>9.1463414634146339E-2</v>
      </c>
      <c r="J21" s="812">
        <f>VLOOKUP(A21,'2122 Band Moderations'!$B$5:$S$22,18,(FALSE))</f>
        <v>1.2195121951219513E-2</v>
      </c>
      <c r="K21" s="1012">
        <v>166</v>
      </c>
      <c r="L21" s="813">
        <f t="shared" si="0"/>
        <v>8349.1027109715415</v>
      </c>
      <c r="M21" s="813">
        <f t="shared" si="3"/>
        <v>0</v>
      </c>
      <c r="N21" s="813">
        <f t="shared" si="1"/>
        <v>8349.1027109715415</v>
      </c>
      <c r="O21" s="128"/>
      <c r="P21" s="128"/>
      <c r="Q21" s="42"/>
      <c r="R21" s="42">
        <f t="shared" si="2"/>
        <v>306.5582911569993</v>
      </c>
      <c r="S21" s="168"/>
      <c r="W21" s="42"/>
    </row>
    <row r="22" spans="1:23" s="34" customFormat="1" x14ac:dyDescent="0.25">
      <c r="A22" s="185">
        <v>9257015</v>
      </c>
      <c r="B22" s="38" t="s">
        <v>55</v>
      </c>
      <c r="C22" s="781" t="s">
        <v>948</v>
      </c>
      <c r="D22" s="812">
        <f>VLOOKUP(A22,'2122 Band Moderations'!$B$5:$S$22,6,(FALSE))</f>
        <v>0.33185840707964603</v>
      </c>
      <c r="E22" s="812">
        <f>VLOOKUP(A22,'2122 Band Moderations'!$B$5:$S$22,8,(FALSE))</f>
        <v>0.38495575221238937</v>
      </c>
      <c r="F22" s="812">
        <f>VLOOKUP(A22,'2122 Band Moderations'!$B$5:$S$22,10,(FALSE))</f>
        <v>1.7699115044247787E-2</v>
      </c>
      <c r="G22" s="812">
        <f>VLOOKUP(A22,'2122 Band Moderations'!$B$5:$S$22,12,(FALSE))</f>
        <v>8.8495575221238937E-2</v>
      </c>
      <c r="H22" s="812">
        <f>VLOOKUP(A22,'2122 Band Moderations'!$B$5:$S$22,14,(FALSE))</f>
        <v>2.2123893805309734E-2</v>
      </c>
      <c r="I22" s="812">
        <f>VLOOKUP(A22,'2122 Band Moderations'!$B$5:$S$22,16,(FALSE))</f>
        <v>0.1415929203539823</v>
      </c>
      <c r="J22" s="812">
        <f>VLOOKUP(A22,'2122 Band Moderations'!$B$5:$S$22,18,(FALSE))</f>
        <v>1.3274336283185841E-2</v>
      </c>
      <c r="K22" s="1012">
        <v>224</v>
      </c>
      <c r="L22" s="813">
        <f t="shared" si="0"/>
        <v>10980.622291183381</v>
      </c>
      <c r="M22" s="813">
        <f t="shared" si="3"/>
        <v>0</v>
      </c>
      <c r="N22" s="813">
        <f t="shared" si="1"/>
        <v>10980.622291183381</v>
      </c>
      <c r="O22" s="128"/>
      <c r="P22" s="128"/>
      <c r="Q22" s="42"/>
      <c r="R22" s="42">
        <f t="shared" si="2"/>
        <v>450.27689721492942</v>
      </c>
      <c r="S22" s="168"/>
      <c r="W22" s="42"/>
    </row>
    <row r="23" spans="1:23" s="34" customFormat="1" x14ac:dyDescent="0.25">
      <c r="A23" s="185">
        <v>9257016</v>
      </c>
      <c r="B23" s="38" t="s">
        <v>80</v>
      </c>
      <c r="C23" s="781" t="s">
        <v>948</v>
      </c>
      <c r="D23" s="812">
        <f>VLOOKUP(A23,'2122 Band Moderations'!$B$5:$S$22,6,(FALSE))</f>
        <v>0.18012422360248448</v>
      </c>
      <c r="E23" s="812">
        <f>VLOOKUP(A23,'2122 Band Moderations'!$B$5:$S$22,8,(FALSE))</f>
        <v>0.15527950310559005</v>
      </c>
      <c r="F23" s="812">
        <f>VLOOKUP(A23,'2122 Band Moderations'!$B$5:$S$22,10,(FALSE))</f>
        <v>6.2111801242236021E-3</v>
      </c>
      <c r="G23" s="812">
        <f>VLOOKUP(A23,'2122 Band Moderations'!$B$5:$S$22,12,(FALSE))</f>
        <v>0.2236024844720497</v>
      </c>
      <c r="H23" s="812">
        <f>VLOOKUP(A23,'2122 Band Moderations'!$B$5:$S$22,14,(FALSE))</f>
        <v>0.21118012422360249</v>
      </c>
      <c r="I23" s="812">
        <f>VLOOKUP(A23,'2122 Band Moderations'!$B$5:$S$22,16,(FALSE))</f>
        <v>1.2422360248447204E-2</v>
      </c>
      <c r="J23" s="812">
        <f>VLOOKUP(A23,'2122 Band Moderations'!$B$5:$S$22,18,(FALSE))</f>
        <v>0.21118012422360249</v>
      </c>
      <c r="K23" s="1012">
        <v>110</v>
      </c>
      <c r="L23" s="813">
        <f t="shared" si="0"/>
        <v>9962.6593866757739</v>
      </c>
      <c r="M23" s="813">
        <f t="shared" si="3"/>
        <v>0</v>
      </c>
      <c r="N23" s="813">
        <f t="shared" si="1"/>
        <v>9962.6593866757739</v>
      </c>
      <c r="O23" s="128"/>
      <c r="P23" s="128"/>
      <c r="Q23" s="628" t="s">
        <v>402</v>
      </c>
      <c r="R23" s="42">
        <f t="shared" si="2"/>
        <v>3517.7466411744572</v>
      </c>
      <c r="S23" s="168"/>
      <c r="W23" s="42"/>
    </row>
    <row r="24" spans="1:23" s="34" customFormat="1" x14ac:dyDescent="0.25">
      <c r="A24" s="75"/>
      <c r="B24" s="50"/>
      <c r="C24" s="61"/>
      <c r="D24" s="49"/>
      <c r="E24" s="49"/>
      <c r="G24" s="628"/>
      <c r="H24" s="49"/>
      <c r="I24" s="49"/>
      <c r="J24" s="628"/>
      <c r="K24" s="628"/>
      <c r="L24" s="168"/>
      <c r="M24" s="628" t="s">
        <v>402</v>
      </c>
      <c r="N24" s="80"/>
      <c r="O24" s="128"/>
      <c r="P24" s="128"/>
      <c r="Q24" s="628" t="s">
        <v>402</v>
      </c>
      <c r="R24" s="168"/>
      <c r="S24" s="168"/>
    </row>
    <row r="25" spans="1:23" s="34" customFormat="1" ht="13" x14ac:dyDescent="0.3">
      <c r="A25" s="230" t="s">
        <v>930</v>
      </c>
      <c r="B25" s="50"/>
      <c r="C25" s="61"/>
      <c r="D25" s="49"/>
      <c r="E25" s="49"/>
      <c r="G25" s="49"/>
      <c r="H25" s="49"/>
      <c r="I25" s="49"/>
      <c r="J25" s="49"/>
      <c r="K25" s="168"/>
      <c r="L25" s="168"/>
      <c r="M25" s="168"/>
      <c r="N25" s="80"/>
      <c r="O25" s="128"/>
      <c r="P25" s="128"/>
      <c r="Q25" s="80"/>
      <c r="R25" s="168"/>
      <c r="S25" s="168"/>
    </row>
    <row r="26" spans="1:23" s="34" customFormat="1" x14ac:dyDescent="0.25">
      <c r="A26" s="75"/>
      <c r="B26" s="50"/>
      <c r="C26" s="61"/>
      <c r="D26" s="49"/>
      <c r="E26" s="49"/>
      <c r="G26" s="49"/>
      <c r="H26" s="49"/>
      <c r="I26" s="49"/>
      <c r="J26" s="49"/>
      <c r="K26" s="231" t="s">
        <v>853</v>
      </c>
      <c r="L26" s="168"/>
      <c r="M26" s="168"/>
      <c r="N26" s="80"/>
      <c r="O26" s="2051"/>
      <c r="P26" s="2051"/>
      <c r="Q26" s="80"/>
      <c r="R26" s="168"/>
      <c r="S26" s="168"/>
    </row>
    <row r="27" spans="1:23" s="34" customFormat="1" ht="37.5" x14ac:dyDescent="0.25">
      <c r="A27" s="183" t="s">
        <v>201</v>
      </c>
      <c r="B27" s="36" t="s">
        <v>66</v>
      </c>
      <c r="C27" s="39" t="s">
        <v>51</v>
      </c>
      <c r="D27" s="1483" t="s">
        <v>858</v>
      </c>
      <c r="E27" s="1483" t="s">
        <v>859</v>
      </c>
      <c r="F27" s="1483" t="s">
        <v>860</v>
      </c>
      <c r="G27" s="1483" t="s">
        <v>861</v>
      </c>
      <c r="H27" s="1483" t="s">
        <v>862</v>
      </c>
      <c r="I27" s="1483" t="s">
        <v>863</v>
      </c>
      <c r="J27" s="1483" t="s">
        <v>864</v>
      </c>
      <c r="K27" s="1484" t="s">
        <v>185</v>
      </c>
      <c r="L27" s="1484" t="s">
        <v>288</v>
      </c>
      <c r="M27" s="1484" t="s">
        <v>388</v>
      </c>
      <c r="N27" s="1484" t="s">
        <v>288</v>
      </c>
      <c r="O27" s="1497"/>
      <c r="P27" s="384"/>
      <c r="Q27" s="1484"/>
      <c r="R27" s="1484"/>
      <c r="S27" s="252"/>
    </row>
    <row r="28" spans="1:23" s="34" customFormat="1" x14ac:dyDescent="0.25">
      <c r="A28" s="185">
        <v>9257010</v>
      </c>
      <c r="B28" s="38" t="s">
        <v>67</v>
      </c>
      <c r="C28" s="781">
        <v>5</v>
      </c>
      <c r="D28" s="812">
        <f>VLOOKUP(A28,'2122 Band Moderations'!$B$5:$S$22,6,(FALSE))</f>
        <v>1.5873015873015872E-2</v>
      </c>
      <c r="E28" s="812">
        <f>VLOOKUP(A28,'2122 Band Moderations'!$B$5:$S$22,8,(FALSE))</f>
        <v>0.31746031746031744</v>
      </c>
      <c r="F28" s="812">
        <f>VLOOKUP(A28,'2122 Band Moderations'!$B$5:$S$22,10,(FALSE))</f>
        <v>9.5238095238095233E-2</v>
      </c>
      <c r="G28" s="812">
        <f>VLOOKUP(A28,'2122 Band Moderations'!$B$5:$S$22,12,(FALSE))</f>
        <v>0.17460317460317459</v>
      </c>
      <c r="H28" s="812">
        <f>VLOOKUP(A28,'2122 Band Moderations'!$B$5:$S$22,14,(FALSE))</f>
        <v>6.3492063492063489E-2</v>
      </c>
      <c r="I28" s="812">
        <f>VLOOKUP(A28,'2122 Band Moderations'!$B$5:$S$22,16,(FALSE))</f>
        <v>0.19047619047619047</v>
      </c>
      <c r="J28" s="812">
        <f>VLOOKUP(A28,'2122 Band Moderations'!$B$5:$S$22,18,(FALSE))</f>
        <v>0.14285714285714285</v>
      </c>
      <c r="K28" s="1012">
        <v>7</v>
      </c>
      <c r="L28" s="813">
        <f>((((K28*D28)*$G$92)+((K28*E28)*$G$94)+((K28*F28)*$G$96)+((K28*G28)*$G$98)+((K28*H28)*$G$100)+((K28*I28)*$G$102)+((K28*J28)*$G$104)))*(4/12)</f>
        <v>473.63341049641758</v>
      </c>
      <c r="M28" s="813">
        <f t="shared" ref="M28:M45" si="4">((K28*F28)*$G$106)*(4/12)</f>
        <v>0</v>
      </c>
      <c r="N28" s="813">
        <f>SUM(L28:M28)</f>
        <v>473.63341049641758</v>
      </c>
      <c r="O28" s="128"/>
      <c r="P28" s="128"/>
      <c r="Q28" s="80"/>
      <c r="R28" s="42">
        <f t="shared" ref="R28:R45" si="5">(J28*K28*$G$104)*4/12</f>
        <v>121.14592710782624</v>
      </c>
      <c r="S28" s="233"/>
      <c r="T28" s="80"/>
      <c r="U28" s="42"/>
      <c r="V28" s="626"/>
      <c r="W28" s="625"/>
    </row>
    <row r="29" spans="1:23" s="34" customFormat="1" x14ac:dyDescent="0.25">
      <c r="A29" s="185">
        <v>9257005</v>
      </c>
      <c r="B29" s="38" t="s">
        <v>68</v>
      </c>
      <c r="C29" s="781">
        <v>4</v>
      </c>
      <c r="D29" s="812">
        <f>VLOOKUP(A29,'2122 Band Moderations'!$B$5:$S$22,6,(FALSE))</f>
        <v>0.05</v>
      </c>
      <c r="E29" s="812">
        <f>VLOOKUP(A29,'2122 Band Moderations'!$B$5:$S$22,8,(FALSE))</f>
        <v>0.4</v>
      </c>
      <c r="F29" s="812">
        <f>VLOOKUP(A29,'2122 Band Moderations'!$B$5:$S$22,10,(FALSE))</f>
        <v>6.25E-2</v>
      </c>
      <c r="G29" s="812">
        <f>VLOOKUP(A29,'2122 Band Moderations'!$B$5:$S$22,12,(FALSE))</f>
        <v>0.15</v>
      </c>
      <c r="H29" s="812">
        <f>VLOOKUP(A29,'2122 Band Moderations'!$B$5:$S$22,14,(FALSE))</f>
        <v>0.125</v>
      </c>
      <c r="I29" s="812">
        <f>VLOOKUP(A29,'2122 Band Moderations'!$B$5:$S$22,16,(FALSE))</f>
        <v>0.15</v>
      </c>
      <c r="J29" s="812">
        <f>VLOOKUP(A29,'2122 Band Moderations'!$B$5:$S$22,18,(FALSE))</f>
        <v>6.25E-2</v>
      </c>
      <c r="K29" s="1012">
        <v>26</v>
      </c>
      <c r="L29" s="813">
        <f t="shared" ref="L29:L45" si="6">((((K29*D29)*$G$92)+((K29*E29)*$G$94)+((K29*F29)*$G$96)+((K29*G29)*$G$98)+((K29*H29)*$G$100)+((K29*I29)*$G$102)+((K29*J29)*$G$104)))*(4/12)</f>
        <v>1516.015551416177</v>
      </c>
      <c r="M29" s="813">
        <f t="shared" si="4"/>
        <v>0</v>
      </c>
      <c r="N29" s="813">
        <f>SUM(L29:M29)</f>
        <v>1516.015551416177</v>
      </c>
      <c r="O29" s="128"/>
      <c r="P29" s="128"/>
      <c r="Q29" s="80"/>
      <c r="R29" s="42">
        <f t="shared" si="5"/>
        <v>196.86213155021764</v>
      </c>
      <c r="S29" s="233"/>
      <c r="T29" s="80"/>
      <c r="U29" s="42"/>
      <c r="V29" s="42"/>
    </row>
    <row r="30" spans="1:23" s="34" customFormat="1" x14ac:dyDescent="0.25">
      <c r="A30" s="185">
        <v>9257025</v>
      </c>
      <c r="B30" s="38" t="s">
        <v>69</v>
      </c>
      <c r="C30" s="781">
        <v>4</v>
      </c>
      <c r="D30" s="812">
        <f>VLOOKUP(A30,'2122 Band Moderations'!$B$5:$S$22,6,(FALSE))</f>
        <v>0.15584415584415584</v>
      </c>
      <c r="E30" s="812">
        <f>VLOOKUP(A30,'2122 Band Moderations'!$B$5:$S$22,8,(FALSE))</f>
        <v>0.40259740259740262</v>
      </c>
      <c r="F30" s="812">
        <f>VLOOKUP(A30,'2122 Band Moderations'!$B$5:$S$22,10,(FALSE))</f>
        <v>3.896103896103896E-2</v>
      </c>
      <c r="G30" s="812">
        <f>VLOOKUP(A30,'2122 Band Moderations'!$B$5:$S$22,12,(FALSE))</f>
        <v>0.15584415584415584</v>
      </c>
      <c r="H30" s="812">
        <f>VLOOKUP(A30,'2122 Band Moderations'!$B$5:$S$22,14,(FALSE))</f>
        <v>5.1948051948051951E-2</v>
      </c>
      <c r="I30" s="812">
        <f>VLOOKUP(A30,'2122 Band Moderations'!$B$5:$S$22,16,(FALSE))</f>
        <v>0.14285714285714285</v>
      </c>
      <c r="J30" s="812">
        <f>VLOOKUP(A30,'2122 Band Moderations'!$B$5:$S$22,18,(FALSE))</f>
        <v>5.1948051948051951E-2</v>
      </c>
      <c r="K30" s="1012">
        <v>20</v>
      </c>
      <c r="L30" s="813">
        <f t="shared" si="6"/>
        <v>1020.5199497251871</v>
      </c>
      <c r="M30" s="813">
        <f t="shared" si="4"/>
        <v>0</v>
      </c>
      <c r="N30" s="813">
        <f t="shared" ref="N30:N45" si="7">SUM(L30:M30)</f>
        <v>1020.5199497251871</v>
      </c>
      <c r="O30" s="128"/>
      <c r="P30" s="128"/>
      <c r="Q30" s="80"/>
      <c r="R30" s="42">
        <f t="shared" si="5"/>
        <v>125.86589829384546</v>
      </c>
      <c r="S30" s="233"/>
      <c r="T30" s="80"/>
      <c r="U30" s="42"/>
      <c r="V30" s="42"/>
    </row>
    <row r="31" spans="1:23" s="34" customFormat="1" x14ac:dyDescent="0.25">
      <c r="A31" s="185">
        <v>9257011</v>
      </c>
      <c r="B31" s="38" t="s">
        <v>70</v>
      </c>
      <c r="C31" s="781" t="s">
        <v>1009</v>
      </c>
      <c r="D31" s="812">
        <f>VLOOKUP(A31,'2122 Band Moderations'!$B$5:$S$22,6,(FALSE))</f>
        <v>5.6603773584905662E-2</v>
      </c>
      <c r="E31" s="812">
        <f>VLOOKUP(A31,'2122 Band Moderations'!$B$5:$S$22,8,(FALSE))</f>
        <v>0.35849056603773582</v>
      </c>
      <c r="F31" s="812">
        <f>VLOOKUP(A31,'2122 Band Moderations'!$B$5:$S$22,10,(FALSE))</f>
        <v>1.8867924528301886E-2</v>
      </c>
      <c r="G31" s="812">
        <f>VLOOKUP(A31,'2122 Band Moderations'!$B$5:$S$22,12,(FALSE))</f>
        <v>0.16981132075471697</v>
      </c>
      <c r="H31" s="812">
        <f>VLOOKUP(A31,'2122 Band Moderations'!$B$5:$S$22,14,(FALSE))</f>
        <v>0.13207547169811321</v>
      </c>
      <c r="I31" s="812">
        <f>VLOOKUP(A31,'2122 Band Moderations'!$B$5:$S$22,16,(FALSE))</f>
        <v>0.15094339622641509</v>
      </c>
      <c r="J31" s="812">
        <f>VLOOKUP(A31,'2122 Band Moderations'!$B$5:$S$22,18,(FALSE))</f>
        <v>0.11320754716981132</v>
      </c>
      <c r="K31" s="1012">
        <v>8</v>
      </c>
      <c r="L31" s="813">
        <f t="shared" si="6"/>
        <v>503.78685531774192</v>
      </c>
      <c r="M31" s="813">
        <f t="shared" si="4"/>
        <v>0</v>
      </c>
      <c r="N31" s="813">
        <f t="shared" si="7"/>
        <v>503.78685531774192</v>
      </c>
      <c r="O31" s="128"/>
      <c r="P31" s="128"/>
      <c r="Q31" s="80"/>
      <c r="R31" s="42">
        <f t="shared" si="5"/>
        <v>109.71706605991811</v>
      </c>
      <c r="S31" s="233"/>
      <c r="T31" s="80"/>
      <c r="U31" s="42"/>
      <c r="V31" s="42"/>
    </row>
    <row r="32" spans="1:23" s="34" customFormat="1" x14ac:dyDescent="0.25">
      <c r="A32" s="185">
        <v>9257024</v>
      </c>
      <c r="B32" s="38" t="s">
        <v>71</v>
      </c>
      <c r="C32" s="781">
        <v>4</v>
      </c>
      <c r="D32" s="812">
        <f>VLOOKUP(A32,'2122 Band Moderations'!$B$5:$S$22,6,(FALSE))</f>
        <v>8.4337349397590355E-2</v>
      </c>
      <c r="E32" s="812">
        <f>VLOOKUP(A32,'2122 Band Moderations'!$B$5:$S$22,8,(FALSE))</f>
        <v>0.45783132530120479</v>
      </c>
      <c r="F32" s="812">
        <f>VLOOKUP(A32,'2122 Band Moderations'!$B$5:$S$22,10,(FALSE))</f>
        <v>1.2048192771084338E-2</v>
      </c>
      <c r="G32" s="812">
        <f>VLOOKUP(A32,'2122 Band Moderations'!$B$5:$S$22,12,(FALSE))</f>
        <v>0.18072289156626506</v>
      </c>
      <c r="H32" s="812">
        <f>VLOOKUP(A32,'2122 Band Moderations'!$B$5:$S$22,14,(FALSE))</f>
        <v>8.4337349397590355E-2</v>
      </c>
      <c r="I32" s="812">
        <f>VLOOKUP(A32,'2122 Band Moderations'!$B$5:$S$22,16,(FALSE))</f>
        <v>7.2289156626506021E-2</v>
      </c>
      <c r="J32" s="812">
        <f>VLOOKUP(A32,'2122 Band Moderations'!$B$5:$S$22,18,(FALSE))</f>
        <v>0.10843373493975904</v>
      </c>
      <c r="K32" s="1012">
        <v>14</v>
      </c>
      <c r="L32" s="813">
        <f t="shared" si="6"/>
        <v>775.45784527877242</v>
      </c>
      <c r="M32" s="813">
        <f t="shared" si="4"/>
        <v>0</v>
      </c>
      <c r="N32" s="813">
        <f t="shared" si="7"/>
        <v>775.45784527877242</v>
      </c>
      <c r="O32" s="128"/>
      <c r="P32" s="128"/>
      <c r="Q32" s="80"/>
      <c r="R32" s="42">
        <f t="shared" si="5"/>
        <v>183.90827488657956</v>
      </c>
      <c r="S32" s="233"/>
      <c r="T32" s="80"/>
      <c r="U32" s="42"/>
      <c r="V32" s="42"/>
    </row>
    <row r="33" spans="1:22" s="34" customFormat="1" x14ac:dyDescent="0.25">
      <c r="A33" s="185">
        <v>9257031</v>
      </c>
      <c r="B33" s="38" t="s">
        <v>98</v>
      </c>
      <c r="C33" s="781">
        <v>5</v>
      </c>
      <c r="D33" s="812">
        <f>VLOOKUP(A33,'2122 Band Moderations'!$B$5:$S$22,6,(FALSE))</f>
        <v>0</v>
      </c>
      <c r="E33" s="812">
        <f>VLOOKUP(A33,'2122 Band Moderations'!$B$5:$S$22,8,(FALSE))</f>
        <v>0</v>
      </c>
      <c r="F33" s="812">
        <f>VLOOKUP(A33,'2122 Band Moderations'!$B$5:$S$22,10,(FALSE))</f>
        <v>1</v>
      </c>
      <c r="G33" s="812">
        <f>VLOOKUP(A33,'2122 Band Moderations'!$B$5:$S$22,12,(FALSE))</f>
        <v>0</v>
      </c>
      <c r="H33" s="812">
        <f>VLOOKUP(A33,'2122 Band Moderations'!$B$5:$S$22,14,(FALSE))</f>
        <v>0</v>
      </c>
      <c r="I33" s="812">
        <f>VLOOKUP(A33,'2122 Band Moderations'!$B$5:$S$22,16,(FALSE))</f>
        <v>0</v>
      </c>
      <c r="J33" s="812">
        <f>VLOOKUP(A33,'2122 Band Moderations'!$B$5:$S$22,18,(FALSE))</f>
        <v>0</v>
      </c>
      <c r="K33" s="1012">
        <v>0</v>
      </c>
      <c r="L33" s="813">
        <f t="shared" si="6"/>
        <v>0</v>
      </c>
      <c r="M33" s="813">
        <f t="shared" si="4"/>
        <v>0</v>
      </c>
      <c r="N33" s="813">
        <f t="shared" si="7"/>
        <v>0</v>
      </c>
      <c r="O33" s="128"/>
      <c r="P33" s="128"/>
      <c r="Q33" s="80"/>
      <c r="R33" s="42">
        <f t="shared" si="5"/>
        <v>0</v>
      </c>
      <c r="S33" s="233"/>
      <c r="T33" s="80"/>
      <c r="U33" s="42"/>
      <c r="V33" s="42"/>
    </row>
    <row r="34" spans="1:22" s="34" customFormat="1" x14ac:dyDescent="0.25">
      <c r="A34" s="185">
        <v>9257033</v>
      </c>
      <c r="B34" s="38" t="s">
        <v>72</v>
      </c>
      <c r="C34" s="781" t="s">
        <v>946</v>
      </c>
      <c r="D34" s="812">
        <f>VLOOKUP(A34,'2122 Band Moderations'!$B$5:$S$22,6,(FALSE))</f>
        <v>0.16842105263157894</v>
      </c>
      <c r="E34" s="812">
        <f>VLOOKUP(A34,'2122 Band Moderations'!$B$5:$S$22,8,(FALSE))</f>
        <v>0.5368421052631579</v>
      </c>
      <c r="F34" s="812">
        <f>VLOOKUP(A34,'2122 Band Moderations'!$B$5:$S$22,10,(FALSE))</f>
        <v>6.3157894736842107E-2</v>
      </c>
      <c r="G34" s="812">
        <f>VLOOKUP(A34,'2122 Band Moderations'!$B$5:$S$22,12,(FALSE))</f>
        <v>0.14736842105263157</v>
      </c>
      <c r="H34" s="812">
        <f>VLOOKUP(A34,'2122 Band Moderations'!$B$5:$S$22,14,(FALSE))</f>
        <v>4.2105263157894736E-2</v>
      </c>
      <c r="I34" s="812">
        <f>VLOOKUP(A34,'2122 Band Moderations'!$B$5:$S$22,16,(FALSE))</f>
        <v>4.2105263157894736E-2</v>
      </c>
      <c r="J34" s="812">
        <f>VLOOKUP(A34,'2122 Band Moderations'!$B$5:$S$22,18,(FALSE))</f>
        <v>0</v>
      </c>
      <c r="K34" s="1012">
        <v>0</v>
      </c>
      <c r="L34" s="813">
        <f t="shared" si="6"/>
        <v>0</v>
      </c>
      <c r="M34" s="813">
        <f t="shared" si="4"/>
        <v>0</v>
      </c>
      <c r="N34" s="813">
        <f t="shared" si="7"/>
        <v>0</v>
      </c>
      <c r="O34" s="128"/>
      <c r="P34" s="128"/>
      <c r="Q34" s="80"/>
      <c r="R34" s="42">
        <f t="shared" si="5"/>
        <v>0</v>
      </c>
      <c r="S34" s="233"/>
      <c r="T34" s="80"/>
      <c r="U34" s="42"/>
      <c r="V34" s="42"/>
    </row>
    <row r="35" spans="1:22" s="34" customFormat="1" x14ac:dyDescent="0.25">
      <c r="A35" s="185">
        <v>9257008</v>
      </c>
      <c r="B35" s="38" t="s">
        <v>73</v>
      </c>
      <c r="C35" s="781">
        <v>4</v>
      </c>
      <c r="D35" s="812">
        <f>VLOOKUP(A35,'2122 Band Moderations'!$B$5:$S$22,6,(FALSE))</f>
        <v>0.10101010101010101</v>
      </c>
      <c r="E35" s="812">
        <f>VLOOKUP(A35,'2122 Band Moderations'!$B$5:$S$22,8,(FALSE))</f>
        <v>0.58585858585858586</v>
      </c>
      <c r="F35" s="812">
        <f>VLOOKUP(A35,'2122 Band Moderations'!$B$5:$S$22,10,(FALSE))</f>
        <v>8.0808080808080815E-2</v>
      </c>
      <c r="G35" s="812">
        <f>VLOOKUP(A35,'2122 Band Moderations'!$B$5:$S$22,12,(FALSE))</f>
        <v>9.0909090909090912E-2</v>
      </c>
      <c r="H35" s="812">
        <f>VLOOKUP(A35,'2122 Band Moderations'!$B$5:$S$22,14,(FALSE))</f>
        <v>1.0101010101010102E-2</v>
      </c>
      <c r="I35" s="812">
        <f>VLOOKUP(A35,'2122 Band Moderations'!$B$5:$S$22,16,(FALSE))</f>
        <v>0.12121212121212122</v>
      </c>
      <c r="J35" s="812">
        <f>VLOOKUP(A35,'2122 Band Moderations'!$B$5:$S$22,18,(FALSE))</f>
        <v>1.0101010101010102E-2</v>
      </c>
      <c r="K35" s="1012">
        <v>0</v>
      </c>
      <c r="L35" s="813">
        <f t="shared" si="6"/>
        <v>0</v>
      </c>
      <c r="M35" s="813">
        <f t="shared" si="4"/>
        <v>0</v>
      </c>
      <c r="N35" s="813">
        <f t="shared" si="7"/>
        <v>0</v>
      </c>
      <c r="O35" s="128"/>
      <c r="P35" s="128"/>
      <c r="Q35" s="80"/>
      <c r="R35" s="42">
        <f t="shared" si="5"/>
        <v>0</v>
      </c>
      <c r="S35" s="233"/>
      <c r="T35" s="80"/>
      <c r="U35" s="42"/>
      <c r="V35" s="42"/>
    </row>
    <row r="36" spans="1:22" s="34" customFormat="1" x14ac:dyDescent="0.25">
      <c r="A36" s="185">
        <v>9257034</v>
      </c>
      <c r="B36" s="38" t="s">
        <v>74</v>
      </c>
      <c r="C36" s="781" t="s">
        <v>946</v>
      </c>
      <c r="D36" s="812">
        <f>VLOOKUP(A36,'2122 Band Moderations'!$B$5:$S$22,6,(FALSE))</f>
        <v>0.42424242424242425</v>
      </c>
      <c r="E36" s="812">
        <f>VLOOKUP(A36,'2122 Band Moderations'!$B$5:$S$22,8,(FALSE))</f>
        <v>0.29292929292929293</v>
      </c>
      <c r="F36" s="812">
        <f>VLOOKUP(A36,'2122 Band Moderations'!$B$5:$S$22,10,(FALSE))</f>
        <v>0.14141414141414141</v>
      </c>
      <c r="G36" s="812">
        <f>VLOOKUP(A36,'2122 Band Moderations'!$B$5:$S$22,12,(FALSE))</f>
        <v>3.0303030303030304E-2</v>
      </c>
      <c r="H36" s="812">
        <f>VLOOKUP(A36,'2122 Band Moderations'!$B$5:$S$22,14,(FALSE))</f>
        <v>4.0404040404040407E-2</v>
      </c>
      <c r="I36" s="812">
        <f>VLOOKUP(A36,'2122 Band Moderations'!$B$5:$S$22,16,(FALSE))</f>
        <v>6.0606060606060608E-2</v>
      </c>
      <c r="J36" s="812">
        <f>VLOOKUP(A36,'2122 Band Moderations'!$B$5:$S$22,18,(FALSE))</f>
        <v>1.0101010101010102E-2</v>
      </c>
      <c r="K36" s="1012">
        <v>34</v>
      </c>
      <c r="L36" s="813">
        <f t="shared" si="6"/>
        <v>1269.5691901420967</v>
      </c>
      <c r="M36" s="813">
        <f t="shared" si="4"/>
        <v>0</v>
      </c>
      <c r="N36" s="813">
        <f t="shared" si="7"/>
        <v>1269.5691901420967</v>
      </c>
      <c r="O36" s="128"/>
      <c r="P36" s="128"/>
      <c r="Q36" s="80"/>
      <c r="R36" s="42">
        <f t="shared" si="5"/>
        <v>41.605671936021139</v>
      </c>
      <c r="S36" s="233"/>
      <c r="T36" s="80"/>
      <c r="U36" s="42"/>
      <c r="V36" s="42"/>
    </row>
    <row r="37" spans="1:22" s="34" customFormat="1" x14ac:dyDescent="0.25">
      <c r="A37" s="185">
        <v>9257002</v>
      </c>
      <c r="B37" s="38" t="s">
        <v>75</v>
      </c>
      <c r="C37" s="781">
        <v>5</v>
      </c>
      <c r="D37" s="812">
        <f>VLOOKUP(A37,'2122 Band Moderations'!$B$5:$S$22,6,(FALSE))</f>
        <v>0.3546099290780142</v>
      </c>
      <c r="E37" s="812">
        <f>VLOOKUP(A37,'2122 Band Moderations'!$B$5:$S$22,8,(FALSE))</f>
        <v>0.38297872340425532</v>
      </c>
      <c r="F37" s="812">
        <f>VLOOKUP(A37,'2122 Band Moderations'!$B$5:$S$22,10,(FALSE))</f>
        <v>0.1276595744680851</v>
      </c>
      <c r="G37" s="812">
        <f>VLOOKUP(A37,'2122 Band Moderations'!$B$5:$S$22,12,(FALSE))</f>
        <v>2.8368794326241134E-2</v>
      </c>
      <c r="H37" s="812">
        <f>VLOOKUP(A37,'2122 Band Moderations'!$B$5:$S$22,14,(FALSE))</f>
        <v>2.1276595744680851E-2</v>
      </c>
      <c r="I37" s="812">
        <f>VLOOKUP(A37,'2122 Band Moderations'!$B$5:$S$22,16,(FALSE))</f>
        <v>7.8014184397163122E-2</v>
      </c>
      <c r="J37" s="812">
        <f>VLOOKUP(A37,'2122 Band Moderations'!$B$5:$S$22,18,(FALSE))</f>
        <v>7.0921985815602835E-3</v>
      </c>
      <c r="K37" s="1012">
        <v>0</v>
      </c>
      <c r="L37" s="813">
        <f t="shared" si="6"/>
        <v>0</v>
      </c>
      <c r="M37" s="813">
        <f t="shared" si="4"/>
        <v>0</v>
      </c>
      <c r="N37" s="813">
        <f t="shared" si="7"/>
        <v>0</v>
      </c>
      <c r="O37" s="128"/>
      <c r="P37" s="128"/>
      <c r="Q37" s="80"/>
      <c r="R37" s="42">
        <f t="shared" si="5"/>
        <v>0</v>
      </c>
      <c r="S37" s="233"/>
      <c r="T37" s="80"/>
      <c r="U37" s="42"/>
      <c r="V37" s="42"/>
    </row>
    <row r="38" spans="1:22" s="34" customFormat="1" x14ac:dyDescent="0.25">
      <c r="A38" s="185">
        <v>9257009</v>
      </c>
      <c r="B38" s="38" t="s">
        <v>76</v>
      </c>
      <c r="C38" s="781" t="s">
        <v>946</v>
      </c>
      <c r="D38" s="812">
        <f>VLOOKUP(A38,'2122 Band Moderations'!$B$5:$S$22,6,(FALSE))</f>
        <v>0.24</v>
      </c>
      <c r="E38" s="812">
        <f>VLOOKUP(A38,'2122 Band Moderations'!$B$5:$S$22,8,(FALSE))</f>
        <v>0.58399999999999996</v>
      </c>
      <c r="F38" s="812">
        <f>VLOOKUP(A38,'2122 Band Moderations'!$B$5:$S$22,10,(FALSE))</f>
        <v>7.1999999999999995E-2</v>
      </c>
      <c r="G38" s="812">
        <f>VLOOKUP(A38,'2122 Band Moderations'!$B$5:$S$22,12,(FALSE))</f>
        <v>1.6E-2</v>
      </c>
      <c r="H38" s="812">
        <f>VLOOKUP(A38,'2122 Band Moderations'!$B$5:$S$22,14,(FALSE))</f>
        <v>8.0000000000000002E-3</v>
      </c>
      <c r="I38" s="812">
        <f>VLOOKUP(A38,'2122 Band Moderations'!$B$5:$S$22,16,(FALSE))</f>
        <v>0.08</v>
      </c>
      <c r="J38" s="812">
        <f>VLOOKUP(A38,'2122 Band Moderations'!$B$5:$S$22,18,(FALSE))</f>
        <v>0</v>
      </c>
      <c r="K38" s="1012">
        <v>0</v>
      </c>
      <c r="L38" s="813">
        <f t="shared" si="6"/>
        <v>0</v>
      </c>
      <c r="M38" s="813">
        <f t="shared" si="4"/>
        <v>0</v>
      </c>
      <c r="N38" s="813">
        <f t="shared" si="7"/>
        <v>0</v>
      </c>
      <c r="O38" s="128"/>
      <c r="P38" s="128"/>
      <c r="Q38" s="80"/>
      <c r="R38" s="42">
        <f t="shared" si="5"/>
        <v>0</v>
      </c>
      <c r="S38" s="233"/>
      <c r="T38" s="80"/>
      <c r="U38" s="42"/>
      <c r="V38" s="42"/>
    </row>
    <row r="39" spans="1:22" s="34" customFormat="1" x14ac:dyDescent="0.25">
      <c r="A39" s="185">
        <v>9257029</v>
      </c>
      <c r="B39" s="915" t="s">
        <v>848</v>
      </c>
      <c r="C39" s="781" t="s">
        <v>949</v>
      </c>
      <c r="D39" s="812">
        <f>VLOOKUP(A39,'2122 Band Moderations'!$B$5:$S$22,6,(FALSE))</f>
        <v>0</v>
      </c>
      <c r="E39" s="812">
        <f>VLOOKUP(A39,'2122 Band Moderations'!$B$5:$S$22,8,(FALSE))</f>
        <v>0</v>
      </c>
      <c r="F39" s="812">
        <f>VLOOKUP(A39,'2122 Band Moderations'!$B$5:$S$22,10,(FALSE))</f>
        <v>1</v>
      </c>
      <c r="G39" s="812">
        <f>VLOOKUP(A39,'2122 Band Moderations'!$B$5:$S$22,12,(FALSE))</f>
        <v>0</v>
      </c>
      <c r="H39" s="812">
        <f>VLOOKUP(A39,'2122 Band Moderations'!$B$5:$S$22,14,(FALSE))</f>
        <v>0</v>
      </c>
      <c r="I39" s="812">
        <f>VLOOKUP(A39,'2122 Band Moderations'!$B$5:$S$22,16,(FALSE))</f>
        <v>0</v>
      </c>
      <c r="J39" s="812">
        <f>VLOOKUP(A39,'2122 Band Moderations'!$B$5:$S$22,18,(FALSE))</f>
        <v>0</v>
      </c>
      <c r="K39" s="1012">
        <v>0</v>
      </c>
      <c r="L39" s="813">
        <f t="shared" si="6"/>
        <v>0</v>
      </c>
      <c r="M39" s="813">
        <f t="shared" si="4"/>
        <v>0</v>
      </c>
      <c r="N39" s="813">
        <f t="shared" si="7"/>
        <v>0</v>
      </c>
      <c r="O39" s="128"/>
      <c r="P39" s="128"/>
      <c r="Q39" s="80"/>
      <c r="R39" s="42">
        <f t="shared" si="5"/>
        <v>0</v>
      </c>
      <c r="S39" s="233"/>
      <c r="T39" s="80"/>
      <c r="U39" s="42"/>
      <c r="V39" s="42"/>
    </row>
    <row r="40" spans="1:22" s="34" customFormat="1" x14ac:dyDescent="0.25">
      <c r="A40" s="185">
        <v>9257032</v>
      </c>
      <c r="B40" s="915" t="s">
        <v>934</v>
      </c>
      <c r="C40" s="781" t="s">
        <v>949</v>
      </c>
      <c r="D40" s="812">
        <f>VLOOKUP(A40,'2122 Band Moderations'!$B$5:$S$22,6,(FALSE))</f>
        <v>0</v>
      </c>
      <c r="E40" s="812">
        <f>VLOOKUP(A40,'2122 Band Moderations'!$B$5:$S$22,8,(FALSE))</f>
        <v>0</v>
      </c>
      <c r="F40" s="812">
        <f>VLOOKUP(A40,'2122 Band Moderations'!$B$5:$S$22,10,(FALSE))</f>
        <v>1</v>
      </c>
      <c r="G40" s="812">
        <f>VLOOKUP(A40,'2122 Band Moderations'!$B$5:$S$22,12,(FALSE))</f>
        <v>0</v>
      </c>
      <c r="H40" s="812">
        <f>VLOOKUP(A40,'2122 Band Moderations'!$B$5:$S$22,14,(FALSE))</f>
        <v>0</v>
      </c>
      <c r="I40" s="812">
        <f>VLOOKUP(A40,'2122 Band Moderations'!$B$5:$S$22,16,(FALSE))</f>
        <v>0</v>
      </c>
      <c r="J40" s="812">
        <f>VLOOKUP(A40,'2122 Band Moderations'!$B$5:$S$22,18,(FALSE))</f>
        <v>0</v>
      </c>
      <c r="K40" s="1012">
        <v>0</v>
      </c>
      <c r="L40" s="813">
        <f t="shared" si="6"/>
        <v>0</v>
      </c>
      <c r="M40" s="813">
        <f t="shared" si="4"/>
        <v>0</v>
      </c>
      <c r="N40" s="813">
        <f t="shared" si="7"/>
        <v>0</v>
      </c>
      <c r="O40" s="128"/>
      <c r="P40" s="128"/>
      <c r="Q40" s="80"/>
      <c r="R40" s="42">
        <f t="shared" si="5"/>
        <v>0</v>
      </c>
      <c r="S40" s="233"/>
      <c r="T40" s="80"/>
      <c r="U40" s="42"/>
      <c r="V40" s="42"/>
    </row>
    <row r="41" spans="1:22" s="34" customFormat="1" x14ac:dyDescent="0.25">
      <c r="A41" s="185">
        <v>9257030</v>
      </c>
      <c r="B41" s="915" t="s">
        <v>933</v>
      </c>
      <c r="C41" s="781" t="s">
        <v>949</v>
      </c>
      <c r="D41" s="812">
        <f>VLOOKUP(A41,'2122 Band Moderations'!$B$5:$S$22,6,(FALSE))</f>
        <v>0</v>
      </c>
      <c r="E41" s="812">
        <f>VLOOKUP(A41,'2122 Band Moderations'!$B$5:$S$22,8,(FALSE))</f>
        <v>0</v>
      </c>
      <c r="F41" s="812">
        <f>VLOOKUP(A41,'2122 Band Moderations'!$B$5:$S$22,10,(FALSE))</f>
        <v>1</v>
      </c>
      <c r="G41" s="812">
        <f>VLOOKUP(A41,'2122 Band Moderations'!$B$5:$S$22,12,(FALSE))</f>
        <v>0</v>
      </c>
      <c r="H41" s="812">
        <f>VLOOKUP(A41,'2122 Band Moderations'!$B$5:$S$22,14,(FALSE))</f>
        <v>0</v>
      </c>
      <c r="I41" s="812">
        <f>VLOOKUP(A41,'2122 Band Moderations'!$B$5:$S$22,16,(FALSE))</f>
        <v>0</v>
      </c>
      <c r="J41" s="812">
        <f>VLOOKUP(A41,'2122 Band Moderations'!$B$5:$S$22,18,(FALSE))</f>
        <v>0</v>
      </c>
      <c r="K41" s="1012">
        <v>0</v>
      </c>
      <c r="L41" s="813">
        <f t="shared" si="6"/>
        <v>0</v>
      </c>
      <c r="M41" s="813">
        <f t="shared" si="4"/>
        <v>0</v>
      </c>
      <c r="N41" s="813">
        <f t="shared" si="7"/>
        <v>0</v>
      </c>
      <c r="O41" s="128"/>
      <c r="P41" s="128"/>
      <c r="Q41" s="80"/>
      <c r="R41" s="42">
        <f t="shared" si="5"/>
        <v>0</v>
      </c>
      <c r="S41" s="233"/>
      <c r="T41" s="80"/>
      <c r="U41" s="42"/>
      <c r="V41" s="42"/>
    </row>
    <row r="42" spans="1:22" s="34" customFormat="1" x14ac:dyDescent="0.25">
      <c r="A42" s="185">
        <v>9257028</v>
      </c>
      <c r="B42" s="38" t="s">
        <v>77</v>
      </c>
      <c r="C42" s="781">
        <v>5</v>
      </c>
      <c r="D42" s="812">
        <f>VLOOKUP(A42,'2122 Band Moderations'!$B$5:$S$22,6,(FALSE))</f>
        <v>8.9108910891089105E-2</v>
      </c>
      <c r="E42" s="812">
        <f>VLOOKUP(A42,'2122 Band Moderations'!$B$5:$S$22,8,(FALSE))</f>
        <v>0.40594059405940597</v>
      </c>
      <c r="F42" s="812">
        <f>VLOOKUP(A42,'2122 Band Moderations'!$B$5:$S$22,10,(FALSE))</f>
        <v>7.9207920792079209E-2</v>
      </c>
      <c r="G42" s="812">
        <f>VLOOKUP(A42,'2122 Band Moderations'!$B$5:$S$22,12,(FALSE))</f>
        <v>8.9108910891089105E-2</v>
      </c>
      <c r="H42" s="812">
        <f>VLOOKUP(A42,'2122 Band Moderations'!$B$5:$S$22,14,(FALSE))</f>
        <v>0.12871287128712872</v>
      </c>
      <c r="I42" s="812">
        <f>VLOOKUP(A42,'2122 Band Moderations'!$B$5:$S$22,16,(FALSE))</f>
        <v>9.9009900990099015E-2</v>
      </c>
      <c r="J42" s="812">
        <f>VLOOKUP(A42,'2122 Band Moderations'!$B$5:$S$22,18,(FALSE))</f>
        <v>0.10891089108910891</v>
      </c>
      <c r="K42" s="1012">
        <v>8</v>
      </c>
      <c r="L42" s="813">
        <f t="shared" si="6"/>
        <v>455.88524078810167</v>
      </c>
      <c r="M42" s="813">
        <f t="shared" si="4"/>
        <v>0</v>
      </c>
      <c r="N42" s="813">
        <f t="shared" si="7"/>
        <v>455.88524078810167</v>
      </c>
      <c r="O42" s="128"/>
      <c r="P42" s="128"/>
      <c r="Q42" s="80"/>
      <c r="R42" s="42">
        <f t="shared" si="5"/>
        <v>105.55288698503672</v>
      </c>
      <c r="S42" s="233"/>
      <c r="T42" s="80"/>
      <c r="U42" s="42"/>
      <c r="V42" s="42"/>
    </row>
    <row r="43" spans="1:22" s="34" customFormat="1" x14ac:dyDescent="0.25">
      <c r="A43" s="185">
        <v>9257021</v>
      </c>
      <c r="B43" s="38" t="s">
        <v>78</v>
      </c>
      <c r="C43" s="781" t="s">
        <v>947</v>
      </c>
      <c r="D43" s="812">
        <f>VLOOKUP(A43,'2122 Band Moderations'!$B$5:$S$22,6,(FALSE))</f>
        <v>0.26829268292682928</v>
      </c>
      <c r="E43" s="812">
        <f>VLOOKUP(A43,'2122 Band Moderations'!$B$5:$S$22,8,(FALSE))</f>
        <v>0.42682926829268292</v>
      </c>
      <c r="F43" s="812">
        <f>VLOOKUP(A43,'2122 Band Moderations'!$B$5:$S$22,10,(FALSE))</f>
        <v>7.926829268292683E-2</v>
      </c>
      <c r="G43" s="812">
        <f>VLOOKUP(A43,'2122 Band Moderations'!$B$5:$S$22,12,(FALSE))</f>
        <v>6.7073170731707321E-2</v>
      </c>
      <c r="H43" s="812">
        <f>VLOOKUP(A43,'2122 Band Moderations'!$B$5:$S$22,14,(FALSE))</f>
        <v>5.4878048780487805E-2</v>
      </c>
      <c r="I43" s="812">
        <f>VLOOKUP(A43,'2122 Band Moderations'!$B$5:$S$22,16,(FALSE))</f>
        <v>9.1463414634146339E-2</v>
      </c>
      <c r="J43" s="812">
        <f>VLOOKUP(A43,'2122 Band Moderations'!$B$5:$S$22,18,(FALSE))</f>
        <v>1.2195121951219513E-2</v>
      </c>
      <c r="K43" s="1012">
        <v>0</v>
      </c>
      <c r="L43" s="813">
        <f t="shared" si="6"/>
        <v>0</v>
      </c>
      <c r="M43" s="813">
        <f t="shared" si="4"/>
        <v>0</v>
      </c>
      <c r="N43" s="813">
        <f t="shared" si="7"/>
        <v>0</v>
      </c>
      <c r="O43" s="128"/>
      <c r="P43" s="128"/>
      <c r="Q43" s="80"/>
      <c r="R43" s="42">
        <f t="shared" si="5"/>
        <v>0</v>
      </c>
      <c r="S43" s="233"/>
      <c r="T43" s="80"/>
      <c r="U43" s="42"/>
      <c r="V43" s="42"/>
    </row>
    <row r="44" spans="1:22" s="34" customFormat="1" x14ac:dyDescent="0.25">
      <c r="A44" s="185">
        <v>9257015</v>
      </c>
      <c r="B44" s="38" t="s">
        <v>55</v>
      </c>
      <c r="C44" s="781" t="s">
        <v>948</v>
      </c>
      <c r="D44" s="812">
        <f>VLOOKUP(A44,'2122 Band Moderations'!$B$5:$S$22,6,(FALSE))</f>
        <v>0.33185840707964603</v>
      </c>
      <c r="E44" s="812">
        <f>VLOOKUP(A44,'2122 Band Moderations'!$B$5:$S$22,8,(FALSE))</f>
        <v>0.38495575221238937</v>
      </c>
      <c r="F44" s="812">
        <f>VLOOKUP(A44,'2122 Band Moderations'!$B$5:$S$22,10,(FALSE))</f>
        <v>1.7699115044247787E-2</v>
      </c>
      <c r="G44" s="812">
        <f>VLOOKUP(A44,'2122 Band Moderations'!$B$5:$S$22,12,(FALSE))</f>
        <v>8.8495575221238937E-2</v>
      </c>
      <c r="H44" s="812">
        <f>VLOOKUP(A44,'2122 Band Moderations'!$B$5:$S$22,14,(FALSE))</f>
        <v>2.2123893805309734E-2</v>
      </c>
      <c r="I44" s="812">
        <f>VLOOKUP(A44,'2122 Band Moderations'!$B$5:$S$22,16,(FALSE))</f>
        <v>0.1415929203539823</v>
      </c>
      <c r="J44" s="812">
        <f>VLOOKUP(A44,'2122 Band Moderations'!$B$5:$S$22,18,(FALSE))</f>
        <v>1.3274336283185841E-2</v>
      </c>
      <c r="K44" s="1012">
        <v>8</v>
      </c>
      <c r="L44" s="813">
        <f t="shared" si="6"/>
        <v>313.73206546238237</v>
      </c>
      <c r="M44" s="813">
        <f t="shared" si="4"/>
        <v>0</v>
      </c>
      <c r="N44" s="813">
        <f t="shared" si="7"/>
        <v>313.73206546238237</v>
      </c>
      <c r="O44" s="128"/>
      <c r="P44" s="128"/>
      <c r="Q44" s="80"/>
      <c r="R44" s="42">
        <f t="shared" si="5"/>
        <v>12.865054206140838</v>
      </c>
      <c r="S44" s="233"/>
      <c r="T44" s="80"/>
      <c r="U44" s="42"/>
      <c r="V44" s="42"/>
    </row>
    <row r="45" spans="1:22" s="34" customFormat="1" x14ac:dyDescent="0.25">
      <c r="A45" s="185">
        <v>9257016</v>
      </c>
      <c r="B45" s="38" t="s">
        <v>80</v>
      </c>
      <c r="C45" s="781" t="s">
        <v>948</v>
      </c>
      <c r="D45" s="812">
        <f>VLOOKUP(A45,'2122 Band Moderations'!$B$5:$S$22,6,(FALSE))</f>
        <v>0.18012422360248448</v>
      </c>
      <c r="E45" s="812">
        <f>VLOOKUP(A45,'2122 Band Moderations'!$B$5:$S$22,8,(FALSE))</f>
        <v>0.15527950310559005</v>
      </c>
      <c r="F45" s="812">
        <f>VLOOKUP(A45,'2122 Band Moderations'!$B$5:$S$22,10,(FALSE))</f>
        <v>6.2111801242236021E-3</v>
      </c>
      <c r="G45" s="812">
        <f>VLOOKUP(A45,'2122 Band Moderations'!$B$5:$S$22,12,(FALSE))</f>
        <v>0.2236024844720497</v>
      </c>
      <c r="H45" s="812">
        <f>VLOOKUP(A45,'2122 Band Moderations'!$B$5:$S$22,14,(FALSE))</f>
        <v>0.21118012422360249</v>
      </c>
      <c r="I45" s="812">
        <f>VLOOKUP(A45,'2122 Band Moderations'!$B$5:$S$22,16,(FALSE))</f>
        <v>1.2422360248447204E-2</v>
      </c>
      <c r="J45" s="812">
        <f>VLOOKUP(A45,'2122 Band Moderations'!$B$5:$S$22,18,(FALSE))</f>
        <v>0.21118012422360249</v>
      </c>
      <c r="K45" s="1012">
        <v>47</v>
      </c>
      <c r="L45" s="813">
        <f t="shared" si="6"/>
        <v>3405.4181176273551</v>
      </c>
      <c r="M45" s="813">
        <f t="shared" si="4"/>
        <v>0</v>
      </c>
      <c r="N45" s="813">
        <f t="shared" si="7"/>
        <v>3405.4181176273551</v>
      </c>
      <c r="O45" s="128"/>
      <c r="P45" s="128"/>
      <c r="Q45" s="628" t="s">
        <v>402</v>
      </c>
      <c r="R45" s="42">
        <f t="shared" si="5"/>
        <v>1202.4297609832693</v>
      </c>
      <c r="S45" s="233"/>
      <c r="T45" s="80"/>
      <c r="U45" s="42"/>
      <c r="V45" s="42"/>
    </row>
    <row r="46" spans="1:22" s="34" customFormat="1" x14ac:dyDescent="0.25">
      <c r="A46" s="75"/>
      <c r="B46" s="50"/>
      <c r="C46" s="61"/>
      <c r="D46" s="49"/>
      <c r="E46" s="49"/>
      <c r="F46" s="628" t="s">
        <v>402</v>
      </c>
      <c r="G46" s="49"/>
      <c r="H46" s="49"/>
      <c r="I46" s="49"/>
      <c r="J46" s="628" t="s">
        <v>402</v>
      </c>
      <c r="L46" s="168"/>
      <c r="M46" s="168"/>
      <c r="N46" s="628" t="s">
        <v>402</v>
      </c>
      <c r="O46" s="128"/>
      <c r="P46" s="128"/>
      <c r="Q46" s="80"/>
      <c r="R46" s="233"/>
      <c r="S46" s="233"/>
      <c r="T46" s="40"/>
    </row>
    <row r="47" spans="1:22" s="34" customFormat="1" ht="13" x14ac:dyDescent="0.3">
      <c r="A47" s="230" t="s">
        <v>931</v>
      </c>
      <c r="B47" s="50"/>
      <c r="C47" s="50"/>
      <c r="K47" s="1478"/>
      <c r="L47" s="1478"/>
      <c r="O47" s="50"/>
      <c r="P47" s="50"/>
      <c r="S47" s="347"/>
    </row>
    <row r="48" spans="1:22" s="34" customFormat="1" x14ac:dyDescent="0.25">
      <c r="B48" s="50"/>
      <c r="C48" s="50"/>
      <c r="K48" s="231" t="s">
        <v>921</v>
      </c>
      <c r="L48" s="1478"/>
      <c r="O48" s="2051"/>
      <c r="P48" s="2051"/>
    </row>
    <row r="49" spans="1:20" s="34" customFormat="1" ht="39.75" customHeight="1" x14ac:dyDescent="0.25">
      <c r="A49" s="183" t="s">
        <v>201</v>
      </c>
      <c r="B49" s="36" t="s">
        <v>66</v>
      </c>
      <c r="C49" s="39" t="s">
        <v>51</v>
      </c>
      <c r="D49" s="1483" t="s">
        <v>858</v>
      </c>
      <c r="E49" s="1483" t="s">
        <v>859</v>
      </c>
      <c r="F49" s="1483" t="s">
        <v>860</v>
      </c>
      <c r="G49" s="1483" t="s">
        <v>861</v>
      </c>
      <c r="H49" s="1483" t="s">
        <v>862</v>
      </c>
      <c r="I49" s="1483" t="s">
        <v>863</v>
      </c>
      <c r="J49" s="1483" t="s">
        <v>864</v>
      </c>
      <c r="K49" s="1484" t="s">
        <v>253</v>
      </c>
      <c r="L49" s="1484" t="s">
        <v>390</v>
      </c>
      <c r="M49" s="1484" t="s">
        <v>391</v>
      </c>
      <c r="N49" s="1484" t="s">
        <v>287</v>
      </c>
      <c r="O49" s="1498"/>
      <c r="P49" s="384"/>
      <c r="S49" s="347"/>
    </row>
    <row r="50" spans="1:20" s="34" customFormat="1" x14ac:dyDescent="0.25">
      <c r="A50" s="131">
        <v>9257010</v>
      </c>
      <c r="B50" s="38" t="s">
        <v>67</v>
      </c>
      <c r="C50" s="781">
        <v>5</v>
      </c>
      <c r="D50" s="812">
        <f>VLOOKUP(A50,'2122 Band Moderations'!$B$5:$S$22,6,(FALSE))</f>
        <v>1.5873015873015872E-2</v>
      </c>
      <c r="E50" s="812">
        <f>VLOOKUP(A50,'2122 Band Moderations'!$B$5:$S$22,8,(FALSE))</f>
        <v>0.31746031746031744</v>
      </c>
      <c r="F50" s="812">
        <f>VLOOKUP(A50,'2122 Band Moderations'!$B$5:$S$22,10,(FALSE))</f>
        <v>9.5238095238095233E-2</v>
      </c>
      <c r="G50" s="812">
        <f>VLOOKUP(A50,'2122 Band Moderations'!$B$5:$S$22,12,(FALSE))</f>
        <v>0.17460317460317459</v>
      </c>
      <c r="H50" s="812">
        <f>VLOOKUP(A50,'2122 Band Moderations'!$B$5:$S$22,14,(FALSE))</f>
        <v>6.3492063492063489E-2</v>
      </c>
      <c r="I50" s="812">
        <f>VLOOKUP(A50,'2122 Band Moderations'!$B$5:$S$22,16,(FALSE))</f>
        <v>0.19047619047619047</v>
      </c>
      <c r="J50" s="812">
        <f>VLOOKUP(A50,'2122 Band Moderations'!$B$5:$S$22,18,(FALSE))</f>
        <v>0.14285714285714285</v>
      </c>
      <c r="K50" s="1012">
        <v>90</v>
      </c>
      <c r="L50" s="813">
        <f t="shared" ref="L50:L67" si="8">((((K50*D50)*$G$92)+((K50*E50)*$G$94)+((K50*F50)*$G$96)+((K50*G50)*$G$98)+((K50*H50)*$G$100)+((K50*I50)*$G$102)+((K50*J50)*$G$104))*(7/12))</f>
        <v>10656.751736169397</v>
      </c>
      <c r="M50" s="813">
        <f>((F50*K50)*$G$106)*(7/12)</f>
        <v>0</v>
      </c>
      <c r="N50" s="813">
        <f t="shared" ref="N50:N67" si="9">SUM(L50:M50)</f>
        <v>10656.751736169397</v>
      </c>
      <c r="O50" s="128"/>
      <c r="P50" s="128"/>
      <c r="Q50" s="42"/>
      <c r="R50" s="42">
        <f t="shared" ref="R50:R67" si="10">(J50*K50*$G$104)*7/12</f>
        <v>2725.7833599260903</v>
      </c>
      <c r="S50" s="978" t="s">
        <v>402</v>
      </c>
      <c r="T50" s="625" t="s">
        <v>595</v>
      </c>
    </row>
    <row r="51" spans="1:20" s="34" customFormat="1" x14ac:dyDescent="0.25">
      <c r="A51" s="131">
        <v>9257005</v>
      </c>
      <c r="B51" s="38" t="s">
        <v>68</v>
      </c>
      <c r="C51" s="781">
        <v>4</v>
      </c>
      <c r="D51" s="812">
        <f>VLOOKUP(A51,'2122 Band Moderations'!$B$5:$S$22,6,(FALSE))</f>
        <v>0.05</v>
      </c>
      <c r="E51" s="812">
        <f>VLOOKUP(A51,'2122 Band Moderations'!$B$5:$S$22,8,(FALSE))</f>
        <v>0.4</v>
      </c>
      <c r="F51" s="812">
        <f>VLOOKUP(A51,'2122 Band Moderations'!$B$5:$S$22,10,(FALSE))</f>
        <v>6.25E-2</v>
      </c>
      <c r="G51" s="812">
        <f>VLOOKUP(A51,'2122 Band Moderations'!$B$5:$S$22,12,(FALSE))</f>
        <v>0.15</v>
      </c>
      <c r="H51" s="812">
        <f>VLOOKUP(A51,'2122 Band Moderations'!$B$5:$S$22,14,(FALSE))</f>
        <v>0.125</v>
      </c>
      <c r="I51" s="812">
        <f>VLOOKUP(A51,'2122 Band Moderations'!$B$5:$S$22,16,(FALSE))</f>
        <v>0.15</v>
      </c>
      <c r="J51" s="812">
        <f>VLOOKUP(A51,'2122 Band Moderations'!$B$5:$S$22,18,(FALSE))</f>
        <v>6.25E-2</v>
      </c>
      <c r="K51" s="1012">
        <v>58</v>
      </c>
      <c r="L51" s="813">
        <f t="shared" si="8"/>
        <v>5918.2914795669985</v>
      </c>
      <c r="M51" s="813">
        <f t="shared" ref="M51:M67" si="11">((F51*K51)*$G$106)*(7/12)</f>
        <v>0</v>
      </c>
      <c r="N51" s="813">
        <f t="shared" si="9"/>
        <v>5918.2914795669985</v>
      </c>
      <c r="O51" s="128"/>
      <c r="P51" s="128"/>
      <c r="Q51" s="42"/>
      <c r="R51" s="42">
        <f t="shared" si="10"/>
        <v>768.51947509027275</v>
      </c>
      <c r="S51" s="168"/>
    </row>
    <row r="52" spans="1:20" s="34" customFormat="1" x14ac:dyDescent="0.25">
      <c r="A52" s="131">
        <v>9257025</v>
      </c>
      <c r="B52" s="38" t="s">
        <v>69</v>
      </c>
      <c r="C52" s="781">
        <v>4</v>
      </c>
      <c r="D52" s="812">
        <f>VLOOKUP(A52,'2122 Band Moderations'!$B$5:$S$22,6,(FALSE))</f>
        <v>0.15584415584415584</v>
      </c>
      <c r="E52" s="812">
        <f>VLOOKUP(A52,'2122 Band Moderations'!$B$5:$S$22,8,(FALSE))</f>
        <v>0.40259740259740262</v>
      </c>
      <c r="F52" s="812">
        <f>VLOOKUP(A52,'2122 Band Moderations'!$B$5:$S$22,10,(FALSE))</f>
        <v>3.896103896103896E-2</v>
      </c>
      <c r="G52" s="812">
        <f>VLOOKUP(A52,'2122 Band Moderations'!$B$5:$S$22,12,(FALSE))</f>
        <v>0.15584415584415584</v>
      </c>
      <c r="H52" s="812">
        <f>VLOOKUP(A52,'2122 Band Moderations'!$B$5:$S$22,14,(FALSE))</f>
        <v>5.1948051948051951E-2</v>
      </c>
      <c r="I52" s="812">
        <f>VLOOKUP(A52,'2122 Band Moderations'!$B$5:$S$22,16,(FALSE))</f>
        <v>0.14285714285714285</v>
      </c>
      <c r="J52" s="812">
        <f>VLOOKUP(A52,'2122 Band Moderations'!$B$5:$S$22,18,(FALSE))</f>
        <v>5.1948051948051951E-2</v>
      </c>
      <c r="K52" s="1012">
        <v>54</v>
      </c>
      <c r="L52" s="813">
        <f t="shared" si="8"/>
        <v>4821.9567624515093</v>
      </c>
      <c r="M52" s="813">
        <f t="shared" si="11"/>
        <v>0</v>
      </c>
      <c r="N52" s="813">
        <f t="shared" si="9"/>
        <v>4821.9567624515093</v>
      </c>
      <c r="O52" s="128"/>
      <c r="P52" s="128"/>
      <c r="Q52" s="42"/>
      <c r="R52" s="42">
        <f t="shared" si="10"/>
        <v>594.71636943841975</v>
      </c>
      <c r="S52" s="168"/>
    </row>
    <row r="53" spans="1:20" s="34" customFormat="1" x14ac:dyDescent="0.25">
      <c r="A53" s="131">
        <v>9257011</v>
      </c>
      <c r="B53" s="38" t="s">
        <v>70</v>
      </c>
      <c r="C53" s="781" t="s">
        <v>1009</v>
      </c>
      <c r="D53" s="812">
        <f>VLOOKUP(A53,'2122 Band Moderations'!$B$5:$S$22,6,(FALSE))</f>
        <v>5.6603773584905662E-2</v>
      </c>
      <c r="E53" s="812">
        <f>VLOOKUP(A53,'2122 Band Moderations'!$B$5:$S$22,8,(FALSE))</f>
        <v>0.35849056603773582</v>
      </c>
      <c r="F53" s="812">
        <f>VLOOKUP(A53,'2122 Band Moderations'!$B$5:$S$22,10,(FALSE))</f>
        <v>1.8867924528301886E-2</v>
      </c>
      <c r="G53" s="812">
        <f>VLOOKUP(A53,'2122 Band Moderations'!$B$5:$S$22,12,(FALSE))</f>
        <v>0.16981132075471697</v>
      </c>
      <c r="H53" s="812">
        <f>VLOOKUP(A53,'2122 Band Moderations'!$B$5:$S$22,14,(FALSE))</f>
        <v>0.13207547169811321</v>
      </c>
      <c r="I53" s="812">
        <f>VLOOKUP(A53,'2122 Band Moderations'!$B$5:$S$22,16,(FALSE))</f>
        <v>0.15094339622641509</v>
      </c>
      <c r="J53" s="812">
        <f>VLOOKUP(A53,'2122 Band Moderations'!$B$5:$S$22,18,(FALSE))</f>
        <v>0.11320754716981132</v>
      </c>
      <c r="K53" s="1012">
        <v>50</v>
      </c>
      <c r="L53" s="813">
        <f t="shared" si="8"/>
        <v>5510.1687300378035</v>
      </c>
      <c r="M53" s="813">
        <f t="shared" si="11"/>
        <v>0</v>
      </c>
      <c r="N53" s="813">
        <f t="shared" si="9"/>
        <v>5510.1687300378035</v>
      </c>
      <c r="O53" s="128"/>
      <c r="P53" s="128"/>
      <c r="Q53" s="42"/>
      <c r="R53" s="42">
        <f t="shared" si="10"/>
        <v>1200.0304100303545</v>
      </c>
      <c r="S53" s="168"/>
    </row>
    <row r="54" spans="1:20" s="34" customFormat="1" x14ac:dyDescent="0.25">
      <c r="A54" s="131">
        <v>9257024</v>
      </c>
      <c r="B54" s="38" t="s">
        <v>71</v>
      </c>
      <c r="C54" s="781">
        <v>4</v>
      </c>
      <c r="D54" s="812">
        <f>VLOOKUP(A54,'2122 Band Moderations'!$B$5:$S$22,6,(FALSE))</f>
        <v>8.4337349397590355E-2</v>
      </c>
      <c r="E54" s="812">
        <f>VLOOKUP(A54,'2122 Band Moderations'!$B$5:$S$22,8,(FALSE))</f>
        <v>0.45783132530120479</v>
      </c>
      <c r="F54" s="812">
        <f>VLOOKUP(A54,'2122 Band Moderations'!$B$5:$S$22,10,(FALSE))</f>
        <v>1.2048192771084338E-2</v>
      </c>
      <c r="G54" s="812">
        <f>VLOOKUP(A54,'2122 Band Moderations'!$B$5:$S$22,12,(FALSE))</f>
        <v>0.18072289156626506</v>
      </c>
      <c r="H54" s="812">
        <f>VLOOKUP(A54,'2122 Band Moderations'!$B$5:$S$22,14,(FALSE))</f>
        <v>8.4337349397590355E-2</v>
      </c>
      <c r="I54" s="812">
        <f>VLOOKUP(A54,'2122 Band Moderations'!$B$5:$S$22,16,(FALSE))</f>
        <v>7.2289156626506021E-2</v>
      </c>
      <c r="J54" s="812">
        <f>VLOOKUP(A54,'2122 Band Moderations'!$B$5:$S$22,18,(FALSE))</f>
        <v>0.10843373493975904</v>
      </c>
      <c r="K54" s="1012">
        <v>71</v>
      </c>
      <c r="L54" s="813">
        <f t="shared" si="8"/>
        <v>6882.1883768491061</v>
      </c>
      <c r="M54" s="813">
        <f t="shared" si="11"/>
        <v>0</v>
      </c>
      <c r="N54" s="813">
        <f t="shared" si="9"/>
        <v>6882.1883768491061</v>
      </c>
      <c r="O54" s="128"/>
      <c r="P54" s="128"/>
      <c r="Q54" s="42"/>
      <c r="R54" s="42">
        <f t="shared" si="10"/>
        <v>1632.1859396183938</v>
      </c>
      <c r="S54" s="168"/>
    </row>
    <row r="55" spans="1:20" s="34" customFormat="1" x14ac:dyDescent="0.25">
      <c r="A55" s="131">
        <v>9257031</v>
      </c>
      <c r="B55" s="38" t="s">
        <v>98</v>
      </c>
      <c r="C55" s="781">
        <v>5</v>
      </c>
      <c r="D55" s="812">
        <f>VLOOKUP(A55,'2122 Band Moderations'!$B$5:$S$22,6,(FALSE))</f>
        <v>0</v>
      </c>
      <c r="E55" s="812">
        <f>VLOOKUP(A55,'2122 Band Moderations'!$B$5:$S$22,8,(FALSE))</f>
        <v>0</v>
      </c>
      <c r="F55" s="812">
        <f>VLOOKUP(A55,'2122 Band Moderations'!$B$5:$S$22,10,(FALSE))</f>
        <v>1</v>
      </c>
      <c r="G55" s="812">
        <f>VLOOKUP(A55,'2122 Band Moderations'!$B$5:$S$22,12,(FALSE))</f>
        <v>0</v>
      </c>
      <c r="H55" s="812">
        <f>VLOOKUP(A55,'2122 Band Moderations'!$B$5:$S$22,14,(FALSE))</f>
        <v>0</v>
      </c>
      <c r="I55" s="812">
        <f>VLOOKUP(A55,'2122 Band Moderations'!$B$5:$S$22,16,(FALSE))</f>
        <v>0</v>
      </c>
      <c r="J55" s="812">
        <f>VLOOKUP(A55,'2122 Band Moderations'!$B$5:$S$22,18,(FALSE))</f>
        <v>0</v>
      </c>
      <c r="K55" s="1012">
        <v>81</v>
      </c>
      <c r="L55" s="813">
        <f t="shared" si="8"/>
        <v>9986.8554284934235</v>
      </c>
      <c r="M55" s="813">
        <f t="shared" si="11"/>
        <v>0</v>
      </c>
      <c r="N55" s="813">
        <f t="shared" si="9"/>
        <v>9986.8554284934235</v>
      </c>
      <c r="O55" s="128"/>
      <c r="P55" s="128"/>
      <c r="Q55" s="42"/>
      <c r="R55" s="42">
        <f t="shared" si="10"/>
        <v>0</v>
      </c>
      <c r="S55" s="168"/>
    </row>
    <row r="56" spans="1:20" s="34" customFormat="1" x14ac:dyDescent="0.25">
      <c r="A56" s="131">
        <v>9257033</v>
      </c>
      <c r="B56" s="38" t="s">
        <v>72</v>
      </c>
      <c r="C56" s="781" t="s">
        <v>946</v>
      </c>
      <c r="D56" s="812">
        <f>VLOOKUP(A56,'2122 Band Moderations'!$B$5:$S$22,6,(FALSE))</f>
        <v>0.16842105263157894</v>
      </c>
      <c r="E56" s="812">
        <f>VLOOKUP(A56,'2122 Band Moderations'!$B$5:$S$22,8,(FALSE))</f>
        <v>0.5368421052631579</v>
      </c>
      <c r="F56" s="812">
        <f>VLOOKUP(A56,'2122 Band Moderations'!$B$5:$S$22,10,(FALSE))</f>
        <v>6.3157894736842107E-2</v>
      </c>
      <c r="G56" s="812">
        <f>VLOOKUP(A56,'2122 Band Moderations'!$B$5:$S$22,12,(FALSE))</f>
        <v>0.14736842105263157</v>
      </c>
      <c r="H56" s="812">
        <f>VLOOKUP(A56,'2122 Band Moderations'!$B$5:$S$22,14,(FALSE))</f>
        <v>4.2105263157894736E-2</v>
      </c>
      <c r="I56" s="812">
        <f>VLOOKUP(A56,'2122 Band Moderations'!$B$5:$S$22,16,(FALSE))</f>
        <v>4.2105263157894736E-2</v>
      </c>
      <c r="J56" s="812">
        <f>VLOOKUP(A56,'2122 Band Moderations'!$B$5:$S$22,18,(FALSE))</f>
        <v>0</v>
      </c>
      <c r="K56" s="1012">
        <v>98</v>
      </c>
      <c r="L56" s="813">
        <f t="shared" si="8"/>
        <v>6917.6152156560265</v>
      </c>
      <c r="M56" s="813">
        <f t="shared" si="11"/>
        <v>0</v>
      </c>
      <c r="N56" s="813">
        <f t="shared" si="9"/>
        <v>6917.6152156560265</v>
      </c>
      <c r="O56" s="128"/>
      <c r="P56" s="128"/>
      <c r="Q56" s="42"/>
      <c r="R56" s="42">
        <f t="shared" si="10"/>
        <v>0</v>
      </c>
      <c r="S56" s="168"/>
    </row>
    <row r="57" spans="1:20" s="34" customFormat="1" x14ac:dyDescent="0.25">
      <c r="A57" s="131">
        <v>9257008</v>
      </c>
      <c r="B57" s="38" t="s">
        <v>73</v>
      </c>
      <c r="C57" s="781">
        <v>4</v>
      </c>
      <c r="D57" s="812">
        <f>VLOOKUP(A57,'2122 Band Moderations'!$B$5:$S$22,6,(FALSE))</f>
        <v>0.10101010101010101</v>
      </c>
      <c r="E57" s="812">
        <f>VLOOKUP(A57,'2122 Band Moderations'!$B$5:$S$22,8,(FALSE))</f>
        <v>0.58585858585858586</v>
      </c>
      <c r="F57" s="812">
        <f>VLOOKUP(A57,'2122 Band Moderations'!$B$5:$S$22,10,(FALSE))</f>
        <v>8.0808080808080815E-2</v>
      </c>
      <c r="G57" s="812">
        <f>VLOOKUP(A57,'2122 Band Moderations'!$B$5:$S$22,12,(FALSE))</f>
        <v>9.0909090909090912E-2</v>
      </c>
      <c r="H57" s="812">
        <f>VLOOKUP(A57,'2122 Band Moderations'!$B$5:$S$22,14,(FALSE))</f>
        <v>1.0101010101010102E-2</v>
      </c>
      <c r="I57" s="812">
        <f>VLOOKUP(A57,'2122 Band Moderations'!$B$5:$S$22,16,(FALSE))</f>
        <v>0.12121212121212122</v>
      </c>
      <c r="J57" s="812">
        <f>VLOOKUP(A57,'2122 Band Moderations'!$B$5:$S$22,18,(FALSE))</f>
        <v>1.0101010101010102E-2</v>
      </c>
      <c r="K57" s="1012">
        <v>99</v>
      </c>
      <c r="L57" s="813">
        <f t="shared" si="8"/>
        <v>7109.6483192788091</v>
      </c>
      <c r="M57" s="813">
        <f t="shared" si="11"/>
        <v>0</v>
      </c>
      <c r="N57" s="813">
        <f t="shared" si="9"/>
        <v>7109.6483192788091</v>
      </c>
      <c r="O57" s="128"/>
      <c r="P57" s="128"/>
      <c r="Q57" s="42"/>
      <c r="R57" s="42">
        <f t="shared" si="10"/>
        <v>212.0053724386959</v>
      </c>
      <c r="S57" s="168"/>
    </row>
    <row r="58" spans="1:20" s="34" customFormat="1" x14ac:dyDescent="0.25">
      <c r="A58" s="131">
        <v>9257034</v>
      </c>
      <c r="B58" s="38" t="s">
        <v>74</v>
      </c>
      <c r="C58" s="781" t="s">
        <v>946</v>
      </c>
      <c r="D58" s="812">
        <f>VLOOKUP(A58,'2122 Band Moderations'!$B$5:$S$22,6,(FALSE))</f>
        <v>0.42424242424242425</v>
      </c>
      <c r="E58" s="812">
        <f>VLOOKUP(A58,'2122 Band Moderations'!$B$5:$S$22,8,(FALSE))</f>
        <v>0.29292929292929293</v>
      </c>
      <c r="F58" s="812">
        <f>VLOOKUP(A58,'2122 Band Moderations'!$B$5:$S$22,10,(FALSE))</f>
        <v>0.14141414141414141</v>
      </c>
      <c r="G58" s="812">
        <f>VLOOKUP(A58,'2122 Band Moderations'!$B$5:$S$22,12,(FALSE))</f>
        <v>3.0303030303030304E-2</v>
      </c>
      <c r="H58" s="812">
        <f>VLOOKUP(A58,'2122 Band Moderations'!$B$5:$S$22,14,(FALSE))</f>
        <v>4.0404040404040407E-2</v>
      </c>
      <c r="I58" s="812">
        <f>VLOOKUP(A58,'2122 Band Moderations'!$B$5:$S$22,16,(FALSE))</f>
        <v>6.0606060606060608E-2</v>
      </c>
      <c r="J58" s="812">
        <f>VLOOKUP(A58,'2122 Band Moderations'!$B$5:$S$22,18,(FALSE))</f>
        <v>1.0101010101010102E-2</v>
      </c>
      <c r="K58" s="1012">
        <v>88</v>
      </c>
      <c r="L58" s="813">
        <f t="shared" si="8"/>
        <v>5750.4016259377322</v>
      </c>
      <c r="M58" s="813">
        <f t="shared" si="11"/>
        <v>0</v>
      </c>
      <c r="N58" s="813">
        <f t="shared" si="9"/>
        <v>5750.4016259377322</v>
      </c>
      <c r="O58" s="128"/>
      <c r="P58" s="128"/>
      <c r="Q58" s="42"/>
      <c r="R58" s="42">
        <f t="shared" si="10"/>
        <v>188.44921994550748</v>
      </c>
      <c r="S58" s="168"/>
    </row>
    <row r="59" spans="1:20" s="34" customFormat="1" x14ac:dyDescent="0.25">
      <c r="A59" s="131">
        <v>9257002</v>
      </c>
      <c r="B59" s="38" t="s">
        <v>75</v>
      </c>
      <c r="C59" s="781">
        <v>5</v>
      </c>
      <c r="D59" s="812">
        <f>VLOOKUP(A59,'2122 Band Moderations'!$B$5:$S$22,6,(FALSE))</f>
        <v>0.3546099290780142</v>
      </c>
      <c r="E59" s="812">
        <f>VLOOKUP(A59,'2122 Band Moderations'!$B$5:$S$22,8,(FALSE))</f>
        <v>0.38297872340425532</v>
      </c>
      <c r="F59" s="812">
        <f>VLOOKUP(A59,'2122 Band Moderations'!$B$5:$S$22,10,(FALSE))</f>
        <v>0.1276595744680851</v>
      </c>
      <c r="G59" s="812">
        <f>VLOOKUP(A59,'2122 Band Moderations'!$B$5:$S$22,12,(FALSE))</f>
        <v>2.8368794326241134E-2</v>
      </c>
      <c r="H59" s="812">
        <f>VLOOKUP(A59,'2122 Band Moderations'!$B$5:$S$22,14,(FALSE))</f>
        <v>2.1276595744680851E-2</v>
      </c>
      <c r="I59" s="812">
        <f>VLOOKUP(A59,'2122 Band Moderations'!$B$5:$S$22,16,(FALSE))</f>
        <v>7.8014184397163122E-2</v>
      </c>
      <c r="J59" s="812">
        <f>VLOOKUP(A59,'2122 Band Moderations'!$B$5:$S$22,18,(FALSE))</f>
        <v>7.0921985815602835E-3</v>
      </c>
      <c r="K59" s="1012">
        <v>151</v>
      </c>
      <c r="L59" s="813">
        <f t="shared" si="8"/>
        <v>9583.4575087845351</v>
      </c>
      <c r="M59" s="813">
        <f t="shared" si="11"/>
        <v>0</v>
      </c>
      <c r="N59" s="813">
        <f t="shared" si="9"/>
        <v>9583.4575087845351</v>
      </c>
      <c r="O59" s="128"/>
      <c r="P59" s="128"/>
      <c r="Q59" s="42"/>
      <c r="R59" s="42">
        <f t="shared" si="10"/>
        <v>227.04121445562464</v>
      </c>
      <c r="S59" s="168"/>
    </row>
    <row r="60" spans="1:20" s="34" customFormat="1" x14ac:dyDescent="0.25">
      <c r="A60" s="131">
        <v>9257009</v>
      </c>
      <c r="B60" s="38" t="s">
        <v>76</v>
      </c>
      <c r="C60" s="781" t="s">
        <v>946</v>
      </c>
      <c r="D60" s="812">
        <f>VLOOKUP(A60,'2122 Band Moderations'!$B$5:$S$22,6,(FALSE))</f>
        <v>0.24</v>
      </c>
      <c r="E60" s="812">
        <f>VLOOKUP(A60,'2122 Band Moderations'!$B$5:$S$22,8,(FALSE))</f>
        <v>0.58399999999999996</v>
      </c>
      <c r="F60" s="812">
        <f>VLOOKUP(A60,'2122 Band Moderations'!$B$5:$S$22,10,(FALSE))</f>
        <v>7.1999999999999995E-2</v>
      </c>
      <c r="G60" s="812">
        <f>VLOOKUP(A60,'2122 Band Moderations'!$B$5:$S$22,12,(FALSE))</f>
        <v>1.6E-2</v>
      </c>
      <c r="H60" s="812">
        <f>VLOOKUP(A60,'2122 Band Moderations'!$B$5:$S$22,14,(FALSE))</f>
        <v>8.0000000000000002E-3</v>
      </c>
      <c r="I60" s="812">
        <f>VLOOKUP(A60,'2122 Band Moderations'!$B$5:$S$22,16,(FALSE))</f>
        <v>0.08</v>
      </c>
      <c r="J60" s="812">
        <f>VLOOKUP(A60,'2122 Band Moderations'!$B$5:$S$22,18,(FALSE))</f>
        <v>0</v>
      </c>
      <c r="K60" s="1012">
        <v>136</v>
      </c>
      <c r="L60" s="813">
        <f t="shared" si="8"/>
        <v>7582.8864427704884</v>
      </c>
      <c r="M60" s="813">
        <f t="shared" si="11"/>
        <v>0</v>
      </c>
      <c r="N60" s="813">
        <f t="shared" si="9"/>
        <v>7582.8864427704884</v>
      </c>
      <c r="O60" s="128"/>
      <c r="P60" s="128"/>
      <c r="Q60" s="42"/>
      <c r="R60" s="42">
        <f t="shared" si="10"/>
        <v>0</v>
      </c>
      <c r="S60" s="168"/>
    </row>
    <row r="61" spans="1:20" s="34" customFormat="1" x14ac:dyDescent="0.25">
      <c r="A61" s="131">
        <v>9257029</v>
      </c>
      <c r="B61" s="915" t="s">
        <v>848</v>
      </c>
      <c r="C61" s="781" t="s">
        <v>949</v>
      </c>
      <c r="D61" s="812">
        <f>VLOOKUP(A61,'2122 Band Moderations'!$B$5:$S$22,6,(FALSE))</f>
        <v>0</v>
      </c>
      <c r="E61" s="812">
        <f>VLOOKUP(A61,'2122 Band Moderations'!$B$5:$S$22,8,(FALSE))</f>
        <v>0</v>
      </c>
      <c r="F61" s="812">
        <f>VLOOKUP(A61,'2122 Band Moderations'!$B$5:$S$22,10,(FALSE))</f>
        <v>1</v>
      </c>
      <c r="G61" s="812">
        <f>VLOOKUP(A61,'2122 Band Moderations'!$B$5:$S$22,12,(FALSE))</f>
        <v>0</v>
      </c>
      <c r="H61" s="812">
        <f>VLOOKUP(A61,'2122 Band Moderations'!$B$5:$S$22,14,(FALSE))</f>
        <v>0</v>
      </c>
      <c r="I61" s="812">
        <f>VLOOKUP(A61,'2122 Band Moderations'!$B$5:$S$22,16,(FALSE))</f>
        <v>0</v>
      </c>
      <c r="J61" s="812">
        <f>VLOOKUP(A61,'2122 Band Moderations'!$B$5:$S$22,18,(FALSE))</f>
        <v>0</v>
      </c>
      <c r="K61" s="1012">
        <v>78</v>
      </c>
      <c r="L61" s="813">
        <f t="shared" si="8"/>
        <v>9616.9718941047795</v>
      </c>
      <c r="M61" s="813">
        <f t="shared" si="11"/>
        <v>0</v>
      </c>
      <c r="N61" s="813">
        <f t="shared" si="9"/>
        <v>9616.9718941047795</v>
      </c>
      <c r="O61" s="128"/>
      <c r="P61" s="128"/>
      <c r="Q61" s="42"/>
      <c r="R61" s="42">
        <f t="shared" si="10"/>
        <v>0</v>
      </c>
      <c r="S61" s="168"/>
    </row>
    <row r="62" spans="1:20" s="34" customFormat="1" x14ac:dyDescent="0.25">
      <c r="A62" s="131">
        <v>9257032</v>
      </c>
      <c r="B62" s="915" t="s">
        <v>934</v>
      </c>
      <c r="C62" s="781" t="s">
        <v>949</v>
      </c>
      <c r="D62" s="812">
        <f>VLOOKUP(A62,'2122 Band Moderations'!$B$5:$S$22,6,(FALSE))</f>
        <v>0</v>
      </c>
      <c r="E62" s="812">
        <f>VLOOKUP(A62,'2122 Band Moderations'!$B$5:$S$22,8,(FALSE))</f>
        <v>0</v>
      </c>
      <c r="F62" s="812">
        <f>VLOOKUP(A62,'2122 Band Moderations'!$B$5:$S$22,10,(FALSE))</f>
        <v>1</v>
      </c>
      <c r="G62" s="812">
        <f>VLOOKUP(A62,'2122 Band Moderations'!$B$5:$S$22,12,(FALSE))</f>
        <v>0</v>
      </c>
      <c r="H62" s="812">
        <f>VLOOKUP(A62,'2122 Band Moderations'!$B$5:$S$22,14,(FALSE))</f>
        <v>0</v>
      </c>
      <c r="I62" s="812">
        <f>VLOOKUP(A62,'2122 Band Moderations'!$B$5:$S$22,16,(FALSE))</f>
        <v>0</v>
      </c>
      <c r="J62" s="812">
        <f>VLOOKUP(A62,'2122 Band Moderations'!$B$5:$S$22,18,(FALSE))</f>
        <v>0</v>
      </c>
      <c r="K62" s="1012">
        <v>104</v>
      </c>
      <c r="L62" s="813">
        <f t="shared" si="8"/>
        <v>12822.629192139706</v>
      </c>
      <c r="M62" s="813">
        <f t="shared" si="11"/>
        <v>0</v>
      </c>
      <c r="N62" s="813">
        <f t="shared" si="9"/>
        <v>12822.629192139706</v>
      </c>
      <c r="O62" s="128"/>
      <c r="P62" s="128"/>
      <c r="Q62" s="42"/>
      <c r="R62" s="42">
        <f t="shared" si="10"/>
        <v>0</v>
      </c>
      <c r="S62" s="168"/>
    </row>
    <row r="63" spans="1:20" s="34" customFormat="1" x14ac:dyDescent="0.25">
      <c r="A63" s="131">
        <v>9257030</v>
      </c>
      <c r="B63" s="915" t="s">
        <v>933</v>
      </c>
      <c r="C63" s="781" t="s">
        <v>949</v>
      </c>
      <c r="D63" s="812">
        <f>VLOOKUP(A63,'2122 Band Moderations'!$B$5:$S$22,6,(FALSE))</f>
        <v>0</v>
      </c>
      <c r="E63" s="812">
        <f>VLOOKUP(A63,'2122 Band Moderations'!$B$5:$S$22,8,(FALSE))</f>
        <v>0</v>
      </c>
      <c r="F63" s="812">
        <f>VLOOKUP(A63,'2122 Band Moderations'!$B$5:$S$22,10,(FALSE))</f>
        <v>1</v>
      </c>
      <c r="G63" s="812">
        <f>VLOOKUP(A63,'2122 Band Moderations'!$B$5:$S$22,12,(FALSE))</f>
        <v>0</v>
      </c>
      <c r="H63" s="812">
        <f>VLOOKUP(A63,'2122 Band Moderations'!$B$5:$S$22,14,(FALSE))</f>
        <v>0</v>
      </c>
      <c r="I63" s="812">
        <f>VLOOKUP(A63,'2122 Band Moderations'!$B$5:$S$22,16,(FALSE))</f>
        <v>0</v>
      </c>
      <c r="J63" s="812">
        <f>VLOOKUP(A63,'2122 Band Moderations'!$B$5:$S$22,18,(FALSE))</f>
        <v>0</v>
      </c>
      <c r="K63" s="1012">
        <v>72</v>
      </c>
      <c r="L63" s="813">
        <f t="shared" si="8"/>
        <v>8877.2048253274879</v>
      </c>
      <c r="M63" s="813">
        <f t="shared" si="11"/>
        <v>0</v>
      </c>
      <c r="N63" s="813">
        <f t="shared" si="9"/>
        <v>8877.2048253274879</v>
      </c>
      <c r="O63" s="128"/>
      <c r="P63" s="128"/>
      <c r="Q63" s="42"/>
      <c r="R63" s="42">
        <f t="shared" si="10"/>
        <v>0</v>
      </c>
      <c r="S63" s="168"/>
    </row>
    <row r="64" spans="1:20" s="34" customFormat="1" x14ac:dyDescent="0.25">
      <c r="A64" s="131">
        <v>9257028</v>
      </c>
      <c r="B64" s="38" t="s">
        <v>77</v>
      </c>
      <c r="C64" s="781">
        <v>5</v>
      </c>
      <c r="D64" s="812">
        <f>VLOOKUP(A64,'2122 Band Moderations'!$B$5:$S$22,6,(FALSE))</f>
        <v>8.9108910891089105E-2</v>
      </c>
      <c r="E64" s="812">
        <f>VLOOKUP(A64,'2122 Band Moderations'!$B$5:$S$22,8,(FALSE))</f>
        <v>0.40594059405940597</v>
      </c>
      <c r="F64" s="812">
        <f>VLOOKUP(A64,'2122 Band Moderations'!$B$5:$S$22,10,(FALSE))</f>
        <v>7.9207920792079209E-2</v>
      </c>
      <c r="G64" s="812">
        <f>VLOOKUP(A64,'2122 Band Moderations'!$B$5:$S$22,12,(FALSE))</f>
        <v>8.9108910891089105E-2</v>
      </c>
      <c r="H64" s="812">
        <f>VLOOKUP(A64,'2122 Band Moderations'!$B$5:$S$22,14,(FALSE))</f>
        <v>0.12871287128712872</v>
      </c>
      <c r="I64" s="812">
        <f>VLOOKUP(A64,'2122 Band Moderations'!$B$5:$S$22,16,(FALSE))</f>
        <v>9.9009900990099015E-2</v>
      </c>
      <c r="J64" s="812">
        <f>VLOOKUP(A64,'2122 Band Moderations'!$B$5:$S$22,18,(FALSE))</f>
        <v>0.10891089108910891</v>
      </c>
      <c r="K64" s="1012">
        <v>117</v>
      </c>
      <c r="L64" s="813">
        <f t="shared" si="8"/>
        <v>11667.812881420479</v>
      </c>
      <c r="M64" s="813">
        <f t="shared" si="11"/>
        <v>0</v>
      </c>
      <c r="N64" s="813">
        <f t="shared" si="9"/>
        <v>11667.812881420479</v>
      </c>
      <c r="O64" s="128"/>
      <c r="P64" s="128"/>
      <c r="Q64" s="42"/>
      <c r="R64" s="42">
        <f t="shared" si="10"/>
        <v>2701.4942012732831</v>
      </c>
      <c r="S64" s="168"/>
    </row>
    <row r="65" spans="1:23" s="34" customFormat="1" x14ac:dyDescent="0.25">
      <c r="A65" s="131">
        <v>9257021</v>
      </c>
      <c r="B65" s="38" t="s">
        <v>78</v>
      </c>
      <c r="C65" s="781" t="s">
        <v>947</v>
      </c>
      <c r="D65" s="812">
        <f>VLOOKUP(A65,'2122 Band Moderations'!$B$5:$S$22,6,(FALSE))</f>
        <v>0.26829268292682928</v>
      </c>
      <c r="E65" s="812">
        <f>VLOOKUP(A65,'2122 Band Moderations'!$B$5:$S$22,8,(FALSE))</f>
        <v>0.42682926829268292</v>
      </c>
      <c r="F65" s="812">
        <f>VLOOKUP(A65,'2122 Band Moderations'!$B$5:$S$22,10,(FALSE))</f>
        <v>7.926829268292683E-2</v>
      </c>
      <c r="G65" s="812">
        <f>VLOOKUP(A65,'2122 Band Moderations'!$B$5:$S$22,12,(FALSE))</f>
        <v>6.7073170731707321E-2</v>
      </c>
      <c r="H65" s="812">
        <f>VLOOKUP(A65,'2122 Band Moderations'!$B$5:$S$22,14,(FALSE))</f>
        <v>5.4878048780487805E-2</v>
      </c>
      <c r="I65" s="812">
        <f>VLOOKUP(A65,'2122 Band Moderations'!$B$5:$S$22,16,(FALSE))</f>
        <v>9.1463414634146339E-2</v>
      </c>
      <c r="J65" s="812">
        <f>VLOOKUP(A65,'2122 Band Moderations'!$B$5:$S$22,18,(FALSE))</f>
        <v>1.2195121951219513E-2</v>
      </c>
      <c r="K65" s="1012">
        <v>169</v>
      </c>
      <c r="L65" s="813">
        <f t="shared" si="8"/>
        <v>11899.986153107629</v>
      </c>
      <c r="M65" s="813">
        <f t="shared" si="11"/>
        <v>0</v>
      </c>
      <c r="N65" s="813">
        <f t="shared" si="9"/>
        <v>11899.986153107629</v>
      </c>
      <c r="O65" s="128"/>
      <c r="P65" s="128"/>
      <c r="Q65" s="42"/>
      <c r="R65" s="42">
        <f t="shared" si="10"/>
        <v>436.93790173340989</v>
      </c>
      <c r="S65" s="168"/>
    </row>
    <row r="66" spans="1:23" s="34" customFormat="1" x14ac:dyDescent="0.25">
      <c r="A66" s="131">
        <v>9257015</v>
      </c>
      <c r="B66" s="38" t="s">
        <v>55</v>
      </c>
      <c r="C66" s="781" t="s">
        <v>948</v>
      </c>
      <c r="D66" s="812">
        <f>VLOOKUP(A66,'2122 Band Moderations'!$B$5:$S$22,6,(FALSE))</f>
        <v>0.33185840707964603</v>
      </c>
      <c r="E66" s="812">
        <f>VLOOKUP(A66,'2122 Band Moderations'!$B$5:$S$22,8,(FALSE))</f>
        <v>0.38495575221238937</v>
      </c>
      <c r="F66" s="812">
        <f>VLOOKUP(A66,'2122 Band Moderations'!$B$5:$S$22,10,(FALSE))</f>
        <v>1.7699115044247787E-2</v>
      </c>
      <c r="G66" s="812">
        <f>VLOOKUP(A66,'2122 Band Moderations'!$B$5:$S$22,12,(FALSE))</f>
        <v>8.8495575221238937E-2</v>
      </c>
      <c r="H66" s="812">
        <f>VLOOKUP(A66,'2122 Band Moderations'!$B$5:$S$22,14,(FALSE))</f>
        <v>2.2123893805309734E-2</v>
      </c>
      <c r="I66" s="812">
        <f>VLOOKUP(A66,'2122 Band Moderations'!$B$5:$S$22,16,(FALSE))</f>
        <v>0.1415929203539823</v>
      </c>
      <c r="J66" s="812">
        <f>VLOOKUP(A66,'2122 Band Moderations'!$B$5:$S$22,18,(FALSE))</f>
        <v>1.3274336283185841E-2</v>
      </c>
      <c r="K66" s="1012">
        <v>223</v>
      </c>
      <c r="L66" s="813">
        <f t="shared" si="8"/>
        <v>15304.242318336839</v>
      </c>
      <c r="M66" s="813">
        <f t="shared" si="11"/>
        <v>0</v>
      </c>
      <c r="N66" s="813">
        <f t="shared" si="9"/>
        <v>15304.242318336839</v>
      </c>
      <c r="O66" s="128"/>
      <c r="P66" s="128"/>
      <c r="Q66" s="42"/>
      <c r="R66" s="42">
        <f t="shared" si="10"/>
        <v>627.57342549330781</v>
      </c>
      <c r="S66" s="168"/>
    </row>
    <row r="67" spans="1:23" s="34" customFormat="1" x14ac:dyDescent="0.25">
      <c r="A67" s="131">
        <v>9257016</v>
      </c>
      <c r="B67" s="38" t="s">
        <v>80</v>
      </c>
      <c r="C67" s="781" t="s">
        <v>948</v>
      </c>
      <c r="D67" s="812">
        <f>VLOOKUP(A67,'2122 Band Moderations'!$B$5:$S$22,6,(FALSE))</f>
        <v>0.18012422360248448</v>
      </c>
      <c r="E67" s="812">
        <f>VLOOKUP(A67,'2122 Band Moderations'!$B$5:$S$22,8,(FALSE))</f>
        <v>0.15527950310559005</v>
      </c>
      <c r="F67" s="812">
        <f>VLOOKUP(A67,'2122 Band Moderations'!$B$5:$S$22,10,(FALSE))</f>
        <v>6.2111801242236021E-3</v>
      </c>
      <c r="G67" s="812">
        <f>VLOOKUP(A67,'2122 Band Moderations'!$B$5:$S$22,12,(FALSE))</f>
        <v>0.2236024844720497</v>
      </c>
      <c r="H67" s="812">
        <f>VLOOKUP(A67,'2122 Band Moderations'!$B$5:$S$22,14,(FALSE))</f>
        <v>0.21118012422360249</v>
      </c>
      <c r="I67" s="812">
        <f>VLOOKUP(A67,'2122 Band Moderations'!$B$5:$S$22,16,(FALSE))</f>
        <v>1.2422360248447204E-2</v>
      </c>
      <c r="J67" s="812">
        <f>VLOOKUP(A67,'2122 Band Moderations'!$B$5:$S$22,18,(FALSE))</f>
        <v>0.21118012422360249</v>
      </c>
      <c r="K67" s="1012">
        <v>105</v>
      </c>
      <c r="L67" s="813">
        <f t="shared" si="8"/>
        <v>13313.735725830351</v>
      </c>
      <c r="M67" s="813">
        <f t="shared" si="11"/>
        <v>0</v>
      </c>
      <c r="N67" s="813">
        <f t="shared" si="9"/>
        <v>13313.735725830351</v>
      </c>
      <c r="O67" s="128"/>
      <c r="P67" s="128"/>
      <c r="Q67" s="628" t="s">
        <v>402</v>
      </c>
      <c r="R67" s="42">
        <f t="shared" si="10"/>
        <v>4700.9886932058662</v>
      </c>
      <c r="S67" s="168"/>
    </row>
    <row r="68" spans="1:23" s="34" customFormat="1" x14ac:dyDescent="0.25">
      <c r="B68" s="50"/>
      <c r="C68" s="50"/>
      <c r="F68" s="628" t="s">
        <v>402</v>
      </c>
      <c r="J68" s="628" t="s">
        <v>402</v>
      </c>
      <c r="K68" s="1478"/>
      <c r="N68" s="628" t="s">
        <v>402</v>
      </c>
      <c r="O68" s="50"/>
      <c r="P68" s="50"/>
      <c r="S68" s="347"/>
    </row>
    <row r="69" spans="1:23" s="34" customFormat="1" ht="13" x14ac:dyDescent="0.3">
      <c r="A69" s="230" t="s">
        <v>932</v>
      </c>
      <c r="B69" s="50"/>
      <c r="C69" s="50"/>
      <c r="K69" s="1478"/>
      <c r="L69" s="1478"/>
      <c r="O69" s="50"/>
      <c r="P69" s="50"/>
      <c r="S69" s="347"/>
    </row>
    <row r="70" spans="1:23" s="34" customFormat="1" x14ac:dyDescent="0.25">
      <c r="B70" s="50"/>
      <c r="C70" s="50"/>
      <c r="K70" s="1478"/>
      <c r="L70" s="1478"/>
      <c r="O70" s="2051"/>
      <c r="P70" s="2051"/>
      <c r="S70" s="347"/>
    </row>
    <row r="71" spans="1:23" s="34" customFormat="1" ht="37.5" x14ac:dyDescent="0.25">
      <c r="A71" s="183" t="s">
        <v>201</v>
      </c>
      <c r="B71" s="36" t="s">
        <v>66</v>
      </c>
      <c r="C71" s="39" t="s">
        <v>51</v>
      </c>
      <c r="D71" s="1483" t="s">
        <v>858</v>
      </c>
      <c r="E71" s="1483" t="s">
        <v>859</v>
      </c>
      <c r="F71" s="1483" t="s">
        <v>860</v>
      </c>
      <c r="G71" s="1483" t="s">
        <v>861</v>
      </c>
      <c r="H71" s="1483" t="s">
        <v>862</v>
      </c>
      <c r="I71" s="1483" t="s">
        <v>863</v>
      </c>
      <c r="J71" s="1483" t="s">
        <v>864</v>
      </c>
      <c r="K71" s="1484" t="s">
        <v>185</v>
      </c>
      <c r="L71" s="1484" t="s">
        <v>289</v>
      </c>
      <c r="M71" s="1484" t="s">
        <v>392</v>
      </c>
      <c r="N71" s="1484" t="s">
        <v>289</v>
      </c>
      <c r="O71" s="384"/>
      <c r="P71" s="384"/>
      <c r="Q71" s="1484"/>
      <c r="R71" s="1484"/>
      <c r="S71" s="252"/>
    </row>
    <row r="72" spans="1:23" s="34" customFormat="1" x14ac:dyDescent="0.25">
      <c r="A72" s="185">
        <v>9257010</v>
      </c>
      <c r="B72" s="38" t="s">
        <v>67</v>
      </c>
      <c r="C72" s="781">
        <v>5</v>
      </c>
      <c r="D72" s="812">
        <f>VLOOKUP(A72,'2122 Band Moderations'!$B$5:$S$22,6,(FALSE))</f>
        <v>1.5873015873015872E-2</v>
      </c>
      <c r="E72" s="812">
        <f>VLOOKUP(A72,'2122 Band Moderations'!$B$5:$S$22,8,(FALSE))</f>
        <v>0.31746031746031744</v>
      </c>
      <c r="F72" s="812">
        <f>VLOOKUP(A72,'2122 Band Moderations'!$B$5:$S$22,10,(FALSE))</f>
        <v>9.5238095238095233E-2</v>
      </c>
      <c r="G72" s="812">
        <f>VLOOKUP(A72,'2122 Band Moderations'!$B$5:$S$22,12,(FALSE))</f>
        <v>0.17460317460317459</v>
      </c>
      <c r="H72" s="812">
        <f>VLOOKUP(A72,'2122 Band Moderations'!$B$5:$S$22,14,(FALSE))</f>
        <v>6.3492063492063489E-2</v>
      </c>
      <c r="I72" s="812">
        <f>VLOOKUP(A72,'2122 Band Moderations'!$B$5:$S$22,16,(FALSE))</f>
        <v>0.19047619047619047</v>
      </c>
      <c r="J72" s="812">
        <f>VLOOKUP(A72,'2122 Band Moderations'!$B$5:$S$22,18,(FALSE))</f>
        <v>0.14285714285714285</v>
      </c>
      <c r="K72" s="1012">
        <v>10</v>
      </c>
      <c r="L72" s="813">
        <f>((((K72*D72)*$G$92)+((K72*E72)*$G$94)+((K72*F72)*$G$96)+((K72*G72)*$G$98)+((K72*H72)*$G$100)+((K72*I72)*$G$102)+((K72*J72)*$G$104)))*(8/12)</f>
        <v>1353.2383157040504</v>
      </c>
      <c r="M72" s="813">
        <f t="shared" ref="M72:M89" si="12">((F72*K72)*$G$106)*(8/12)</f>
        <v>0</v>
      </c>
      <c r="N72" s="813">
        <f>SUM(L72:M72)</f>
        <v>1353.2383157040504</v>
      </c>
      <c r="O72" s="128"/>
      <c r="P72" s="128"/>
      <c r="Q72" s="80"/>
      <c r="R72" s="42">
        <f t="shared" ref="R72:R89" si="13">(J72*K72*$G$104)*8/12</f>
        <v>346.13122030807494</v>
      </c>
      <c r="S72" s="168"/>
      <c r="T72" s="348"/>
      <c r="V72" s="626" t="s">
        <v>402</v>
      </c>
      <c r="W72" s="625" t="s">
        <v>594</v>
      </c>
    </row>
    <row r="73" spans="1:23" s="34" customFormat="1" x14ac:dyDescent="0.25">
      <c r="A73" s="185">
        <v>9257005</v>
      </c>
      <c r="B73" s="38" t="s">
        <v>68</v>
      </c>
      <c r="C73" s="781">
        <v>4</v>
      </c>
      <c r="D73" s="812">
        <f>VLOOKUP(A73,'2122 Band Moderations'!$B$5:$S$22,6,(FALSE))</f>
        <v>0.05</v>
      </c>
      <c r="E73" s="812">
        <f>VLOOKUP(A73,'2122 Band Moderations'!$B$5:$S$22,8,(FALSE))</f>
        <v>0.4</v>
      </c>
      <c r="F73" s="812">
        <f>VLOOKUP(A73,'2122 Band Moderations'!$B$5:$S$22,10,(FALSE))</f>
        <v>6.25E-2</v>
      </c>
      <c r="G73" s="812">
        <f>VLOOKUP(A73,'2122 Band Moderations'!$B$5:$S$22,12,(FALSE))</f>
        <v>0.15</v>
      </c>
      <c r="H73" s="812">
        <f>VLOOKUP(A73,'2122 Band Moderations'!$B$5:$S$22,14,(FALSE))</f>
        <v>0.125</v>
      </c>
      <c r="I73" s="812">
        <f>VLOOKUP(A73,'2122 Band Moderations'!$B$5:$S$22,16,(FALSE))</f>
        <v>0.15</v>
      </c>
      <c r="J73" s="812">
        <f>VLOOKUP(A73,'2122 Band Moderations'!$B$5:$S$22,18,(FALSE))</f>
        <v>6.25E-2</v>
      </c>
      <c r="K73" s="1012">
        <v>28</v>
      </c>
      <c r="L73" s="813">
        <f t="shared" ref="L73:L89" si="14">((((K73*D73)*$G$92)+((K73*E73)*$G$94)+((K73*F73)*$G$96)+((K73*G73)*$G$98)+((K73*H73)*$G$100)+((K73*I73)*$G$102)+((K73*J73)*$G$104)))*(8/12)</f>
        <v>3265.264264588689</v>
      </c>
      <c r="M73" s="813">
        <f t="shared" si="12"/>
        <v>0</v>
      </c>
      <c r="N73" s="813">
        <f>SUM(L73:M73)</f>
        <v>3265.264264588689</v>
      </c>
      <c r="O73" s="128"/>
      <c r="P73" s="128"/>
      <c r="Q73" s="80"/>
      <c r="R73" s="42">
        <f t="shared" si="13"/>
        <v>424.0107448773918</v>
      </c>
      <c r="S73" s="168"/>
      <c r="T73" s="348"/>
    </row>
    <row r="74" spans="1:23" s="34" customFormat="1" x14ac:dyDescent="0.25">
      <c r="A74" s="185">
        <v>9257025</v>
      </c>
      <c r="B74" s="38" t="s">
        <v>69</v>
      </c>
      <c r="C74" s="781">
        <v>4</v>
      </c>
      <c r="D74" s="812">
        <f>VLOOKUP(A74,'2122 Band Moderations'!$B$5:$S$22,6,(FALSE))</f>
        <v>0.15584415584415584</v>
      </c>
      <c r="E74" s="812">
        <f>VLOOKUP(A74,'2122 Band Moderations'!$B$5:$S$22,8,(FALSE))</f>
        <v>0.40259740259740262</v>
      </c>
      <c r="F74" s="812">
        <f>VLOOKUP(A74,'2122 Band Moderations'!$B$5:$S$22,10,(FALSE))</f>
        <v>3.896103896103896E-2</v>
      </c>
      <c r="G74" s="812">
        <f>VLOOKUP(A74,'2122 Band Moderations'!$B$5:$S$22,12,(FALSE))</f>
        <v>0.15584415584415584</v>
      </c>
      <c r="H74" s="812">
        <f>VLOOKUP(A74,'2122 Band Moderations'!$B$5:$S$22,14,(FALSE))</f>
        <v>5.1948051948051951E-2</v>
      </c>
      <c r="I74" s="812">
        <f>VLOOKUP(A74,'2122 Band Moderations'!$B$5:$S$22,16,(FALSE))</f>
        <v>0.14285714285714285</v>
      </c>
      <c r="J74" s="812">
        <f>VLOOKUP(A74,'2122 Band Moderations'!$B$5:$S$22,18,(FALSE))</f>
        <v>5.1948051948051951E-2</v>
      </c>
      <c r="K74" s="1012">
        <v>24</v>
      </c>
      <c r="L74" s="813">
        <f t="shared" si="14"/>
        <v>2449.2478793404489</v>
      </c>
      <c r="M74" s="813">
        <f t="shared" si="12"/>
        <v>0</v>
      </c>
      <c r="N74" s="813">
        <f t="shared" ref="N74:N89" si="15">SUM(L74:M74)</f>
        <v>2449.2478793404489</v>
      </c>
      <c r="O74" s="128"/>
      <c r="P74" s="128"/>
      <c r="Q74" s="80"/>
      <c r="R74" s="42">
        <f t="shared" si="13"/>
        <v>302.07815590522904</v>
      </c>
      <c r="S74" s="168"/>
      <c r="T74" s="348"/>
    </row>
    <row r="75" spans="1:23" s="34" customFormat="1" x14ac:dyDescent="0.25">
      <c r="A75" s="185">
        <v>9257011</v>
      </c>
      <c r="B75" s="38" t="s">
        <v>70</v>
      </c>
      <c r="C75" s="781" t="s">
        <v>1009</v>
      </c>
      <c r="D75" s="812">
        <f>VLOOKUP(A75,'2122 Band Moderations'!$B$5:$S$22,6,(FALSE))</f>
        <v>5.6603773584905662E-2</v>
      </c>
      <c r="E75" s="812">
        <f>VLOOKUP(A75,'2122 Band Moderations'!$B$5:$S$22,8,(FALSE))</f>
        <v>0.35849056603773582</v>
      </c>
      <c r="F75" s="812">
        <f>VLOOKUP(A75,'2122 Band Moderations'!$B$5:$S$22,10,(FALSE))</f>
        <v>1.8867924528301886E-2</v>
      </c>
      <c r="G75" s="812">
        <f>VLOOKUP(A75,'2122 Band Moderations'!$B$5:$S$22,12,(FALSE))</f>
        <v>0.16981132075471697</v>
      </c>
      <c r="H75" s="812">
        <f>VLOOKUP(A75,'2122 Band Moderations'!$B$5:$S$22,14,(FALSE))</f>
        <v>0.13207547169811321</v>
      </c>
      <c r="I75" s="812">
        <f>VLOOKUP(A75,'2122 Band Moderations'!$B$5:$S$22,16,(FALSE))</f>
        <v>0.15094339622641509</v>
      </c>
      <c r="J75" s="812">
        <f>VLOOKUP(A75,'2122 Band Moderations'!$B$5:$S$22,18,(FALSE))</f>
        <v>0.11320754716981132</v>
      </c>
      <c r="K75" s="1012">
        <v>8</v>
      </c>
      <c r="L75" s="813">
        <f t="shared" si="14"/>
        <v>1007.5737106354838</v>
      </c>
      <c r="M75" s="813">
        <f t="shared" si="12"/>
        <v>0</v>
      </c>
      <c r="N75" s="813">
        <f t="shared" si="15"/>
        <v>1007.5737106354838</v>
      </c>
      <c r="O75" s="128"/>
      <c r="P75" s="128"/>
      <c r="Q75" s="80"/>
      <c r="R75" s="42">
        <f t="shared" si="13"/>
        <v>219.43413211983622</v>
      </c>
      <c r="S75" s="168"/>
      <c r="T75" s="348"/>
    </row>
    <row r="76" spans="1:23" s="34" customFormat="1" x14ac:dyDescent="0.25">
      <c r="A76" s="185">
        <v>9257024</v>
      </c>
      <c r="B76" s="38" t="s">
        <v>71</v>
      </c>
      <c r="C76" s="781">
        <v>4</v>
      </c>
      <c r="D76" s="812">
        <f>VLOOKUP(A76,'2122 Band Moderations'!$B$5:$S$22,6,(FALSE))</f>
        <v>8.4337349397590355E-2</v>
      </c>
      <c r="E76" s="812">
        <f>VLOOKUP(A76,'2122 Band Moderations'!$B$5:$S$22,8,(FALSE))</f>
        <v>0.45783132530120479</v>
      </c>
      <c r="F76" s="812">
        <f>VLOOKUP(A76,'2122 Band Moderations'!$B$5:$S$22,10,(FALSE))</f>
        <v>1.2048192771084338E-2</v>
      </c>
      <c r="G76" s="812">
        <f>VLOOKUP(A76,'2122 Band Moderations'!$B$5:$S$22,12,(FALSE))</f>
        <v>0.18072289156626506</v>
      </c>
      <c r="H76" s="812">
        <f>VLOOKUP(A76,'2122 Band Moderations'!$B$5:$S$22,14,(FALSE))</f>
        <v>8.4337349397590355E-2</v>
      </c>
      <c r="I76" s="812">
        <f>VLOOKUP(A76,'2122 Band Moderations'!$B$5:$S$22,16,(FALSE))</f>
        <v>7.2289156626506021E-2</v>
      </c>
      <c r="J76" s="812">
        <f>VLOOKUP(A76,'2122 Band Moderations'!$B$5:$S$22,18,(FALSE))</f>
        <v>0.10843373493975904</v>
      </c>
      <c r="K76" s="1012">
        <v>13</v>
      </c>
      <c r="L76" s="813">
        <f t="shared" si="14"/>
        <v>1440.135998374863</v>
      </c>
      <c r="M76" s="813">
        <f t="shared" si="12"/>
        <v>0</v>
      </c>
      <c r="N76" s="813">
        <f t="shared" si="15"/>
        <v>1440.135998374863</v>
      </c>
      <c r="O76" s="128"/>
      <c r="P76" s="128"/>
      <c r="Q76" s="80"/>
      <c r="R76" s="42">
        <f t="shared" si="13"/>
        <v>341.54393907507637</v>
      </c>
      <c r="S76" s="168"/>
      <c r="T76" s="348"/>
    </row>
    <row r="77" spans="1:23" s="34" customFormat="1" x14ac:dyDescent="0.25">
      <c r="A77" s="185">
        <v>9257031</v>
      </c>
      <c r="B77" s="38" t="s">
        <v>98</v>
      </c>
      <c r="C77" s="781">
        <v>5</v>
      </c>
      <c r="D77" s="812">
        <f>VLOOKUP(A77,'2122 Band Moderations'!$B$5:$S$22,6,(FALSE))</f>
        <v>0</v>
      </c>
      <c r="E77" s="812">
        <f>VLOOKUP(A77,'2122 Band Moderations'!$B$5:$S$22,8,(FALSE))</f>
        <v>0</v>
      </c>
      <c r="F77" s="812">
        <f>VLOOKUP(A77,'2122 Band Moderations'!$B$5:$S$22,10,(FALSE))</f>
        <v>1</v>
      </c>
      <c r="G77" s="812">
        <f>VLOOKUP(A77,'2122 Band Moderations'!$B$5:$S$22,12,(FALSE))</f>
        <v>0</v>
      </c>
      <c r="H77" s="812">
        <f>VLOOKUP(A77,'2122 Band Moderations'!$B$5:$S$22,14,(FALSE))</f>
        <v>0</v>
      </c>
      <c r="I77" s="812">
        <f>VLOOKUP(A77,'2122 Band Moderations'!$B$5:$S$22,16,(FALSE))</f>
        <v>0</v>
      </c>
      <c r="J77" s="812">
        <f>VLOOKUP(A77,'2122 Band Moderations'!$B$5:$S$22,18,(FALSE))</f>
        <v>0</v>
      </c>
      <c r="K77" s="1012">
        <v>0</v>
      </c>
      <c r="L77" s="813">
        <f t="shared" si="14"/>
        <v>0</v>
      </c>
      <c r="M77" s="813">
        <f t="shared" si="12"/>
        <v>0</v>
      </c>
      <c r="N77" s="813">
        <f t="shared" si="15"/>
        <v>0</v>
      </c>
      <c r="O77" s="128"/>
      <c r="P77" s="128"/>
      <c r="Q77" s="80"/>
      <c r="R77" s="42">
        <f t="shared" si="13"/>
        <v>0</v>
      </c>
      <c r="S77" s="168"/>
      <c r="T77" s="348"/>
    </row>
    <row r="78" spans="1:23" s="34" customFormat="1" x14ac:dyDescent="0.25">
      <c r="A78" s="185">
        <v>9257033</v>
      </c>
      <c r="B78" s="38" t="s">
        <v>72</v>
      </c>
      <c r="C78" s="781" t="s">
        <v>946</v>
      </c>
      <c r="D78" s="812">
        <f>VLOOKUP(A78,'2122 Band Moderations'!$B$5:$S$22,6,(FALSE))</f>
        <v>0.16842105263157894</v>
      </c>
      <c r="E78" s="812">
        <f>VLOOKUP(A78,'2122 Band Moderations'!$B$5:$S$22,8,(FALSE))</f>
        <v>0.5368421052631579</v>
      </c>
      <c r="F78" s="812">
        <f>VLOOKUP(A78,'2122 Band Moderations'!$B$5:$S$22,10,(FALSE))</f>
        <v>6.3157894736842107E-2</v>
      </c>
      <c r="G78" s="812">
        <f>VLOOKUP(A78,'2122 Band Moderations'!$B$5:$S$22,12,(FALSE))</f>
        <v>0.14736842105263157</v>
      </c>
      <c r="H78" s="812">
        <f>VLOOKUP(A78,'2122 Band Moderations'!$B$5:$S$22,14,(FALSE))</f>
        <v>4.2105263157894736E-2</v>
      </c>
      <c r="I78" s="812">
        <f>VLOOKUP(A78,'2122 Band Moderations'!$B$5:$S$22,16,(FALSE))</f>
        <v>4.2105263157894736E-2</v>
      </c>
      <c r="J78" s="812">
        <f>VLOOKUP(A78,'2122 Band Moderations'!$B$5:$S$22,18,(FALSE))</f>
        <v>0</v>
      </c>
      <c r="K78" s="1012">
        <v>0</v>
      </c>
      <c r="L78" s="813">
        <f t="shared" si="14"/>
        <v>0</v>
      </c>
      <c r="M78" s="813">
        <f t="shared" si="12"/>
        <v>0</v>
      </c>
      <c r="N78" s="813">
        <f t="shared" si="15"/>
        <v>0</v>
      </c>
      <c r="O78" s="128"/>
      <c r="P78" s="128"/>
      <c r="Q78" s="80"/>
      <c r="R78" s="42">
        <f t="shared" si="13"/>
        <v>0</v>
      </c>
      <c r="S78" s="168"/>
      <c r="T78" s="348"/>
    </row>
    <row r="79" spans="1:23" s="34" customFormat="1" x14ac:dyDescent="0.25">
      <c r="A79" s="185">
        <v>9257008</v>
      </c>
      <c r="B79" s="38" t="s">
        <v>73</v>
      </c>
      <c r="C79" s="781">
        <v>4</v>
      </c>
      <c r="D79" s="812">
        <f>VLOOKUP(A79,'2122 Band Moderations'!$B$5:$S$22,6,(FALSE))</f>
        <v>0.10101010101010101</v>
      </c>
      <c r="E79" s="812">
        <f>VLOOKUP(A79,'2122 Band Moderations'!$B$5:$S$22,8,(FALSE))</f>
        <v>0.58585858585858586</v>
      </c>
      <c r="F79" s="812">
        <f>VLOOKUP(A79,'2122 Band Moderations'!$B$5:$S$22,10,(FALSE))</f>
        <v>8.0808080808080815E-2</v>
      </c>
      <c r="G79" s="812">
        <f>VLOOKUP(A79,'2122 Band Moderations'!$B$5:$S$22,12,(FALSE))</f>
        <v>9.0909090909090912E-2</v>
      </c>
      <c r="H79" s="812">
        <f>VLOOKUP(A79,'2122 Band Moderations'!$B$5:$S$22,14,(FALSE))</f>
        <v>1.0101010101010102E-2</v>
      </c>
      <c r="I79" s="812">
        <f>VLOOKUP(A79,'2122 Band Moderations'!$B$5:$S$22,16,(FALSE))</f>
        <v>0.12121212121212122</v>
      </c>
      <c r="J79" s="812">
        <f>VLOOKUP(A79,'2122 Band Moderations'!$B$5:$S$22,18,(FALSE))</f>
        <v>1.0101010101010102E-2</v>
      </c>
      <c r="K79" s="1012">
        <v>0</v>
      </c>
      <c r="L79" s="813">
        <f t="shared" si="14"/>
        <v>0</v>
      </c>
      <c r="M79" s="813">
        <f t="shared" si="12"/>
        <v>0</v>
      </c>
      <c r="N79" s="813">
        <f t="shared" si="15"/>
        <v>0</v>
      </c>
      <c r="O79" s="128"/>
      <c r="P79" s="128"/>
      <c r="Q79" s="80"/>
      <c r="R79" s="42">
        <f t="shared" si="13"/>
        <v>0</v>
      </c>
      <c r="S79" s="168"/>
      <c r="T79" s="348"/>
    </row>
    <row r="80" spans="1:23" s="34" customFormat="1" x14ac:dyDescent="0.25">
      <c r="A80" s="185">
        <v>9257034</v>
      </c>
      <c r="B80" s="38" t="s">
        <v>74</v>
      </c>
      <c r="C80" s="781" t="s">
        <v>946</v>
      </c>
      <c r="D80" s="812">
        <f>VLOOKUP(A80,'2122 Band Moderations'!$B$5:$S$22,6,(FALSE))</f>
        <v>0.42424242424242425</v>
      </c>
      <c r="E80" s="812">
        <f>VLOOKUP(A80,'2122 Band Moderations'!$B$5:$S$22,8,(FALSE))</f>
        <v>0.29292929292929293</v>
      </c>
      <c r="F80" s="812">
        <f>VLOOKUP(A80,'2122 Band Moderations'!$B$5:$S$22,10,(FALSE))</f>
        <v>0.14141414141414141</v>
      </c>
      <c r="G80" s="812">
        <f>VLOOKUP(A80,'2122 Band Moderations'!$B$5:$S$22,12,(FALSE))</f>
        <v>3.0303030303030304E-2</v>
      </c>
      <c r="H80" s="812">
        <f>VLOOKUP(A80,'2122 Band Moderations'!$B$5:$S$22,14,(FALSE))</f>
        <v>4.0404040404040407E-2</v>
      </c>
      <c r="I80" s="812">
        <f>VLOOKUP(A80,'2122 Band Moderations'!$B$5:$S$22,16,(FALSE))</f>
        <v>6.0606060606060608E-2</v>
      </c>
      <c r="J80" s="812">
        <f>VLOOKUP(A80,'2122 Band Moderations'!$B$5:$S$22,18,(FALSE))</f>
        <v>1.0101010101010102E-2</v>
      </c>
      <c r="K80" s="1012">
        <v>32</v>
      </c>
      <c r="L80" s="813">
        <f t="shared" si="14"/>
        <v>2389.7772990910057</v>
      </c>
      <c r="M80" s="813">
        <f t="shared" si="12"/>
        <v>0</v>
      </c>
      <c r="N80" s="813">
        <f t="shared" si="15"/>
        <v>2389.7772990910057</v>
      </c>
      <c r="O80" s="128"/>
      <c r="P80" s="128"/>
      <c r="Q80" s="80"/>
      <c r="R80" s="42">
        <f t="shared" si="13"/>
        <v>78.316558938392731</v>
      </c>
      <c r="S80" s="168"/>
      <c r="T80" s="348"/>
    </row>
    <row r="81" spans="1:20" s="34" customFormat="1" x14ac:dyDescent="0.25">
      <c r="A81" s="185">
        <v>9257002</v>
      </c>
      <c r="B81" s="38" t="s">
        <v>75</v>
      </c>
      <c r="C81" s="781">
        <v>5</v>
      </c>
      <c r="D81" s="812">
        <f>VLOOKUP(A81,'2122 Band Moderations'!$B$5:$S$22,6,(FALSE))</f>
        <v>0.3546099290780142</v>
      </c>
      <c r="E81" s="812">
        <f>VLOOKUP(A81,'2122 Band Moderations'!$B$5:$S$22,8,(FALSE))</f>
        <v>0.38297872340425532</v>
      </c>
      <c r="F81" s="812">
        <f>VLOOKUP(A81,'2122 Band Moderations'!$B$5:$S$22,10,(FALSE))</f>
        <v>0.1276595744680851</v>
      </c>
      <c r="G81" s="812">
        <f>VLOOKUP(A81,'2122 Band Moderations'!$B$5:$S$22,12,(FALSE))</f>
        <v>2.8368794326241134E-2</v>
      </c>
      <c r="H81" s="812">
        <f>VLOOKUP(A81,'2122 Band Moderations'!$B$5:$S$22,14,(FALSE))</f>
        <v>2.1276595744680851E-2</v>
      </c>
      <c r="I81" s="812">
        <f>VLOOKUP(A81,'2122 Band Moderations'!$B$5:$S$22,16,(FALSE))</f>
        <v>7.8014184397163122E-2</v>
      </c>
      <c r="J81" s="812">
        <f>VLOOKUP(A81,'2122 Band Moderations'!$B$5:$S$22,18,(FALSE))</f>
        <v>7.0921985815602835E-3</v>
      </c>
      <c r="K81" s="1012">
        <v>0</v>
      </c>
      <c r="L81" s="813">
        <f t="shared" si="14"/>
        <v>0</v>
      </c>
      <c r="M81" s="813">
        <f t="shared" si="12"/>
        <v>0</v>
      </c>
      <c r="N81" s="813">
        <f t="shared" si="15"/>
        <v>0</v>
      </c>
      <c r="O81" s="128"/>
      <c r="P81" s="128"/>
      <c r="Q81" s="80"/>
      <c r="R81" s="42">
        <f t="shared" si="13"/>
        <v>0</v>
      </c>
      <c r="S81" s="168"/>
      <c r="T81" s="348"/>
    </row>
    <row r="82" spans="1:20" s="34" customFormat="1" x14ac:dyDescent="0.25">
      <c r="A82" s="185">
        <v>9257009</v>
      </c>
      <c r="B82" s="38" t="s">
        <v>76</v>
      </c>
      <c r="C82" s="781" t="s">
        <v>946</v>
      </c>
      <c r="D82" s="812">
        <f>VLOOKUP(A82,'2122 Band Moderations'!$B$5:$S$22,6,(FALSE))</f>
        <v>0.24</v>
      </c>
      <c r="E82" s="812">
        <f>VLOOKUP(A82,'2122 Band Moderations'!$B$5:$S$22,8,(FALSE))</f>
        <v>0.58399999999999996</v>
      </c>
      <c r="F82" s="812">
        <f>VLOOKUP(A82,'2122 Band Moderations'!$B$5:$S$22,10,(FALSE))</f>
        <v>7.1999999999999995E-2</v>
      </c>
      <c r="G82" s="812">
        <f>VLOOKUP(A82,'2122 Band Moderations'!$B$5:$S$22,12,(FALSE))</f>
        <v>1.6E-2</v>
      </c>
      <c r="H82" s="812">
        <f>VLOOKUP(A82,'2122 Band Moderations'!$B$5:$S$22,14,(FALSE))</f>
        <v>8.0000000000000002E-3</v>
      </c>
      <c r="I82" s="812">
        <f>VLOOKUP(A82,'2122 Band Moderations'!$B$5:$S$22,16,(FALSE))</f>
        <v>0.08</v>
      </c>
      <c r="J82" s="812">
        <f>VLOOKUP(A82,'2122 Band Moderations'!$B$5:$S$22,18,(FALSE))</f>
        <v>0</v>
      </c>
      <c r="K82" s="1012">
        <v>0</v>
      </c>
      <c r="L82" s="813">
        <f t="shared" si="14"/>
        <v>0</v>
      </c>
      <c r="M82" s="813">
        <f t="shared" si="12"/>
        <v>0</v>
      </c>
      <c r="N82" s="813">
        <f t="shared" si="15"/>
        <v>0</v>
      </c>
      <c r="O82" s="128"/>
      <c r="P82" s="128"/>
      <c r="Q82" s="80"/>
      <c r="R82" s="42">
        <f t="shared" si="13"/>
        <v>0</v>
      </c>
      <c r="S82" s="168"/>
      <c r="T82" s="348"/>
    </row>
    <row r="83" spans="1:20" s="34" customFormat="1" x14ac:dyDescent="0.25">
      <c r="A83" s="185">
        <v>9257029</v>
      </c>
      <c r="B83" s="915" t="s">
        <v>848</v>
      </c>
      <c r="C83" s="781" t="s">
        <v>949</v>
      </c>
      <c r="D83" s="812">
        <f>VLOOKUP(A83,'2122 Band Moderations'!$B$5:$S$22,6,(FALSE))</f>
        <v>0</v>
      </c>
      <c r="E83" s="812">
        <f>VLOOKUP(A83,'2122 Band Moderations'!$B$5:$S$22,8,(FALSE))</f>
        <v>0</v>
      </c>
      <c r="F83" s="812">
        <f>VLOOKUP(A83,'2122 Band Moderations'!$B$5:$S$22,10,(FALSE))</f>
        <v>1</v>
      </c>
      <c r="G83" s="812">
        <f>VLOOKUP(A83,'2122 Band Moderations'!$B$5:$S$22,12,(FALSE))</f>
        <v>0</v>
      </c>
      <c r="H83" s="812">
        <f>VLOOKUP(A83,'2122 Band Moderations'!$B$5:$S$22,14,(FALSE))</f>
        <v>0</v>
      </c>
      <c r="I83" s="812">
        <f>VLOOKUP(A83,'2122 Band Moderations'!$B$5:$S$22,16,(FALSE))</f>
        <v>0</v>
      </c>
      <c r="J83" s="812">
        <f>VLOOKUP(A83,'2122 Band Moderations'!$B$5:$S$22,18,(FALSE))</f>
        <v>0</v>
      </c>
      <c r="K83" s="1012">
        <v>0</v>
      </c>
      <c r="L83" s="813">
        <f t="shared" si="14"/>
        <v>0</v>
      </c>
      <c r="M83" s="813">
        <f t="shared" si="12"/>
        <v>0</v>
      </c>
      <c r="N83" s="813">
        <f t="shared" si="15"/>
        <v>0</v>
      </c>
      <c r="O83" s="128"/>
      <c r="P83" s="128"/>
      <c r="Q83" s="80"/>
      <c r="R83" s="42">
        <f t="shared" si="13"/>
        <v>0</v>
      </c>
      <c r="S83" s="168"/>
      <c r="T83" s="348"/>
    </row>
    <row r="84" spans="1:20" s="34" customFormat="1" x14ac:dyDescent="0.25">
      <c r="A84" s="185">
        <v>9257032</v>
      </c>
      <c r="B84" s="915" t="s">
        <v>934</v>
      </c>
      <c r="C84" s="781" t="s">
        <v>949</v>
      </c>
      <c r="D84" s="812">
        <f>VLOOKUP(A84,'2122 Band Moderations'!$B$5:$S$22,6,(FALSE))</f>
        <v>0</v>
      </c>
      <c r="E84" s="812">
        <f>VLOOKUP(A84,'2122 Band Moderations'!$B$5:$S$22,8,(FALSE))</f>
        <v>0</v>
      </c>
      <c r="F84" s="812">
        <f>VLOOKUP(A84,'2122 Band Moderations'!$B$5:$S$22,10,(FALSE))</f>
        <v>1</v>
      </c>
      <c r="G84" s="812">
        <f>VLOOKUP(A84,'2122 Band Moderations'!$B$5:$S$22,12,(FALSE))</f>
        <v>0</v>
      </c>
      <c r="H84" s="812">
        <f>VLOOKUP(A84,'2122 Band Moderations'!$B$5:$S$22,14,(FALSE))</f>
        <v>0</v>
      </c>
      <c r="I84" s="812">
        <f>VLOOKUP(A84,'2122 Band Moderations'!$B$5:$S$22,16,(FALSE))</f>
        <v>0</v>
      </c>
      <c r="J84" s="812">
        <f>VLOOKUP(A84,'2122 Band Moderations'!$B$5:$S$22,18,(FALSE))</f>
        <v>0</v>
      </c>
      <c r="K84" s="1012">
        <v>0</v>
      </c>
      <c r="L84" s="813">
        <f t="shared" si="14"/>
        <v>0</v>
      </c>
      <c r="M84" s="813">
        <f t="shared" si="12"/>
        <v>0</v>
      </c>
      <c r="N84" s="813">
        <f t="shared" si="15"/>
        <v>0</v>
      </c>
      <c r="O84" s="128"/>
      <c r="P84" s="128"/>
      <c r="Q84" s="80"/>
      <c r="R84" s="42">
        <f t="shared" si="13"/>
        <v>0</v>
      </c>
      <c r="S84" s="168"/>
      <c r="T84" s="348"/>
    </row>
    <row r="85" spans="1:20" s="34" customFormat="1" x14ac:dyDescent="0.25">
      <c r="A85" s="185">
        <v>9257030</v>
      </c>
      <c r="B85" s="915" t="s">
        <v>933</v>
      </c>
      <c r="C85" s="781" t="s">
        <v>949</v>
      </c>
      <c r="D85" s="812">
        <f>VLOOKUP(A85,'2122 Band Moderations'!$B$5:$S$22,6,(FALSE))</f>
        <v>0</v>
      </c>
      <c r="E85" s="812">
        <f>VLOOKUP(A85,'2122 Band Moderations'!$B$5:$S$22,8,(FALSE))</f>
        <v>0</v>
      </c>
      <c r="F85" s="812">
        <f>VLOOKUP(A85,'2122 Band Moderations'!$B$5:$S$22,10,(FALSE))</f>
        <v>1</v>
      </c>
      <c r="G85" s="812">
        <f>VLOOKUP(A85,'2122 Band Moderations'!$B$5:$S$22,12,(FALSE))</f>
        <v>0</v>
      </c>
      <c r="H85" s="812">
        <f>VLOOKUP(A85,'2122 Band Moderations'!$B$5:$S$22,14,(FALSE))</f>
        <v>0</v>
      </c>
      <c r="I85" s="812">
        <f>VLOOKUP(A85,'2122 Band Moderations'!$B$5:$S$22,16,(FALSE))</f>
        <v>0</v>
      </c>
      <c r="J85" s="812">
        <f>VLOOKUP(A85,'2122 Band Moderations'!$B$5:$S$22,18,(FALSE))</f>
        <v>0</v>
      </c>
      <c r="K85" s="1012">
        <v>0</v>
      </c>
      <c r="L85" s="813">
        <f t="shared" si="14"/>
        <v>0</v>
      </c>
      <c r="M85" s="813">
        <f t="shared" si="12"/>
        <v>0</v>
      </c>
      <c r="N85" s="813">
        <f t="shared" si="15"/>
        <v>0</v>
      </c>
      <c r="O85" s="128"/>
      <c r="P85" s="128"/>
      <c r="Q85" s="80"/>
      <c r="R85" s="42">
        <f t="shared" si="13"/>
        <v>0</v>
      </c>
      <c r="S85" s="168"/>
      <c r="T85" s="348"/>
    </row>
    <row r="86" spans="1:20" s="34" customFormat="1" x14ac:dyDescent="0.25">
      <c r="A86" s="185">
        <v>9257028</v>
      </c>
      <c r="B86" s="38" t="s">
        <v>77</v>
      </c>
      <c r="C86" s="781">
        <v>5</v>
      </c>
      <c r="D86" s="812">
        <f>VLOOKUP(A86,'2122 Band Moderations'!$B$5:$S$22,6,(FALSE))</f>
        <v>8.9108910891089105E-2</v>
      </c>
      <c r="E86" s="812">
        <f>VLOOKUP(A86,'2122 Band Moderations'!$B$5:$S$22,8,(FALSE))</f>
        <v>0.40594059405940597</v>
      </c>
      <c r="F86" s="812">
        <f>VLOOKUP(A86,'2122 Band Moderations'!$B$5:$S$22,10,(FALSE))</f>
        <v>7.9207920792079209E-2</v>
      </c>
      <c r="G86" s="812">
        <f>VLOOKUP(A86,'2122 Band Moderations'!$B$5:$S$22,12,(FALSE))</f>
        <v>8.9108910891089105E-2</v>
      </c>
      <c r="H86" s="812">
        <f>VLOOKUP(A86,'2122 Band Moderations'!$B$5:$S$22,14,(FALSE))</f>
        <v>0.12871287128712872</v>
      </c>
      <c r="I86" s="812">
        <f>VLOOKUP(A86,'2122 Band Moderations'!$B$5:$S$22,16,(FALSE))</f>
        <v>9.9009900990099015E-2</v>
      </c>
      <c r="J86" s="812">
        <f>VLOOKUP(A86,'2122 Band Moderations'!$B$5:$S$22,18,(FALSE))</f>
        <v>0.10891089108910891</v>
      </c>
      <c r="K86" s="1012">
        <v>5</v>
      </c>
      <c r="L86" s="813">
        <f t="shared" si="14"/>
        <v>569.856550985127</v>
      </c>
      <c r="M86" s="813">
        <f t="shared" si="12"/>
        <v>0</v>
      </c>
      <c r="N86" s="813">
        <f t="shared" si="15"/>
        <v>569.856550985127</v>
      </c>
      <c r="O86" s="128"/>
      <c r="P86" s="128"/>
      <c r="Q86" s="80"/>
      <c r="R86" s="42">
        <f t="shared" si="13"/>
        <v>131.94110873129591</v>
      </c>
      <c r="S86" s="168"/>
      <c r="T86" s="348"/>
    </row>
    <row r="87" spans="1:20" s="34" customFormat="1" x14ac:dyDescent="0.25">
      <c r="A87" s="185">
        <v>9257021</v>
      </c>
      <c r="B87" s="38" t="s">
        <v>78</v>
      </c>
      <c r="C87" s="781" t="s">
        <v>947</v>
      </c>
      <c r="D87" s="812">
        <f>VLOOKUP(A87,'2122 Band Moderations'!$B$5:$S$22,6,(FALSE))</f>
        <v>0.26829268292682928</v>
      </c>
      <c r="E87" s="812">
        <f>VLOOKUP(A87,'2122 Band Moderations'!$B$5:$S$22,8,(FALSE))</f>
        <v>0.42682926829268292</v>
      </c>
      <c r="F87" s="812">
        <f>VLOOKUP(A87,'2122 Band Moderations'!$B$5:$S$22,10,(FALSE))</f>
        <v>7.926829268292683E-2</v>
      </c>
      <c r="G87" s="812">
        <f>VLOOKUP(A87,'2122 Band Moderations'!$B$5:$S$22,12,(FALSE))</f>
        <v>6.7073170731707321E-2</v>
      </c>
      <c r="H87" s="812">
        <f>VLOOKUP(A87,'2122 Band Moderations'!$B$5:$S$22,14,(FALSE))</f>
        <v>5.4878048780487805E-2</v>
      </c>
      <c r="I87" s="812">
        <f>VLOOKUP(A87,'2122 Band Moderations'!$B$5:$S$22,16,(FALSE))</f>
        <v>9.1463414634146339E-2</v>
      </c>
      <c r="J87" s="812">
        <f>VLOOKUP(A87,'2122 Band Moderations'!$B$5:$S$22,18,(FALSE))</f>
        <v>1.2195121951219513E-2</v>
      </c>
      <c r="K87" s="1012">
        <v>0</v>
      </c>
      <c r="L87" s="813">
        <f t="shared" si="14"/>
        <v>0</v>
      </c>
      <c r="M87" s="813">
        <f t="shared" si="12"/>
        <v>0</v>
      </c>
      <c r="N87" s="813">
        <f t="shared" si="15"/>
        <v>0</v>
      </c>
      <c r="O87" s="128"/>
      <c r="P87" s="128"/>
      <c r="Q87" s="80"/>
      <c r="R87" s="42">
        <f t="shared" si="13"/>
        <v>0</v>
      </c>
      <c r="S87" s="168"/>
      <c r="T87" s="348"/>
    </row>
    <row r="88" spans="1:20" s="34" customFormat="1" x14ac:dyDescent="0.25">
      <c r="A88" s="185">
        <v>9257015</v>
      </c>
      <c r="B88" s="38" t="s">
        <v>55</v>
      </c>
      <c r="C88" s="781" t="s">
        <v>948</v>
      </c>
      <c r="D88" s="812">
        <f>VLOOKUP(A88,'2122 Band Moderations'!$B$5:$S$22,6,(FALSE))</f>
        <v>0.33185840707964603</v>
      </c>
      <c r="E88" s="812">
        <f>VLOOKUP(A88,'2122 Band Moderations'!$B$5:$S$22,8,(FALSE))</f>
        <v>0.38495575221238937</v>
      </c>
      <c r="F88" s="812">
        <f>VLOOKUP(A88,'2122 Band Moderations'!$B$5:$S$22,10,(FALSE))</f>
        <v>1.7699115044247787E-2</v>
      </c>
      <c r="G88" s="812">
        <f>VLOOKUP(A88,'2122 Band Moderations'!$B$5:$S$22,12,(FALSE))</f>
        <v>8.8495575221238937E-2</v>
      </c>
      <c r="H88" s="812">
        <f>VLOOKUP(A88,'2122 Band Moderations'!$B$5:$S$22,14,(FALSE))</f>
        <v>2.2123893805309734E-2</v>
      </c>
      <c r="I88" s="812">
        <f>VLOOKUP(A88,'2122 Band Moderations'!$B$5:$S$22,16,(FALSE))</f>
        <v>0.1415929203539823</v>
      </c>
      <c r="J88" s="812">
        <f>VLOOKUP(A88,'2122 Band Moderations'!$B$5:$S$22,18,(FALSE))</f>
        <v>1.3274336283185841E-2</v>
      </c>
      <c r="K88" s="1012">
        <v>3</v>
      </c>
      <c r="L88" s="813">
        <f t="shared" si="14"/>
        <v>235.29904909678672</v>
      </c>
      <c r="M88" s="813">
        <f t="shared" si="12"/>
        <v>0</v>
      </c>
      <c r="N88" s="813">
        <f t="shared" si="15"/>
        <v>235.29904909678672</v>
      </c>
      <c r="O88" s="128"/>
      <c r="P88" s="128"/>
      <c r="Q88" s="80"/>
      <c r="R88" s="42">
        <f t="shared" si="13"/>
        <v>9.6487906546056283</v>
      </c>
      <c r="S88" s="168"/>
      <c r="T88" s="348"/>
    </row>
    <row r="89" spans="1:20" s="34" customFormat="1" x14ac:dyDescent="0.25">
      <c r="A89" s="185">
        <v>9257016</v>
      </c>
      <c r="B89" s="38" t="s">
        <v>80</v>
      </c>
      <c r="C89" s="781" t="s">
        <v>948</v>
      </c>
      <c r="D89" s="812">
        <f>VLOOKUP(A89,'2122 Band Moderations'!$B$5:$S$22,6,(FALSE))</f>
        <v>0.18012422360248448</v>
      </c>
      <c r="E89" s="812">
        <f>VLOOKUP(A89,'2122 Band Moderations'!$B$5:$S$22,8,(FALSE))</f>
        <v>0.15527950310559005</v>
      </c>
      <c r="F89" s="812">
        <f>VLOOKUP(A89,'2122 Band Moderations'!$B$5:$S$22,10,(FALSE))</f>
        <v>6.2111801242236021E-3</v>
      </c>
      <c r="G89" s="812">
        <f>VLOOKUP(A89,'2122 Band Moderations'!$B$5:$S$22,12,(FALSE))</f>
        <v>0.2236024844720497</v>
      </c>
      <c r="H89" s="812">
        <f>VLOOKUP(A89,'2122 Band Moderations'!$B$5:$S$22,14,(FALSE))</f>
        <v>0.21118012422360249</v>
      </c>
      <c r="I89" s="812">
        <f>VLOOKUP(A89,'2122 Band Moderations'!$B$5:$S$22,16,(FALSE))</f>
        <v>1.2422360248447204E-2</v>
      </c>
      <c r="J89" s="812">
        <f>VLOOKUP(A89,'2122 Band Moderations'!$B$5:$S$22,18,(FALSE))</f>
        <v>0.21118012422360249</v>
      </c>
      <c r="K89" s="1012">
        <v>59</v>
      </c>
      <c r="L89" s="813">
        <f t="shared" si="14"/>
        <v>8549.7731463835717</v>
      </c>
      <c r="M89" s="813">
        <f t="shared" si="12"/>
        <v>0</v>
      </c>
      <c r="N89" s="813">
        <f t="shared" si="15"/>
        <v>8549.7731463835717</v>
      </c>
      <c r="O89" s="128"/>
      <c r="P89" s="128"/>
      <c r="Q89" s="628" t="s">
        <v>402</v>
      </c>
      <c r="R89" s="42">
        <f t="shared" si="13"/>
        <v>3018.8662084260795</v>
      </c>
      <c r="S89" s="168"/>
      <c r="T89" s="348"/>
    </row>
    <row r="90" spans="1:20" s="34" customFormat="1" x14ac:dyDescent="0.25">
      <c r="B90" s="50"/>
      <c r="C90" s="50"/>
      <c r="F90" s="628" t="s">
        <v>402</v>
      </c>
      <c r="H90" s="1478"/>
      <c r="I90" s="628" t="s">
        <v>402</v>
      </c>
      <c r="O90" s="50"/>
      <c r="P90" s="50"/>
      <c r="S90" s="347"/>
    </row>
    <row r="91" spans="1:20" s="34" customFormat="1" x14ac:dyDescent="0.25">
      <c r="C91" s="40"/>
      <c r="I91" s="1496" t="s">
        <v>1221</v>
      </c>
      <c r="J91" s="1496" t="s">
        <v>1270</v>
      </c>
      <c r="K91" s="1496" t="s">
        <v>1324</v>
      </c>
      <c r="O91" s="50"/>
      <c r="P91" s="50"/>
      <c r="S91" s="347"/>
    </row>
    <row r="92" spans="1:20" s="34" customFormat="1" ht="13" x14ac:dyDescent="0.3">
      <c r="B92" s="1457"/>
      <c r="C92" s="921"/>
      <c r="D92" s="52"/>
      <c r="E92" s="526" t="s">
        <v>839</v>
      </c>
      <c r="G92" s="917">
        <f>J92</f>
        <v>58.711672125181849</v>
      </c>
      <c r="H92" s="53"/>
      <c r="I92" s="917">
        <v>154.38271532535475</v>
      </c>
      <c r="J92" s="53">
        <f>'2122 Band Values'!AO11-'2122 Band Values'!J11</f>
        <v>58.711672125181849</v>
      </c>
      <c r="K92" s="53">
        <f>'2122 Band Values'!AY11-'2122 Band Values'!J11</f>
        <v>69.284111171761197</v>
      </c>
      <c r="L92" s="53"/>
      <c r="M92" s="53"/>
      <c r="N92" s="53"/>
      <c r="O92" s="53"/>
      <c r="P92" s="53"/>
      <c r="Q92" s="53"/>
      <c r="S92" s="347"/>
    </row>
    <row r="93" spans="1:20" s="34" customFormat="1" x14ac:dyDescent="0.25">
      <c r="C93" s="921"/>
      <c r="D93" s="52"/>
      <c r="G93" s="917"/>
      <c r="H93" s="53"/>
      <c r="I93" s="42"/>
      <c r="J93" s="53"/>
      <c r="K93" s="53"/>
      <c r="L93" s="53"/>
      <c r="M93" s="53"/>
      <c r="N93" s="53"/>
      <c r="O93" s="53"/>
      <c r="P93" s="53"/>
      <c r="Q93" s="53"/>
      <c r="S93" s="347"/>
    </row>
    <row r="94" spans="1:20" s="34" customFormat="1" x14ac:dyDescent="0.25">
      <c r="C94" s="921"/>
      <c r="D94" s="52"/>
      <c r="E94" s="526" t="s">
        <v>840</v>
      </c>
      <c r="G94" s="917">
        <f t="shared" ref="G94:G104" si="16">J94</f>
        <v>70.45400655021831</v>
      </c>
      <c r="H94" s="53"/>
      <c r="I94" s="917">
        <v>174.61633432098813</v>
      </c>
      <c r="J94" s="53">
        <f>'2122 Band Values'!AO8-'2122 Band Values'!J8</f>
        <v>70.45400655021831</v>
      </c>
      <c r="K94" s="53">
        <f>'2122 Band Values'!AY8-'2122 Band Values'!J8</f>
        <v>83.140933406113618</v>
      </c>
      <c r="L94" s="53"/>
      <c r="M94" s="53"/>
      <c r="N94" s="53"/>
      <c r="O94" s="53"/>
      <c r="P94" s="53"/>
      <c r="Q94" s="53"/>
      <c r="S94" s="347"/>
    </row>
    <row r="95" spans="1:20" s="34" customFormat="1" x14ac:dyDescent="0.25">
      <c r="C95" s="921"/>
      <c r="D95" s="52"/>
      <c r="G95" s="917"/>
      <c r="H95" s="53"/>
      <c r="I95" s="42"/>
      <c r="J95" s="53"/>
      <c r="K95" s="53"/>
      <c r="L95" s="53"/>
      <c r="M95" s="53"/>
      <c r="N95" s="53"/>
      <c r="O95" s="53"/>
      <c r="P95" s="53"/>
      <c r="Q95" s="53"/>
      <c r="S95" s="347"/>
    </row>
    <row r="96" spans="1:20" s="34" customFormat="1" x14ac:dyDescent="0.25">
      <c r="C96" s="921"/>
      <c r="D96" s="52"/>
      <c r="E96" s="526" t="s">
        <v>841</v>
      </c>
      <c r="G96" s="917">
        <f t="shared" si="16"/>
        <v>211.36201965065447</v>
      </c>
      <c r="H96" s="53"/>
      <c r="I96" s="917">
        <v>417.4197622685864</v>
      </c>
      <c r="J96" s="53">
        <f>'2122 Band Values'!AO17-'2122 Band Values'!J17</f>
        <v>211.36201965065447</v>
      </c>
      <c r="K96" s="53">
        <f>'2122 Band Values'!AY17-'2122 Band Values'!J17</f>
        <v>249.42280021834085</v>
      </c>
      <c r="L96" s="53"/>
      <c r="M96" s="53"/>
      <c r="N96" s="53"/>
      <c r="O96" s="53"/>
      <c r="P96" s="53"/>
      <c r="Q96" s="53"/>
      <c r="S96" s="347"/>
    </row>
    <row r="97" spans="1:54" x14ac:dyDescent="0.25">
      <c r="C97" s="921"/>
      <c r="D97" s="52"/>
      <c r="G97" s="917"/>
      <c r="H97" s="53"/>
      <c r="I97" s="42"/>
      <c r="J97" s="53"/>
      <c r="K97" s="53"/>
      <c r="L97" s="53"/>
      <c r="M97" s="53"/>
      <c r="N97" s="53"/>
      <c r="O97" s="53"/>
      <c r="P97" s="53"/>
      <c r="Q97" s="53"/>
    </row>
    <row r="98" spans="1:54" x14ac:dyDescent="0.25">
      <c r="C98" s="921"/>
      <c r="D98" s="52"/>
      <c r="E98" s="526" t="s">
        <v>842</v>
      </c>
      <c r="G98" s="917">
        <f t="shared" si="16"/>
        <v>264.20252456331764</v>
      </c>
      <c r="H98" s="53"/>
      <c r="I98" s="917">
        <v>508.47104774893467</v>
      </c>
      <c r="J98" s="53">
        <f>'2122 Band Values'!AO5-'2122 Band Values'!J5</f>
        <v>264.20252456331764</v>
      </c>
      <c r="K98" s="53">
        <f>'2122 Band Values'!AY5-'2122 Band Values'!J5</f>
        <v>311.77850027292516</v>
      </c>
      <c r="L98" s="53"/>
      <c r="M98" s="53"/>
      <c r="N98" s="53"/>
      <c r="O98" s="53"/>
      <c r="P98" s="53"/>
      <c r="Q98" s="53"/>
    </row>
    <row r="99" spans="1:54" x14ac:dyDescent="0.25">
      <c r="C99" s="921"/>
      <c r="D99" s="52"/>
      <c r="G99" s="917"/>
      <c r="H99" s="53"/>
      <c r="I99" s="42"/>
      <c r="J99" s="53"/>
      <c r="K99" s="53"/>
      <c r="L99" s="53"/>
      <c r="M99" s="53"/>
      <c r="N99" s="53"/>
      <c r="O99" s="53"/>
      <c r="P99" s="53"/>
      <c r="Q99" s="53"/>
    </row>
    <row r="100" spans="1:54" x14ac:dyDescent="0.25">
      <c r="C100" s="921"/>
      <c r="D100" s="52"/>
      <c r="E100" s="526" t="s">
        <v>843</v>
      </c>
      <c r="G100" s="917">
        <f t="shared" si="16"/>
        <v>264.20252456331764</v>
      </c>
      <c r="H100" s="53"/>
      <c r="I100" s="917">
        <v>508.47104774893467</v>
      </c>
      <c r="J100" s="53">
        <f>'2122 Band Values'!AO14-'2122 Band Values'!J14</f>
        <v>264.20252456331764</v>
      </c>
      <c r="K100" s="53">
        <f>'2122 Band Values'!AY14-'2122 Band Values'!J14</f>
        <v>311.77850027292516</v>
      </c>
      <c r="L100" s="53"/>
      <c r="M100" s="53">
        <f>G100*80</f>
        <v>21136.201965065411</v>
      </c>
      <c r="N100" s="53"/>
      <c r="O100" s="53"/>
      <c r="P100" s="53"/>
      <c r="Q100" s="53"/>
    </row>
    <row r="101" spans="1:54" x14ac:dyDescent="0.25">
      <c r="C101" s="921"/>
      <c r="D101" s="52"/>
      <c r="G101" s="917"/>
      <c r="H101" s="53"/>
      <c r="I101" s="42"/>
      <c r="J101" s="53"/>
      <c r="K101" s="53"/>
      <c r="L101" s="53"/>
      <c r="M101" s="53"/>
      <c r="N101" s="53"/>
      <c r="O101" s="53"/>
      <c r="P101" s="53"/>
      <c r="Q101" s="53"/>
    </row>
    <row r="102" spans="1:54" x14ac:dyDescent="0.25">
      <c r="C102" s="921"/>
      <c r="D102" s="52"/>
      <c r="E102" s="526" t="s">
        <v>844</v>
      </c>
      <c r="G102" s="917">
        <f t="shared" si="16"/>
        <v>234.8466885007274</v>
      </c>
      <c r="H102" s="53"/>
      <c r="I102" s="530">
        <v>457.8870002598527</v>
      </c>
      <c r="J102" s="53">
        <f>'2122 Band Values'!AO22-'2122 Band Values'!J22</f>
        <v>234.8466885007274</v>
      </c>
      <c r="K102" s="53">
        <f>'2122 Band Values'!AY22-'2122 Band Values'!J22</f>
        <v>277.13644468704479</v>
      </c>
      <c r="L102" s="53"/>
      <c r="M102" s="53"/>
      <c r="N102" s="53"/>
      <c r="O102" s="53"/>
      <c r="P102" s="53"/>
      <c r="Q102" s="53"/>
    </row>
    <row r="103" spans="1:54" x14ac:dyDescent="0.25">
      <c r="C103" s="921"/>
      <c r="D103" s="52"/>
      <c r="G103" s="917"/>
      <c r="H103" s="53"/>
      <c r="I103" s="42"/>
      <c r="J103" s="53"/>
      <c r="K103" s="53"/>
      <c r="L103" s="53"/>
      <c r="M103" s="53"/>
      <c r="N103" s="53"/>
      <c r="O103" s="53"/>
      <c r="P103" s="53"/>
      <c r="Q103" s="53"/>
    </row>
    <row r="104" spans="1:54" x14ac:dyDescent="0.25">
      <c r="C104" s="921"/>
      <c r="D104" s="52"/>
      <c r="E104" s="526" t="s">
        <v>845</v>
      </c>
      <c r="G104" s="917">
        <f t="shared" si="16"/>
        <v>363.4377813234787</v>
      </c>
      <c r="H104" s="53"/>
      <c r="I104" s="917">
        <v>872.91485555928739</v>
      </c>
      <c r="J104" s="53">
        <f>'2122 Band Values'!AO24-'2122 Band Values'!J24</f>
        <v>363.4377813234787</v>
      </c>
      <c r="K104" s="598">
        <f>'2122 Band Values'!AY24-'2122 Band Values'!J24</f>
        <v>-22512.750755794426</v>
      </c>
      <c r="L104" s="53"/>
      <c r="M104" s="53"/>
      <c r="N104" s="53"/>
      <c r="O104" s="53"/>
      <c r="P104" s="53"/>
      <c r="Q104" s="53"/>
    </row>
    <row r="105" spans="1:54" ht="14" x14ac:dyDescent="0.3">
      <c r="B105" s="55"/>
      <c r="C105" s="811"/>
      <c r="D105" s="57"/>
      <c r="E105" s="58"/>
      <c r="H105" s="66"/>
      <c r="I105" s="847"/>
      <c r="J105" s="53"/>
      <c r="K105" s="66"/>
      <c r="L105" s="66"/>
      <c r="M105" s="66"/>
      <c r="N105" s="66"/>
      <c r="O105" s="66"/>
      <c r="P105" s="66"/>
      <c r="Q105" s="66"/>
    </row>
    <row r="106" spans="1:54" ht="14" x14ac:dyDescent="0.3">
      <c r="B106" s="59"/>
      <c r="C106" s="811"/>
      <c r="E106" s="526" t="s">
        <v>865</v>
      </c>
      <c r="G106" s="42"/>
      <c r="H106" s="53"/>
      <c r="I106" s="847"/>
      <c r="J106" s="53"/>
      <c r="K106" s="53"/>
      <c r="L106" s="53"/>
      <c r="M106" s="53"/>
      <c r="N106" s="53"/>
      <c r="O106" s="53"/>
      <c r="P106" s="53"/>
      <c r="Q106" s="53"/>
    </row>
    <row r="107" spans="1:54" ht="13" x14ac:dyDescent="0.3">
      <c r="C107" s="40"/>
      <c r="F107" s="847"/>
      <c r="G107" s="1478"/>
      <c r="H107" s="1025" t="s">
        <v>1251</v>
      </c>
      <c r="I107" s="62">
        <v>544677.74863031949</v>
      </c>
      <c r="J107" s="1557">
        <f>J131</f>
        <v>305773.3164735937</v>
      </c>
      <c r="K107" s="62">
        <v>366484</v>
      </c>
      <c r="AN107" s="1478"/>
      <c r="AO107" s="1478"/>
      <c r="AR107" s="1478"/>
      <c r="AS107" s="1478"/>
      <c r="AT107" s="1478"/>
      <c r="AV107" s="34"/>
      <c r="AW107" s="34"/>
      <c r="AZ107" s="34"/>
      <c r="BA107" s="34"/>
      <c r="BB107" s="34"/>
    </row>
    <row r="108" spans="1:54" x14ac:dyDescent="0.25">
      <c r="C108" s="40"/>
      <c r="E108" s="526" t="s">
        <v>1330</v>
      </c>
      <c r="F108" s="1478"/>
      <c r="G108" s="1478"/>
      <c r="I108" s="34"/>
      <c r="J108" s="1621">
        <f>'2122 Band Values'!AO26-'2122 Band Values'!J26</f>
        <v>176.135016375546</v>
      </c>
      <c r="AN108" s="1478"/>
      <c r="AO108" s="1478"/>
      <c r="AR108" s="1478"/>
      <c r="AS108" s="1478"/>
      <c r="AT108" s="1478"/>
      <c r="AV108" s="34"/>
      <c r="AW108" s="34"/>
      <c r="AZ108" s="34"/>
      <c r="BA108" s="34"/>
      <c r="BB108" s="34"/>
    </row>
    <row r="109" spans="1:54" ht="12.75" customHeight="1" x14ac:dyDescent="0.25">
      <c r="C109" s="40"/>
      <c r="F109" s="1478"/>
      <c r="G109" s="1478"/>
      <c r="I109" s="34"/>
      <c r="J109" s="34"/>
      <c r="AN109" s="1478"/>
      <c r="AO109" s="1478"/>
      <c r="AR109" s="1478"/>
      <c r="AS109" s="1478"/>
      <c r="AT109" s="1478"/>
      <c r="AV109" s="34"/>
      <c r="AW109" s="34"/>
      <c r="AZ109" s="34"/>
      <c r="BA109" s="34"/>
      <c r="BB109" s="34"/>
    </row>
    <row r="110" spans="1:54" ht="12.75" customHeight="1" x14ac:dyDescent="0.3">
      <c r="C110" s="40"/>
      <c r="D110" s="1896" t="s">
        <v>397</v>
      </c>
      <c r="E110" s="1897"/>
      <c r="F110" s="1898"/>
      <c r="G110" s="1896" t="s">
        <v>185</v>
      </c>
      <c r="H110" s="1897"/>
      <c r="I110" s="1898"/>
      <c r="J110" s="1481" t="s">
        <v>399</v>
      </c>
      <c r="K110" s="2052"/>
      <c r="L110" s="2052"/>
      <c r="M110" s="2052"/>
      <c r="N110" s="2052"/>
      <c r="O110" s="2052"/>
      <c r="P110" s="2052"/>
      <c r="Q110" s="1489"/>
      <c r="R110" s="1437"/>
      <c r="S110" s="1501"/>
      <c r="T110" s="1437"/>
      <c r="U110" s="50"/>
      <c r="V110" s="50"/>
      <c r="W110" s="50"/>
      <c r="X110" s="50"/>
      <c r="Y110" s="50"/>
      <c r="Z110" s="50"/>
      <c r="AA110" s="50"/>
      <c r="AB110" s="50"/>
      <c r="AC110" s="50"/>
      <c r="AD110" s="50"/>
      <c r="AE110" s="50"/>
      <c r="AF110" s="50"/>
      <c r="AG110" s="50"/>
      <c r="AH110" s="50"/>
      <c r="AI110" s="2048"/>
      <c r="AJ110" s="50"/>
      <c r="AK110" s="50"/>
      <c r="AL110" s="61"/>
      <c r="AM110" s="61"/>
      <c r="AN110" s="50"/>
      <c r="AO110" s="50"/>
      <c r="AP110" s="61"/>
      <c r="AQ110" s="61"/>
      <c r="AR110" s="61"/>
      <c r="AS110" s="50"/>
      <c r="AT110" s="50"/>
      <c r="AU110" s="50"/>
      <c r="AV110" s="50"/>
      <c r="AW110" s="34"/>
      <c r="AZ110" s="34"/>
      <c r="BA110" s="34"/>
      <c r="BB110" s="34"/>
    </row>
    <row r="111" spans="1:54" ht="41.25" customHeight="1" x14ac:dyDescent="0.3">
      <c r="A111" s="388" t="s">
        <v>201</v>
      </c>
      <c r="B111" s="389" t="s">
        <v>66</v>
      </c>
      <c r="C111" s="39" t="s">
        <v>51</v>
      </c>
      <c r="D111" s="1486" t="str">
        <f t="shared" ref="D111:D129" si="17">L5</f>
        <v>Pre-16 Funding (Apr-Aug)</v>
      </c>
      <c r="E111" s="1485" t="str">
        <f t="shared" ref="E111:E129" si="18">L49</f>
        <v>Pre-16 Funding (Sept-Mar)</v>
      </c>
      <c r="F111" s="1480" t="s">
        <v>394</v>
      </c>
      <c r="G111" s="1485" t="str">
        <f t="shared" ref="G111:G129" si="19">L27</f>
        <v>Post-16 Funding (Apr-Jul)</v>
      </c>
      <c r="H111" s="1486" t="str">
        <f t="shared" ref="H111:H129" si="20">L71</f>
        <v>Post-16 Funding (Aug-Mar)</v>
      </c>
      <c r="I111" s="1480" t="s">
        <v>395</v>
      </c>
      <c r="J111" s="1499" t="s">
        <v>295</v>
      </c>
      <c r="K111" s="384"/>
      <c r="L111" s="384"/>
      <c r="M111" s="1490"/>
      <c r="N111" s="384"/>
      <c r="O111" s="1498"/>
      <c r="P111" s="1490"/>
      <c r="Q111" s="1490"/>
      <c r="R111" s="1490"/>
      <c r="S111" s="1497"/>
      <c r="T111" s="384"/>
      <c r="U111" s="984"/>
      <c r="V111" s="384"/>
      <c r="W111" s="384"/>
      <c r="X111" s="1490"/>
      <c r="Y111" s="1490"/>
      <c r="Z111" s="384"/>
      <c r="AA111" s="384"/>
      <c r="AB111" s="384"/>
      <c r="AC111" s="1490"/>
      <c r="AD111" s="384"/>
      <c r="AE111" s="384"/>
      <c r="AF111" s="1490"/>
      <c r="AG111" s="1490"/>
      <c r="AH111" s="50"/>
      <c r="AI111" s="2048"/>
      <c r="AJ111" s="50"/>
      <c r="AK111" s="50"/>
      <c r="AL111" s="1490"/>
      <c r="AM111" s="1490"/>
      <c r="AN111" s="1490"/>
      <c r="AO111" s="50"/>
      <c r="AP111" s="1439"/>
      <c r="AQ111" s="1490"/>
      <c r="AR111" s="1489"/>
      <c r="AS111" s="50"/>
      <c r="AT111" s="50"/>
      <c r="AU111" s="50"/>
      <c r="AV111" s="50"/>
      <c r="AW111" s="34"/>
      <c r="AZ111" s="34"/>
      <c r="BA111" s="34"/>
      <c r="BB111" s="34"/>
    </row>
    <row r="112" spans="1:54" ht="13" x14ac:dyDescent="0.3">
      <c r="A112" s="185">
        <v>9257010</v>
      </c>
      <c r="B112" s="38" t="s">
        <v>67</v>
      </c>
      <c r="C112" s="39">
        <v>4</v>
      </c>
      <c r="D112" s="1487">
        <f t="shared" si="17"/>
        <v>4905.4888944271843</v>
      </c>
      <c r="E112" s="1487">
        <f t="shared" si="18"/>
        <v>10656.751736169397</v>
      </c>
      <c r="F112" s="156">
        <f>SUM(D112:E112)</f>
        <v>15562.240630596581</v>
      </c>
      <c r="G112" s="1487">
        <f t="shared" si="19"/>
        <v>473.63341049641758</v>
      </c>
      <c r="H112" s="1487">
        <f t="shared" si="20"/>
        <v>1353.2383157040504</v>
      </c>
      <c r="I112" s="156">
        <f>SUM(G112:H112)</f>
        <v>1826.8717262004679</v>
      </c>
      <c r="J112" s="1500">
        <f>F112+I112</f>
        <v>17389.11235679705</v>
      </c>
      <c r="K112" s="128"/>
      <c r="L112" s="128"/>
      <c r="M112" s="1440"/>
      <c r="N112" s="128"/>
      <c r="O112" s="128"/>
      <c r="P112" s="1440"/>
      <c r="Q112" s="1440"/>
      <c r="R112" s="1440"/>
      <c r="S112" s="1441"/>
      <c r="T112" s="128"/>
      <c r="U112" s="50"/>
      <c r="V112" s="128"/>
      <c r="W112" s="128"/>
      <c r="X112" s="128"/>
      <c r="Y112" s="128"/>
      <c r="Z112" s="128"/>
      <c r="AA112" s="128"/>
      <c r="AB112" s="128"/>
      <c r="AC112" s="128"/>
      <c r="AD112" s="128"/>
      <c r="AE112" s="128"/>
      <c r="AF112" s="128"/>
      <c r="AG112" s="128"/>
      <c r="AH112" s="1442"/>
      <c r="AI112" s="128"/>
      <c r="AJ112" s="1443"/>
      <c r="AK112" s="803"/>
      <c r="AL112" s="128"/>
      <c r="AM112" s="128"/>
      <c r="AN112" s="128"/>
      <c r="AO112" s="50"/>
      <c r="AP112" s="1441"/>
      <c r="AQ112" s="1441"/>
      <c r="AR112" s="1441"/>
      <c r="AS112" s="50"/>
      <c r="AT112" s="50"/>
      <c r="AU112" s="50"/>
      <c r="AV112" s="50"/>
      <c r="AW112" s="34"/>
      <c r="AZ112" s="34"/>
      <c r="BA112" s="34"/>
      <c r="BB112" s="34"/>
    </row>
    <row r="113" spans="1:54" ht="13" x14ac:dyDescent="0.3">
      <c r="A113" s="185">
        <v>9257005</v>
      </c>
      <c r="B113" s="38" t="s">
        <v>68</v>
      </c>
      <c r="C113" s="39">
        <v>4</v>
      </c>
      <c r="D113" s="1487">
        <f t="shared" si="17"/>
        <v>3862.9242415892982</v>
      </c>
      <c r="E113" s="1487">
        <f t="shared" si="18"/>
        <v>5918.2914795669985</v>
      </c>
      <c r="F113" s="156">
        <f t="shared" ref="F113:F129" si="21">SUM(D113:E113)</f>
        <v>9781.2157211562971</v>
      </c>
      <c r="G113" s="1487">
        <f t="shared" si="19"/>
        <v>1516.015551416177</v>
      </c>
      <c r="H113" s="1487">
        <f t="shared" si="20"/>
        <v>3265.264264588689</v>
      </c>
      <c r="I113" s="156">
        <f t="shared" ref="I113:I129" si="22">SUM(G113:H113)</f>
        <v>4781.279816004866</v>
      </c>
      <c r="J113" s="1500">
        <f t="shared" ref="J113:J128" si="23">F113+I113</f>
        <v>14562.495537161163</v>
      </c>
      <c r="K113" s="128"/>
      <c r="L113" s="128"/>
      <c r="M113" s="1440"/>
      <c r="N113" s="128"/>
      <c r="O113" s="128"/>
      <c r="P113" s="1440"/>
      <c r="Q113" s="1440"/>
      <c r="R113" s="1440"/>
      <c r="S113" s="1441"/>
      <c r="T113" s="128"/>
      <c r="U113" s="50"/>
      <c r="V113" s="128"/>
      <c r="W113" s="128"/>
      <c r="X113" s="128"/>
      <c r="Y113" s="128"/>
      <c r="Z113" s="128"/>
      <c r="AA113" s="128"/>
      <c r="AB113" s="128"/>
      <c r="AC113" s="128"/>
      <c r="AD113" s="128"/>
      <c r="AE113" s="128"/>
      <c r="AF113" s="128"/>
      <c r="AG113" s="128"/>
      <c r="AH113" s="1442"/>
      <c r="AI113" s="128"/>
      <c r="AJ113" s="1443"/>
      <c r="AK113" s="803"/>
      <c r="AL113" s="128"/>
      <c r="AM113" s="128"/>
      <c r="AN113" s="128"/>
      <c r="AO113" s="50"/>
      <c r="AP113" s="1441"/>
      <c r="AQ113" s="1441"/>
      <c r="AR113" s="1441"/>
      <c r="AS113" s="50"/>
      <c r="AT113" s="50"/>
      <c r="AU113" s="50"/>
      <c r="AV113" s="50"/>
      <c r="AW113" s="34"/>
      <c r="AZ113" s="34"/>
      <c r="BA113" s="34"/>
      <c r="BB113" s="34"/>
    </row>
    <row r="114" spans="1:54" ht="13" x14ac:dyDescent="0.3">
      <c r="A114" s="185">
        <v>9257025</v>
      </c>
      <c r="B114" s="38" t="s">
        <v>69</v>
      </c>
      <c r="C114" s="39">
        <v>4</v>
      </c>
      <c r="D114" s="1487">
        <f t="shared" si="17"/>
        <v>3571.8198240381557</v>
      </c>
      <c r="E114" s="1487">
        <f t="shared" si="18"/>
        <v>4821.9567624515093</v>
      </c>
      <c r="F114" s="156">
        <f t="shared" si="21"/>
        <v>8393.7765864896646</v>
      </c>
      <c r="G114" s="1487">
        <f t="shared" si="19"/>
        <v>1020.5199497251871</v>
      </c>
      <c r="H114" s="1487">
        <f t="shared" si="20"/>
        <v>2449.2478793404489</v>
      </c>
      <c r="I114" s="156">
        <f t="shared" si="22"/>
        <v>3469.7678290656359</v>
      </c>
      <c r="J114" s="1500">
        <f t="shared" si="23"/>
        <v>11863.544415555301</v>
      </c>
      <c r="K114" s="128"/>
      <c r="L114" s="128"/>
      <c r="M114" s="1440"/>
      <c r="N114" s="128"/>
      <c r="O114" s="128"/>
      <c r="P114" s="1440"/>
      <c r="Q114" s="1440"/>
      <c r="R114" s="1440"/>
      <c r="S114" s="1441"/>
      <c r="T114" s="128"/>
      <c r="U114" s="50"/>
      <c r="V114" s="128"/>
      <c r="W114" s="128"/>
      <c r="X114" s="128"/>
      <c r="Y114" s="128"/>
      <c r="Z114" s="128"/>
      <c r="AA114" s="128"/>
      <c r="AB114" s="128"/>
      <c r="AC114" s="128"/>
      <c r="AD114" s="128"/>
      <c r="AE114" s="128"/>
      <c r="AF114" s="128"/>
      <c r="AG114" s="128"/>
      <c r="AH114" s="1442"/>
      <c r="AI114" s="128"/>
      <c r="AJ114" s="1443"/>
      <c r="AK114" s="803"/>
      <c r="AL114" s="128"/>
      <c r="AM114" s="128"/>
      <c r="AN114" s="128"/>
      <c r="AO114" s="50"/>
      <c r="AP114" s="1441"/>
      <c r="AQ114" s="1441"/>
      <c r="AR114" s="1441"/>
      <c r="AS114" s="50"/>
      <c r="AT114" s="50"/>
      <c r="AU114" s="50"/>
      <c r="AV114" s="50"/>
      <c r="AW114" s="34"/>
      <c r="AZ114" s="34"/>
      <c r="BA114" s="34"/>
      <c r="BB114" s="34"/>
    </row>
    <row r="115" spans="1:54" ht="13" x14ac:dyDescent="0.3">
      <c r="A115" s="185">
        <v>9257011</v>
      </c>
      <c r="B115" s="38" t="s">
        <v>70</v>
      </c>
      <c r="C115" s="39">
        <v>4</v>
      </c>
      <c r="D115" s="1487">
        <f t="shared" si="17"/>
        <v>3935.8348071698592</v>
      </c>
      <c r="E115" s="1487">
        <f t="shared" si="18"/>
        <v>5510.1687300378035</v>
      </c>
      <c r="F115" s="156">
        <f t="shared" si="21"/>
        <v>9446.0035372076636</v>
      </c>
      <c r="G115" s="1487">
        <f t="shared" si="19"/>
        <v>503.78685531774192</v>
      </c>
      <c r="H115" s="1487">
        <f t="shared" si="20"/>
        <v>1007.5737106354838</v>
      </c>
      <c r="I115" s="156">
        <f t="shared" si="22"/>
        <v>1511.3605659532259</v>
      </c>
      <c r="J115" s="1500">
        <f t="shared" si="23"/>
        <v>10957.364103160889</v>
      </c>
      <c r="K115" s="128"/>
      <c r="L115" s="128"/>
      <c r="M115" s="1440"/>
      <c r="N115" s="128"/>
      <c r="O115" s="128"/>
      <c r="P115" s="1440"/>
      <c r="Q115" s="1440"/>
      <c r="R115" s="1440"/>
      <c r="S115" s="1441"/>
      <c r="T115" s="128"/>
      <c r="U115" s="50"/>
      <c r="V115" s="128"/>
      <c r="W115" s="128"/>
      <c r="X115" s="128"/>
      <c r="Y115" s="128"/>
      <c r="Z115" s="128"/>
      <c r="AA115" s="128"/>
      <c r="AB115" s="128"/>
      <c r="AC115" s="128"/>
      <c r="AD115" s="128"/>
      <c r="AE115" s="128"/>
      <c r="AF115" s="128"/>
      <c r="AG115" s="128"/>
      <c r="AH115" s="1442"/>
      <c r="AI115" s="128"/>
      <c r="AJ115" s="1443"/>
      <c r="AK115" s="803"/>
      <c r="AL115" s="128"/>
      <c r="AM115" s="128"/>
      <c r="AN115" s="128"/>
      <c r="AO115" s="50"/>
      <c r="AP115" s="1441"/>
      <c r="AQ115" s="1441"/>
      <c r="AR115" s="1441"/>
      <c r="AS115" s="50"/>
      <c r="AT115" s="50"/>
      <c r="AU115" s="50"/>
      <c r="AV115" s="50"/>
      <c r="AW115" s="34"/>
      <c r="AZ115" s="34"/>
      <c r="BA115" s="34"/>
      <c r="BB115" s="34"/>
    </row>
    <row r="116" spans="1:54" ht="13" x14ac:dyDescent="0.3">
      <c r="A116" s="185">
        <v>9257024</v>
      </c>
      <c r="B116" s="38" t="s">
        <v>71</v>
      </c>
      <c r="C116" s="39">
        <v>3</v>
      </c>
      <c r="D116" s="1487">
        <f t="shared" si="17"/>
        <v>4846.6115329923286</v>
      </c>
      <c r="E116" s="1487">
        <f t="shared" si="18"/>
        <v>6882.1883768491061</v>
      </c>
      <c r="F116" s="156">
        <f t="shared" si="21"/>
        <v>11728.799909841435</v>
      </c>
      <c r="G116" s="1487">
        <f t="shared" si="19"/>
        <v>775.45784527877242</v>
      </c>
      <c r="H116" s="1487">
        <f t="shared" si="20"/>
        <v>1440.135998374863</v>
      </c>
      <c r="I116" s="156">
        <f t="shared" si="22"/>
        <v>2215.5938436536353</v>
      </c>
      <c r="J116" s="1500">
        <f t="shared" si="23"/>
        <v>13944.393753495071</v>
      </c>
      <c r="K116" s="128"/>
      <c r="L116" s="128"/>
      <c r="M116" s="1440"/>
      <c r="N116" s="128"/>
      <c r="O116" s="128"/>
      <c r="P116" s="1440"/>
      <c r="Q116" s="1440"/>
      <c r="R116" s="1440"/>
      <c r="S116" s="1441"/>
      <c r="T116" s="128"/>
      <c r="U116" s="50"/>
      <c r="V116" s="128"/>
      <c r="W116" s="128"/>
      <c r="X116" s="128"/>
      <c r="Y116" s="128"/>
      <c r="Z116" s="128"/>
      <c r="AA116" s="128"/>
      <c r="AB116" s="128"/>
      <c r="AC116" s="128"/>
      <c r="AD116" s="128"/>
      <c r="AE116" s="128"/>
      <c r="AF116" s="128"/>
      <c r="AG116" s="128"/>
      <c r="AH116" s="1442"/>
      <c r="AI116" s="128"/>
      <c r="AJ116" s="1443"/>
      <c r="AK116" s="803"/>
      <c r="AL116" s="128"/>
      <c r="AM116" s="128"/>
      <c r="AN116" s="128"/>
      <c r="AO116" s="50"/>
      <c r="AP116" s="1441"/>
      <c r="AQ116" s="1441"/>
      <c r="AR116" s="1441"/>
      <c r="AS116" s="50"/>
      <c r="AT116" s="50"/>
      <c r="AU116" s="50"/>
      <c r="AV116" s="50"/>
      <c r="AW116" s="34"/>
      <c r="AZ116" s="34"/>
      <c r="BA116" s="34"/>
      <c r="BB116" s="34"/>
    </row>
    <row r="117" spans="1:54" ht="13" x14ac:dyDescent="0.3">
      <c r="A117" s="185">
        <v>9257031</v>
      </c>
      <c r="B117" s="38" t="s">
        <v>98</v>
      </c>
      <c r="C117" s="39">
        <v>4</v>
      </c>
      <c r="D117" s="1487">
        <f t="shared" si="17"/>
        <v>7045.4006550218164</v>
      </c>
      <c r="E117" s="1487">
        <f t="shared" si="18"/>
        <v>9986.8554284934235</v>
      </c>
      <c r="F117" s="156">
        <f t="shared" si="21"/>
        <v>17032.25608351524</v>
      </c>
      <c r="G117" s="1487">
        <f t="shared" si="19"/>
        <v>0</v>
      </c>
      <c r="H117" s="1487">
        <f t="shared" si="20"/>
        <v>0</v>
      </c>
      <c r="I117" s="156">
        <f t="shared" si="22"/>
        <v>0</v>
      </c>
      <c r="J117" s="1500">
        <f t="shared" si="23"/>
        <v>17032.25608351524</v>
      </c>
      <c r="K117" s="128"/>
      <c r="L117" s="128"/>
      <c r="M117" s="1440"/>
      <c r="N117" s="128"/>
      <c r="O117" s="128"/>
      <c r="P117" s="1440"/>
      <c r="Q117" s="1440"/>
      <c r="R117" s="1440"/>
      <c r="S117" s="1441"/>
      <c r="T117" s="128"/>
      <c r="U117" s="50"/>
      <c r="V117" s="128"/>
      <c r="W117" s="128"/>
      <c r="X117" s="128"/>
      <c r="Y117" s="128"/>
      <c r="Z117" s="128"/>
      <c r="AA117" s="128"/>
      <c r="AB117" s="128"/>
      <c r="AC117" s="128"/>
      <c r="AD117" s="128"/>
      <c r="AE117" s="128"/>
      <c r="AF117" s="128"/>
      <c r="AG117" s="128"/>
      <c r="AH117" s="1442"/>
      <c r="AI117" s="128"/>
      <c r="AJ117" s="1444"/>
      <c r="AK117" s="803"/>
      <c r="AL117" s="128"/>
      <c r="AM117" s="128"/>
      <c r="AN117" s="128"/>
      <c r="AO117" s="50"/>
      <c r="AP117" s="1441"/>
      <c r="AQ117" s="1441"/>
      <c r="AR117" s="1441"/>
      <c r="AS117" s="50"/>
      <c r="AT117" s="50"/>
      <c r="AU117" s="50"/>
      <c r="AV117" s="50"/>
      <c r="AW117" s="34"/>
      <c r="AZ117" s="34"/>
      <c r="BA117" s="34"/>
      <c r="BB117" s="34"/>
    </row>
    <row r="118" spans="1:54" ht="13" x14ac:dyDescent="0.3">
      <c r="A118" s="185">
        <v>9257033</v>
      </c>
      <c r="B118" s="38" t="s">
        <v>72</v>
      </c>
      <c r="C118" s="39">
        <v>3</v>
      </c>
      <c r="D118" s="1487">
        <f t="shared" si="17"/>
        <v>4991.5736614427587</v>
      </c>
      <c r="E118" s="1487">
        <f t="shared" si="18"/>
        <v>6917.6152156560265</v>
      </c>
      <c r="F118" s="156">
        <f t="shared" si="21"/>
        <v>11909.188877098786</v>
      </c>
      <c r="G118" s="1487">
        <f t="shared" si="19"/>
        <v>0</v>
      </c>
      <c r="H118" s="1487">
        <f t="shared" si="20"/>
        <v>0</v>
      </c>
      <c r="I118" s="156">
        <f t="shared" si="22"/>
        <v>0</v>
      </c>
      <c r="J118" s="1500">
        <f t="shared" si="23"/>
        <v>11909.188877098786</v>
      </c>
      <c r="K118" s="128"/>
      <c r="L118" s="128"/>
      <c r="M118" s="1440"/>
      <c r="N118" s="128"/>
      <c r="O118" s="128"/>
      <c r="P118" s="1440"/>
      <c r="Q118" s="1440"/>
      <c r="R118" s="1440"/>
      <c r="S118" s="1441"/>
      <c r="T118" s="128"/>
      <c r="U118" s="50"/>
      <c r="V118" s="128"/>
      <c r="W118" s="128"/>
      <c r="X118" s="128"/>
      <c r="Y118" s="128"/>
      <c r="Z118" s="128"/>
      <c r="AA118" s="128"/>
      <c r="AB118" s="128"/>
      <c r="AC118" s="128"/>
      <c r="AD118" s="128"/>
      <c r="AE118" s="128"/>
      <c r="AF118" s="128"/>
      <c r="AG118" s="128"/>
      <c r="AH118" s="1442"/>
      <c r="AI118" s="128"/>
      <c r="AJ118" s="1444"/>
      <c r="AK118" s="803"/>
      <c r="AL118" s="128"/>
      <c r="AM118" s="128"/>
      <c r="AN118" s="128"/>
      <c r="AO118" s="50"/>
      <c r="AP118" s="1441"/>
      <c r="AQ118" s="1441"/>
      <c r="AR118" s="1441"/>
      <c r="AS118" s="50"/>
      <c r="AT118" s="50"/>
      <c r="AU118" s="50"/>
      <c r="AV118" s="50"/>
      <c r="AW118" s="34"/>
      <c r="AZ118" s="34"/>
      <c r="BA118" s="34"/>
      <c r="BB118" s="34"/>
    </row>
    <row r="119" spans="1:54" ht="13" x14ac:dyDescent="0.3">
      <c r="A119" s="185">
        <v>9257008</v>
      </c>
      <c r="B119" s="38" t="s">
        <v>73</v>
      </c>
      <c r="C119" s="39">
        <v>4</v>
      </c>
      <c r="D119" s="1487">
        <f t="shared" si="17"/>
        <v>5027.0240641365317</v>
      </c>
      <c r="E119" s="1487">
        <f t="shared" si="18"/>
        <v>7109.6483192788091</v>
      </c>
      <c r="F119" s="156">
        <f t="shared" si="21"/>
        <v>12136.672383415342</v>
      </c>
      <c r="G119" s="1487">
        <f t="shared" si="19"/>
        <v>0</v>
      </c>
      <c r="H119" s="1487">
        <f t="shared" si="20"/>
        <v>0</v>
      </c>
      <c r="I119" s="156">
        <f t="shared" si="22"/>
        <v>0</v>
      </c>
      <c r="J119" s="1500">
        <f t="shared" si="23"/>
        <v>12136.672383415342</v>
      </c>
      <c r="K119" s="128"/>
      <c r="L119" s="128"/>
      <c r="M119" s="1440"/>
      <c r="N119" s="128"/>
      <c r="O119" s="128"/>
      <c r="P119" s="1440"/>
      <c r="Q119" s="1440"/>
      <c r="R119" s="1440"/>
      <c r="S119" s="1441"/>
      <c r="T119" s="128"/>
      <c r="U119" s="50"/>
      <c r="V119" s="128"/>
      <c r="W119" s="128"/>
      <c r="X119" s="128"/>
      <c r="Y119" s="128"/>
      <c r="Z119" s="128"/>
      <c r="AA119" s="128"/>
      <c r="AB119" s="128"/>
      <c r="AC119" s="128"/>
      <c r="AD119" s="128"/>
      <c r="AE119" s="128"/>
      <c r="AF119" s="128"/>
      <c r="AG119" s="128"/>
      <c r="AH119" s="1442"/>
      <c r="AI119" s="128"/>
      <c r="AJ119" s="1444"/>
      <c r="AK119" s="803"/>
      <c r="AL119" s="128"/>
      <c r="AM119" s="128"/>
      <c r="AN119" s="128"/>
      <c r="AO119" s="50"/>
      <c r="AP119" s="1441"/>
      <c r="AQ119" s="1441"/>
      <c r="AR119" s="1441"/>
      <c r="AS119" s="50"/>
      <c r="AT119" s="50"/>
      <c r="AU119" s="50"/>
      <c r="AV119" s="50"/>
      <c r="AW119" s="34"/>
      <c r="AZ119" s="34"/>
      <c r="BA119" s="34"/>
      <c r="BB119" s="34"/>
    </row>
    <row r="120" spans="1:54" ht="13" x14ac:dyDescent="0.3">
      <c r="A120" s="185">
        <v>9257034</v>
      </c>
      <c r="B120" s="38" t="s">
        <v>74</v>
      </c>
      <c r="C120" s="39">
        <v>5</v>
      </c>
      <c r="D120" s="1487">
        <f t="shared" si="17"/>
        <v>4387.4817600498927</v>
      </c>
      <c r="E120" s="1487">
        <f t="shared" si="18"/>
        <v>5750.4016259377322</v>
      </c>
      <c r="F120" s="156">
        <f t="shared" si="21"/>
        <v>10137.883385987625</v>
      </c>
      <c r="G120" s="1487">
        <f t="shared" si="19"/>
        <v>1269.5691901420967</v>
      </c>
      <c r="H120" s="1487">
        <f t="shared" si="20"/>
        <v>2389.7772990910057</v>
      </c>
      <c r="I120" s="156">
        <f t="shared" si="22"/>
        <v>3659.3464892331021</v>
      </c>
      <c r="J120" s="1500">
        <f t="shared" si="23"/>
        <v>13797.229875220728</v>
      </c>
      <c r="K120" s="128"/>
      <c r="L120" s="128"/>
      <c r="M120" s="1440"/>
      <c r="N120" s="128"/>
      <c r="O120" s="128"/>
      <c r="P120" s="1440"/>
      <c r="Q120" s="1440"/>
      <c r="R120" s="1440"/>
      <c r="S120" s="1441"/>
      <c r="T120" s="128"/>
      <c r="U120" s="50"/>
      <c r="V120" s="128"/>
      <c r="W120" s="128"/>
      <c r="X120" s="128"/>
      <c r="Y120" s="128"/>
      <c r="Z120" s="128"/>
      <c r="AA120" s="128"/>
      <c r="AB120" s="128"/>
      <c r="AC120" s="128"/>
      <c r="AD120" s="128"/>
      <c r="AE120" s="128"/>
      <c r="AF120" s="128"/>
      <c r="AG120" s="128"/>
      <c r="AH120" s="1442"/>
      <c r="AI120" s="128"/>
      <c r="AJ120" s="1444"/>
      <c r="AK120" s="803"/>
      <c r="AL120" s="128"/>
      <c r="AM120" s="128"/>
      <c r="AN120" s="128"/>
      <c r="AO120" s="50"/>
      <c r="AP120" s="1441"/>
      <c r="AQ120" s="1441"/>
      <c r="AR120" s="1441"/>
      <c r="AS120" s="50"/>
      <c r="AT120" s="50"/>
      <c r="AU120" s="50"/>
      <c r="AV120" s="50"/>
      <c r="AW120" s="34"/>
      <c r="AZ120" s="34"/>
      <c r="BA120" s="34"/>
      <c r="BB120" s="34"/>
    </row>
    <row r="121" spans="1:54" ht="13" x14ac:dyDescent="0.3">
      <c r="A121" s="185">
        <v>9257002</v>
      </c>
      <c r="B121" s="38" t="s">
        <v>75</v>
      </c>
      <c r="C121" s="39">
        <v>5</v>
      </c>
      <c r="D121" s="1487">
        <f t="shared" si="17"/>
        <v>6799.9935019757831</v>
      </c>
      <c r="E121" s="1487">
        <f t="shared" si="18"/>
        <v>9583.4575087845351</v>
      </c>
      <c r="F121" s="156">
        <f t="shared" si="21"/>
        <v>16383.451010760318</v>
      </c>
      <c r="G121" s="1487">
        <f t="shared" si="19"/>
        <v>0</v>
      </c>
      <c r="H121" s="1487">
        <f t="shared" si="20"/>
        <v>0</v>
      </c>
      <c r="I121" s="156">
        <f t="shared" si="22"/>
        <v>0</v>
      </c>
      <c r="J121" s="1500">
        <f t="shared" si="23"/>
        <v>16383.451010760318</v>
      </c>
      <c r="K121" s="128"/>
      <c r="L121" s="128"/>
      <c r="M121" s="1440"/>
      <c r="N121" s="128"/>
      <c r="O121" s="128"/>
      <c r="P121" s="1440"/>
      <c r="Q121" s="1440"/>
      <c r="R121" s="1440"/>
      <c r="S121" s="1441"/>
      <c r="T121" s="128"/>
      <c r="U121" s="50"/>
      <c r="V121" s="128"/>
      <c r="W121" s="128"/>
      <c r="X121" s="128"/>
      <c r="Y121" s="128"/>
      <c r="Z121" s="128"/>
      <c r="AA121" s="128"/>
      <c r="AB121" s="128"/>
      <c r="AC121" s="128"/>
      <c r="AD121" s="128"/>
      <c r="AE121" s="128"/>
      <c r="AF121" s="128"/>
      <c r="AG121" s="128"/>
      <c r="AH121" s="1442"/>
      <c r="AI121" s="128"/>
      <c r="AJ121" s="1444"/>
      <c r="AK121" s="803"/>
      <c r="AL121" s="128"/>
      <c r="AM121" s="128"/>
      <c r="AN121" s="128"/>
      <c r="AO121" s="50"/>
      <c r="AP121" s="1441"/>
      <c r="AQ121" s="1441"/>
      <c r="AR121" s="1441"/>
      <c r="AS121" s="50"/>
      <c r="AT121" s="50"/>
      <c r="AU121" s="50"/>
      <c r="AV121" s="50"/>
      <c r="AW121" s="34"/>
      <c r="AZ121" s="34"/>
      <c r="BA121" s="34"/>
      <c r="BB121" s="34"/>
    </row>
    <row r="122" spans="1:54" ht="13" x14ac:dyDescent="0.3">
      <c r="A122" s="185">
        <v>9257009</v>
      </c>
      <c r="B122" s="38" t="s">
        <v>76</v>
      </c>
      <c r="C122" s="39">
        <v>4</v>
      </c>
      <c r="D122" s="1487">
        <f t="shared" si="17"/>
        <v>5416.3474591217773</v>
      </c>
      <c r="E122" s="1487">
        <f t="shared" si="18"/>
        <v>7582.8864427704884</v>
      </c>
      <c r="F122" s="156">
        <f t="shared" si="21"/>
        <v>12999.233901892265</v>
      </c>
      <c r="G122" s="1487">
        <f t="shared" si="19"/>
        <v>0</v>
      </c>
      <c r="H122" s="1487">
        <f t="shared" si="20"/>
        <v>0</v>
      </c>
      <c r="I122" s="156">
        <f t="shared" si="22"/>
        <v>0</v>
      </c>
      <c r="J122" s="1500">
        <f t="shared" si="23"/>
        <v>12999.233901892265</v>
      </c>
      <c r="K122" s="128"/>
      <c r="L122" s="128"/>
      <c r="M122" s="1440"/>
      <c r="N122" s="128"/>
      <c r="O122" s="128"/>
      <c r="P122" s="1440"/>
      <c r="Q122" s="1440"/>
      <c r="R122" s="1440"/>
      <c r="S122" s="1441"/>
      <c r="T122" s="128"/>
      <c r="U122" s="50"/>
      <c r="V122" s="128"/>
      <c r="W122" s="128"/>
      <c r="X122" s="128"/>
      <c r="Y122" s="128"/>
      <c r="Z122" s="128"/>
      <c r="AA122" s="128"/>
      <c r="AB122" s="128"/>
      <c r="AC122" s="128"/>
      <c r="AD122" s="128"/>
      <c r="AE122" s="128"/>
      <c r="AF122" s="128"/>
      <c r="AG122" s="128"/>
      <c r="AH122" s="1442"/>
      <c r="AI122" s="128"/>
      <c r="AJ122" s="1444"/>
      <c r="AK122" s="803"/>
      <c r="AL122" s="128"/>
      <c r="AM122" s="128"/>
      <c r="AN122" s="128"/>
      <c r="AO122" s="50"/>
      <c r="AP122" s="1441"/>
      <c r="AQ122" s="1441"/>
      <c r="AR122" s="1441"/>
      <c r="AS122" s="50"/>
      <c r="AT122" s="50"/>
      <c r="AU122" s="50"/>
      <c r="AV122" s="50"/>
      <c r="AW122" s="34"/>
      <c r="AZ122" s="34"/>
      <c r="BA122" s="34"/>
      <c r="BB122" s="34"/>
    </row>
    <row r="123" spans="1:54" ht="13" x14ac:dyDescent="0.3">
      <c r="A123" s="185">
        <v>9257029</v>
      </c>
      <c r="B123" s="915" t="s">
        <v>848</v>
      </c>
      <c r="C123" s="39">
        <v>3</v>
      </c>
      <c r="D123" s="1487">
        <f t="shared" si="17"/>
        <v>6164.7255731440891</v>
      </c>
      <c r="E123" s="1487">
        <f t="shared" si="18"/>
        <v>9616.9718941047795</v>
      </c>
      <c r="F123" s="156">
        <f t="shared" si="21"/>
        <v>15781.697467248869</v>
      </c>
      <c r="G123" s="1487">
        <f t="shared" si="19"/>
        <v>0</v>
      </c>
      <c r="H123" s="1487">
        <f t="shared" si="20"/>
        <v>0</v>
      </c>
      <c r="I123" s="156">
        <f t="shared" si="22"/>
        <v>0</v>
      </c>
      <c r="J123" s="1500">
        <f t="shared" si="23"/>
        <v>15781.697467248869</v>
      </c>
      <c r="K123" s="128"/>
      <c r="L123" s="128"/>
      <c r="M123" s="1440"/>
      <c r="N123" s="128"/>
      <c r="O123" s="128"/>
      <c r="P123" s="1440"/>
      <c r="Q123" s="1440"/>
      <c r="R123" s="1440"/>
      <c r="S123" s="1441"/>
      <c r="T123" s="128"/>
      <c r="U123" s="50"/>
      <c r="V123" s="128"/>
      <c r="W123" s="128"/>
      <c r="X123" s="128"/>
      <c r="Y123" s="128"/>
      <c r="Z123" s="128"/>
      <c r="AA123" s="128"/>
      <c r="AB123" s="128"/>
      <c r="AC123" s="128"/>
      <c r="AD123" s="128"/>
      <c r="AE123" s="128"/>
      <c r="AF123" s="128"/>
      <c r="AG123" s="128"/>
      <c r="AH123" s="1442"/>
      <c r="AI123" s="128"/>
      <c r="AJ123" s="1444"/>
      <c r="AK123" s="803"/>
      <c r="AL123" s="128"/>
      <c r="AM123" s="128"/>
      <c r="AN123" s="128"/>
      <c r="AO123" s="50"/>
      <c r="AP123" s="1441"/>
      <c r="AQ123" s="1441"/>
      <c r="AR123" s="1441"/>
      <c r="AS123" s="50"/>
      <c r="AT123" s="50"/>
      <c r="AU123" s="50"/>
      <c r="AV123" s="50"/>
      <c r="AW123" s="34"/>
      <c r="AZ123" s="34"/>
      <c r="BA123" s="34"/>
      <c r="BB123" s="34"/>
    </row>
    <row r="124" spans="1:54" ht="13" x14ac:dyDescent="0.3">
      <c r="A124" s="185">
        <v>9257032</v>
      </c>
      <c r="B124" s="915" t="s">
        <v>934</v>
      </c>
      <c r="C124" s="39">
        <v>4</v>
      </c>
      <c r="D124" s="1487">
        <f t="shared" si="17"/>
        <v>7221.5356713973615</v>
      </c>
      <c r="E124" s="1487">
        <f t="shared" si="18"/>
        <v>12822.629192139706</v>
      </c>
      <c r="F124" s="156">
        <f t="shared" si="21"/>
        <v>20044.164863537066</v>
      </c>
      <c r="G124" s="1487">
        <f t="shared" si="19"/>
        <v>0</v>
      </c>
      <c r="H124" s="1487">
        <f t="shared" si="20"/>
        <v>0</v>
      </c>
      <c r="I124" s="156">
        <f t="shared" si="22"/>
        <v>0</v>
      </c>
      <c r="J124" s="1500">
        <f t="shared" si="23"/>
        <v>20044.164863537066</v>
      </c>
      <c r="K124" s="128"/>
      <c r="L124" s="128"/>
      <c r="M124" s="1440"/>
      <c r="N124" s="128"/>
      <c r="O124" s="128"/>
      <c r="P124" s="1440"/>
      <c r="Q124" s="1440"/>
      <c r="R124" s="1440"/>
      <c r="S124" s="1441"/>
      <c r="T124" s="128"/>
      <c r="U124" s="50"/>
      <c r="V124" s="128"/>
      <c r="W124" s="128"/>
      <c r="X124" s="128"/>
      <c r="Y124" s="128"/>
      <c r="Z124" s="128"/>
      <c r="AA124" s="128"/>
      <c r="AB124" s="128"/>
      <c r="AC124" s="128"/>
      <c r="AD124" s="128"/>
      <c r="AE124" s="128"/>
      <c r="AF124" s="128"/>
      <c r="AG124" s="128"/>
      <c r="AH124" s="1442"/>
      <c r="AI124" s="128"/>
      <c r="AJ124" s="1444"/>
      <c r="AK124" s="803"/>
      <c r="AL124" s="128"/>
      <c r="AM124" s="128"/>
      <c r="AN124" s="128"/>
      <c r="AO124" s="50"/>
      <c r="AP124" s="1441"/>
      <c r="AQ124" s="1441"/>
      <c r="AR124" s="1441"/>
      <c r="AS124" s="50"/>
      <c r="AT124" s="50"/>
      <c r="AU124" s="50"/>
      <c r="AV124" s="50"/>
      <c r="AW124" s="34"/>
      <c r="AZ124" s="34"/>
      <c r="BA124" s="34"/>
      <c r="BB124" s="34"/>
    </row>
    <row r="125" spans="1:54" ht="13" x14ac:dyDescent="0.3">
      <c r="A125" s="185">
        <v>9257030</v>
      </c>
      <c r="B125" s="915" t="s">
        <v>933</v>
      </c>
      <c r="C125" s="39">
        <v>4</v>
      </c>
      <c r="D125" s="1487">
        <f t="shared" si="17"/>
        <v>6605.0631140829528</v>
      </c>
      <c r="E125" s="1487">
        <f t="shared" si="18"/>
        <v>8877.2048253274879</v>
      </c>
      <c r="F125" s="156">
        <f t="shared" si="21"/>
        <v>15482.267939410442</v>
      </c>
      <c r="G125" s="1487">
        <f t="shared" si="19"/>
        <v>0</v>
      </c>
      <c r="H125" s="1487">
        <f t="shared" si="20"/>
        <v>0</v>
      </c>
      <c r="I125" s="156">
        <f t="shared" si="22"/>
        <v>0</v>
      </c>
      <c r="J125" s="1500">
        <f t="shared" si="23"/>
        <v>15482.267939410442</v>
      </c>
      <c r="K125" s="128"/>
      <c r="L125" s="128"/>
      <c r="M125" s="1440"/>
      <c r="N125" s="128"/>
      <c r="O125" s="128"/>
      <c r="P125" s="1440"/>
      <c r="Q125" s="1440"/>
      <c r="R125" s="1440"/>
      <c r="S125" s="1441"/>
      <c r="T125" s="128"/>
      <c r="U125" s="50"/>
      <c r="V125" s="128"/>
      <c r="W125" s="128"/>
      <c r="X125" s="128"/>
      <c r="Y125" s="128"/>
      <c r="Z125" s="128"/>
      <c r="AA125" s="128"/>
      <c r="AB125" s="128"/>
      <c r="AC125" s="128"/>
      <c r="AD125" s="128"/>
      <c r="AE125" s="128"/>
      <c r="AF125" s="128"/>
      <c r="AG125" s="128"/>
      <c r="AH125" s="1442"/>
      <c r="AI125" s="128"/>
      <c r="AJ125" s="1444"/>
      <c r="AK125" s="803"/>
      <c r="AL125" s="128"/>
      <c r="AM125" s="128"/>
      <c r="AN125" s="128"/>
      <c r="AO125" s="50"/>
      <c r="AP125" s="1441"/>
      <c r="AQ125" s="1441"/>
      <c r="AR125" s="1441"/>
      <c r="AS125" s="50"/>
      <c r="AT125" s="50"/>
      <c r="AU125" s="50"/>
      <c r="AV125" s="50"/>
      <c r="AW125" s="34"/>
      <c r="AZ125" s="34"/>
      <c r="BA125" s="34"/>
      <c r="BB125" s="34"/>
    </row>
    <row r="126" spans="1:54" ht="13" x14ac:dyDescent="0.3">
      <c r="A126" s="185">
        <v>9257028</v>
      </c>
      <c r="B126" s="38" t="s">
        <v>77</v>
      </c>
      <c r="C126" s="39">
        <v>5</v>
      </c>
      <c r="D126" s="1487">
        <f t="shared" si="17"/>
        <v>6482.1182674558213</v>
      </c>
      <c r="E126" s="1487">
        <f t="shared" si="18"/>
        <v>11667.812881420479</v>
      </c>
      <c r="F126" s="156">
        <f t="shared" si="21"/>
        <v>18149.931148876301</v>
      </c>
      <c r="G126" s="1487">
        <f t="shared" si="19"/>
        <v>455.88524078810167</v>
      </c>
      <c r="H126" s="1487">
        <f t="shared" si="20"/>
        <v>569.856550985127</v>
      </c>
      <c r="I126" s="156">
        <f t="shared" si="22"/>
        <v>1025.7417917732287</v>
      </c>
      <c r="J126" s="1500">
        <f t="shared" si="23"/>
        <v>19175.672940649529</v>
      </c>
      <c r="K126" s="128"/>
      <c r="L126" s="128"/>
      <c r="M126" s="1440"/>
      <c r="N126" s="128"/>
      <c r="O126" s="128"/>
      <c r="P126" s="1440"/>
      <c r="Q126" s="1440"/>
      <c r="R126" s="1440"/>
      <c r="S126" s="1441"/>
      <c r="T126" s="128"/>
      <c r="U126" s="50"/>
      <c r="V126" s="128"/>
      <c r="W126" s="128"/>
      <c r="X126" s="128"/>
      <c r="Y126" s="128"/>
      <c r="Z126" s="128"/>
      <c r="AA126" s="128"/>
      <c r="AB126" s="128"/>
      <c r="AC126" s="128"/>
      <c r="AD126" s="128"/>
      <c r="AE126" s="128"/>
      <c r="AF126" s="128"/>
      <c r="AG126" s="128"/>
      <c r="AH126" s="1442"/>
      <c r="AI126" s="128"/>
      <c r="AJ126" s="1444"/>
      <c r="AK126" s="803"/>
      <c r="AL126" s="128"/>
      <c r="AM126" s="128"/>
      <c r="AN126" s="128"/>
      <c r="AO126" s="50"/>
      <c r="AP126" s="1441"/>
      <c r="AQ126" s="1441"/>
      <c r="AR126" s="1441"/>
      <c r="AS126" s="50"/>
      <c r="AT126" s="50"/>
      <c r="AU126" s="50"/>
      <c r="AV126" s="50"/>
      <c r="AW126" s="34"/>
      <c r="AZ126" s="34"/>
      <c r="BA126" s="34"/>
      <c r="BB126" s="34"/>
    </row>
    <row r="127" spans="1:54" ht="13" x14ac:dyDescent="0.3">
      <c r="A127" s="185">
        <v>9257021</v>
      </c>
      <c r="B127" s="38" t="s">
        <v>78</v>
      </c>
      <c r="C127" s="39">
        <v>5</v>
      </c>
      <c r="D127" s="1487">
        <f t="shared" si="17"/>
        <v>8349.1027109715415</v>
      </c>
      <c r="E127" s="1487">
        <f t="shared" si="18"/>
        <v>11899.986153107629</v>
      </c>
      <c r="F127" s="156">
        <f t="shared" si="21"/>
        <v>20249.088864079171</v>
      </c>
      <c r="G127" s="1487">
        <f t="shared" si="19"/>
        <v>0</v>
      </c>
      <c r="H127" s="1487">
        <f t="shared" si="20"/>
        <v>0</v>
      </c>
      <c r="I127" s="156">
        <f t="shared" si="22"/>
        <v>0</v>
      </c>
      <c r="J127" s="1500">
        <f t="shared" si="23"/>
        <v>20249.088864079171</v>
      </c>
      <c r="K127" s="128"/>
      <c r="L127" s="128"/>
      <c r="M127" s="1440"/>
      <c r="N127" s="128"/>
      <c r="O127" s="128"/>
      <c r="P127" s="1440"/>
      <c r="Q127" s="1440"/>
      <c r="R127" s="1440"/>
      <c r="S127" s="1441"/>
      <c r="T127" s="128"/>
      <c r="U127" s="50"/>
      <c r="V127" s="128"/>
      <c r="W127" s="128"/>
      <c r="X127" s="128"/>
      <c r="Y127" s="128"/>
      <c r="Z127" s="128"/>
      <c r="AA127" s="128"/>
      <c r="AB127" s="128"/>
      <c r="AC127" s="128"/>
      <c r="AD127" s="128"/>
      <c r="AE127" s="128"/>
      <c r="AF127" s="128"/>
      <c r="AG127" s="128"/>
      <c r="AH127" s="1442"/>
      <c r="AI127" s="128"/>
      <c r="AJ127" s="1444"/>
      <c r="AK127" s="803"/>
      <c r="AL127" s="128"/>
      <c r="AM127" s="128"/>
      <c r="AN127" s="128"/>
      <c r="AO127" s="50"/>
      <c r="AP127" s="1441"/>
      <c r="AQ127" s="1441"/>
      <c r="AR127" s="1441"/>
      <c r="AS127" s="50"/>
      <c r="AT127" s="50"/>
      <c r="AU127" s="50"/>
      <c r="AV127" s="50"/>
      <c r="AW127" s="34"/>
      <c r="AZ127" s="34"/>
      <c r="BA127" s="34"/>
      <c r="BB127" s="34"/>
    </row>
    <row r="128" spans="1:54" ht="13" x14ac:dyDescent="0.3">
      <c r="A128" s="131">
        <v>9257015</v>
      </c>
      <c r="B128" s="38" t="s">
        <v>55</v>
      </c>
      <c r="C128" s="39">
        <v>6</v>
      </c>
      <c r="D128" s="1487">
        <f t="shared" si="17"/>
        <v>10980.622291183381</v>
      </c>
      <c r="E128" s="1487">
        <f t="shared" si="18"/>
        <v>15304.242318336839</v>
      </c>
      <c r="F128" s="156">
        <f t="shared" si="21"/>
        <v>26284.86460952022</v>
      </c>
      <c r="G128" s="1487">
        <f t="shared" si="19"/>
        <v>313.73206546238237</v>
      </c>
      <c r="H128" s="1487">
        <f t="shared" si="20"/>
        <v>235.29904909678672</v>
      </c>
      <c r="I128" s="156">
        <f t="shared" si="22"/>
        <v>549.03111455916905</v>
      </c>
      <c r="J128" s="1500">
        <f t="shared" si="23"/>
        <v>26833.89572407939</v>
      </c>
      <c r="K128" s="128"/>
      <c r="L128" s="128"/>
      <c r="M128" s="1440"/>
      <c r="N128" s="128"/>
      <c r="O128" s="128"/>
      <c r="P128" s="1440"/>
      <c r="Q128" s="1440"/>
      <c r="R128" s="1440"/>
      <c r="S128" s="1441"/>
      <c r="T128" s="128"/>
      <c r="U128" s="50"/>
      <c r="V128" s="128"/>
      <c r="W128" s="128"/>
      <c r="X128" s="128"/>
      <c r="Y128" s="128"/>
      <c r="Z128" s="128"/>
      <c r="AA128" s="128"/>
      <c r="AB128" s="128"/>
      <c r="AC128" s="128"/>
      <c r="AD128" s="128"/>
      <c r="AE128" s="128"/>
      <c r="AF128" s="128"/>
      <c r="AG128" s="128"/>
      <c r="AH128" s="1442"/>
      <c r="AI128" s="128"/>
      <c r="AJ128" s="1444"/>
      <c r="AK128" s="803"/>
      <c r="AL128" s="128"/>
      <c r="AM128" s="128"/>
      <c r="AN128" s="128"/>
      <c r="AO128" s="50"/>
      <c r="AP128" s="1441"/>
      <c r="AQ128" s="1441"/>
      <c r="AR128" s="1441"/>
      <c r="AS128" s="50"/>
      <c r="AT128" s="50"/>
      <c r="AU128" s="50"/>
      <c r="AV128" s="50"/>
      <c r="AW128" s="34"/>
      <c r="AZ128" s="34"/>
      <c r="BA128" s="34"/>
      <c r="BB128" s="34"/>
    </row>
    <row r="129" spans="1:54" ht="13" x14ac:dyDescent="0.3">
      <c r="A129" s="185">
        <v>9257016</v>
      </c>
      <c r="B129" s="38" t="s">
        <v>80</v>
      </c>
      <c r="C129" s="39">
        <v>6</v>
      </c>
      <c r="D129" s="1487">
        <f t="shared" si="17"/>
        <v>9962.6593866757739</v>
      </c>
      <c r="E129" s="1487">
        <f t="shared" si="18"/>
        <v>13313.735725830351</v>
      </c>
      <c r="F129" s="156">
        <f t="shared" si="21"/>
        <v>23276.395112506125</v>
      </c>
      <c r="G129" s="1487">
        <f t="shared" si="19"/>
        <v>3405.4181176273551</v>
      </c>
      <c r="H129" s="1487">
        <f t="shared" si="20"/>
        <v>8549.7731463835717</v>
      </c>
      <c r="I129" s="156">
        <f t="shared" si="22"/>
        <v>11955.191264010926</v>
      </c>
      <c r="J129" s="1500">
        <f>F129+I129</f>
        <v>35231.586376517051</v>
      </c>
      <c r="K129" s="128"/>
      <c r="L129" s="128"/>
      <c r="M129" s="1440"/>
      <c r="N129" s="128"/>
      <c r="O129" s="128"/>
      <c r="P129" s="1440"/>
      <c r="Q129" s="1440"/>
      <c r="R129" s="1440"/>
      <c r="S129" s="1441"/>
      <c r="T129" s="128"/>
      <c r="U129" s="50"/>
      <c r="V129" s="128"/>
      <c r="W129" s="128"/>
      <c r="X129" s="128"/>
      <c r="Y129" s="128"/>
      <c r="Z129" s="128"/>
      <c r="AA129" s="128"/>
      <c r="AB129" s="128"/>
      <c r="AC129" s="128"/>
      <c r="AD129" s="128"/>
      <c r="AE129" s="128"/>
      <c r="AF129" s="128"/>
      <c r="AG129" s="128"/>
      <c r="AH129" s="1442"/>
      <c r="AI129" s="128"/>
      <c r="AJ129" s="1444"/>
      <c r="AK129" s="803"/>
      <c r="AL129" s="128"/>
      <c r="AM129" s="128"/>
      <c r="AN129" s="128"/>
      <c r="AO129" s="50"/>
      <c r="AP129" s="1441"/>
      <c r="AQ129" s="1441"/>
      <c r="AR129" s="1441"/>
      <c r="AS129" s="50"/>
      <c r="AT129" s="50"/>
      <c r="AU129" s="50"/>
      <c r="AV129" s="50"/>
      <c r="AW129" s="34"/>
      <c r="AZ129" s="34"/>
      <c r="BA129" s="34"/>
      <c r="BB129" s="34"/>
    </row>
    <row r="130" spans="1:54" x14ac:dyDescent="0.25">
      <c r="C130" s="40"/>
      <c r="F130" s="1478"/>
      <c r="G130" s="1478"/>
      <c r="I130" s="34"/>
      <c r="J130" s="34"/>
      <c r="K130" s="50"/>
      <c r="L130" s="50"/>
      <c r="M130" s="554" t="s">
        <v>1269</v>
      </c>
      <c r="N130" s="50"/>
      <c r="O130" s="50"/>
      <c r="P130" s="50"/>
      <c r="Q130" s="50"/>
      <c r="R130" s="50"/>
      <c r="S130" s="1445"/>
      <c r="T130" s="50"/>
      <c r="U130" s="50"/>
      <c r="V130" s="50"/>
      <c r="W130" s="50"/>
      <c r="X130" s="50"/>
      <c r="Y130" s="50"/>
      <c r="Z130" s="50"/>
      <c r="AA130" s="50"/>
      <c r="AB130" s="50"/>
      <c r="AC130" s="50"/>
      <c r="AD130" s="50"/>
      <c r="AE130" s="50"/>
      <c r="AF130" s="50"/>
      <c r="AG130" s="50"/>
      <c r="AH130" s="50"/>
      <c r="AI130" s="50"/>
      <c r="AJ130" s="50"/>
      <c r="AK130" s="50"/>
      <c r="AL130" s="61"/>
      <c r="AM130" s="128"/>
      <c r="AN130" s="50"/>
      <c r="AO130" s="50"/>
      <c r="AP130" s="50"/>
      <c r="AQ130" s="50"/>
      <c r="AR130" s="50"/>
      <c r="AS130" s="50"/>
      <c r="AT130" s="50"/>
      <c r="AU130" s="50"/>
      <c r="AV130" s="50"/>
      <c r="AW130" s="34"/>
      <c r="AZ130" s="34"/>
      <c r="BA130" s="34"/>
      <c r="BB130" s="34"/>
    </row>
    <row r="131" spans="1:54" ht="13" thickBot="1" x14ac:dyDescent="0.3">
      <c r="C131" s="40"/>
      <c r="D131" s="70">
        <f t="shared" ref="D131:I131" si="24">SUM(D112:D129)</f>
        <v>110556.3274168763</v>
      </c>
      <c r="E131" s="70">
        <f t="shared" si="24"/>
        <v>164222.80461626308</v>
      </c>
      <c r="F131" s="70">
        <f t="shared" si="24"/>
        <v>274779.13203313941</v>
      </c>
      <c r="G131" s="70">
        <f t="shared" si="24"/>
        <v>9734.018226254233</v>
      </c>
      <c r="H131" s="70">
        <f t="shared" si="24"/>
        <v>21260.166214200024</v>
      </c>
      <c r="I131" s="70">
        <f t="shared" si="24"/>
        <v>30994.184440454257</v>
      </c>
      <c r="J131" s="70">
        <f>SUM(J112:J129)</f>
        <v>305773.3164735937</v>
      </c>
      <c r="K131" s="128"/>
      <c r="L131" s="128"/>
      <c r="M131" s="128">
        <v>427672.30972198473</v>
      </c>
      <c r="N131" s="128">
        <f>J131-M131</f>
        <v>-121898.99324839102</v>
      </c>
      <c r="O131" s="128"/>
      <c r="P131" s="128"/>
      <c r="Q131" s="128"/>
      <c r="R131" s="128"/>
      <c r="S131" s="1441"/>
      <c r="T131" s="128"/>
      <c r="U131" s="50"/>
      <c r="V131" s="1442"/>
      <c r="W131" s="1442"/>
      <c r="X131" s="128"/>
      <c r="Y131" s="128"/>
      <c r="Z131" s="128"/>
      <c r="AA131" s="128"/>
      <c r="AB131" s="128"/>
      <c r="AC131" s="128"/>
      <c r="AD131" s="128"/>
      <c r="AE131" s="128"/>
      <c r="AF131" s="128"/>
      <c r="AG131" s="128"/>
      <c r="AH131" s="1442"/>
      <c r="AI131" s="128"/>
      <c r="AJ131" s="1446"/>
      <c r="AK131" s="50"/>
      <c r="AL131" s="128"/>
      <c r="AM131" s="128"/>
      <c r="AN131" s="128"/>
      <c r="AO131" s="50"/>
      <c r="AP131" s="50"/>
      <c r="AQ131" s="50"/>
      <c r="AR131" s="50"/>
      <c r="AS131" s="50"/>
      <c r="AT131" s="50"/>
      <c r="AU131" s="50"/>
      <c r="AV131" s="50"/>
      <c r="AW131" s="34"/>
      <c r="AZ131" s="34"/>
      <c r="BA131" s="34"/>
      <c r="BB131" s="34"/>
    </row>
    <row r="132" spans="1:54" x14ac:dyDescent="0.25">
      <c r="C132" s="40"/>
      <c r="F132" s="1478"/>
      <c r="G132" s="1478"/>
      <c r="I132" s="34"/>
      <c r="J132" s="34"/>
      <c r="K132" s="50"/>
      <c r="L132" s="50"/>
      <c r="M132" s="50"/>
      <c r="N132" s="50"/>
      <c r="O132" s="50"/>
      <c r="P132" s="50"/>
      <c r="Q132" s="50"/>
      <c r="R132" s="50"/>
      <c r="S132" s="1445"/>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61"/>
    </row>
    <row r="133" spans="1:54" x14ac:dyDescent="0.25">
      <c r="D133" s="815" t="s">
        <v>556</v>
      </c>
      <c r="E133" s="815" t="s">
        <v>556</v>
      </c>
      <c r="F133" s="815" t="s">
        <v>556</v>
      </c>
      <c r="G133" s="815" t="s">
        <v>556</v>
      </c>
      <c r="H133" s="815" t="s">
        <v>556</v>
      </c>
      <c r="I133" s="815" t="s">
        <v>556</v>
      </c>
      <c r="J133" s="815" t="s">
        <v>556</v>
      </c>
      <c r="K133" s="803"/>
      <c r="L133" s="803"/>
      <c r="M133" s="803"/>
      <c r="N133" s="803"/>
      <c r="O133" s="803"/>
      <c r="P133" s="803"/>
      <c r="Q133" s="803"/>
      <c r="R133" s="803"/>
      <c r="S133" s="1447"/>
      <c r="T133" s="803"/>
      <c r="U133" s="50"/>
      <c r="V133" s="803"/>
      <c r="W133" s="803"/>
      <c r="X133" s="803"/>
      <c r="Y133" s="803"/>
      <c r="Z133" s="803"/>
      <c r="AA133" s="803"/>
      <c r="AB133" s="803"/>
      <c r="AC133" s="803"/>
      <c r="AD133" s="803"/>
      <c r="AE133" s="803"/>
      <c r="AF133" s="803"/>
      <c r="AG133" s="803"/>
      <c r="AH133" s="803"/>
      <c r="AI133" s="803"/>
      <c r="AJ133" s="50"/>
      <c r="AK133" s="50"/>
      <c r="AL133" s="50"/>
      <c r="AM133" s="50"/>
      <c r="AN133" s="1446"/>
      <c r="AO133" s="50"/>
      <c r="AP133" s="50"/>
      <c r="AQ133" s="50"/>
      <c r="AR133" s="50"/>
      <c r="AS133" s="50"/>
      <c r="AT133" s="50"/>
      <c r="AU133" s="50"/>
      <c r="AV133" s="61"/>
    </row>
    <row r="135" spans="1:54" x14ac:dyDescent="0.25">
      <c r="J135" s="1496" t="s">
        <v>1215</v>
      </c>
    </row>
    <row r="137" spans="1:54" x14ac:dyDescent="0.25">
      <c r="J137" s="627" t="s">
        <v>1216</v>
      </c>
      <c r="K137" s="625"/>
      <c r="L137" s="626">
        <f>('2122 Band Values'!E5-'2122 Band Values'!K5)*'2122 Funding Detail'!M23</f>
        <v>105817.27256038487</v>
      </c>
    </row>
    <row r="140" spans="1:54" x14ac:dyDescent="0.25">
      <c r="A140"/>
      <c r="B140"/>
      <c r="C140" s="1488" t="s">
        <v>1212</v>
      </c>
    </row>
    <row r="141" spans="1:54" x14ac:dyDescent="0.25">
      <c r="A141" s="612" t="s">
        <v>1210</v>
      </c>
      <c r="B141"/>
      <c r="C141" s="1488" t="s">
        <v>1158</v>
      </c>
    </row>
    <row r="142" spans="1:54" x14ac:dyDescent="0.25">
      <c r="A142"/>
      <c r="B142" s="612" t="s">
        <v>839</v>
      </c>
      <c r="C142" s="16">
        <f>('2122 Band Values'!D11-'2122 Band Values'!J11)+('2122 Band Values'!E11-'2122 Band Values'!K11)</f>
        <v>154.38271532535475</v>
      </c>
    </row>
    <row r="143" spans="1:54" x14ac:dyDescent="0.25">
      <c r="A143"/>
      <c r="B143" s="612" t="s">
        <v>840</v>
      </c>
      <c r="C143" s="16">
        <f>('2122 Band Values'!D8-'2122 Band Values'!J8)+('2122 Band Values'!E8-'2122 Band Values'!K8)</f>
        <v>174.61633432098813</v>
      </c>
    </row>
    <row r="144" spans="1:54" x14ac:dyDescent="0.25">
      <c r="A144"/>
      <c r="B144" s="612" t="s">
        <v>841</v>
      </c>
      <c r="C144" s="16">
        <f>('2122 Band Values'!D17-'2122 Band Values'!J17)+('2122 Band Values'!E17-'2122 Band Values'!K17)</f>
        <v>417.4197622685864</v>
      </c>
    </row>
    <row r="145" spans="1:3" x14ac:dyDescent="0.25">
      <c r="A145"/>
      <c r="B145" s="612" t="s">
        <v>842</v>
      </c>
      <c r="C145" s="16">
        <f>('2122 Band Values'!D5-'2122 Band Values'!J5)+('2122 Band Values'!E5-'2122 Band Values'!K5)</f>
        <v>508.47104774893467</v>
      </c>
    </row>
    <row r="146" spans="1:3" x14ac:dyDescent="0.25">
      <c r="A146"/>
      <c r="B146" s="612" t="s">
        <v>843</v>
      </c>
      <c r="C146" s="16">
        <f>('2122 Band Values'!D14-'2122 Band Values'!J14)+('2122 Band Values'!E14-'2122 Band Values'!K14)</f>
        <v>508.47104774893467</v>
      </c>
    </row>
    <row r="147" spans="1:3" x14ac:dyDescent="0.25">
      <c r="A147"/>
      <c r="B147" t="s">
        <v>844</v>
      </c>
      <c r="C147" s="16">
        <f>('2122 Band Values'!D22-'2122 Band Values'!J22)+('2122 Band Values'!E22-'2122 Band Values'!K22)</f>
        <v>457.8870002598527</v>
      </c>
    </row>
    <row r="148" spans="1:3" x14ac:dyDescent="0.25">
      <c r="A148"/>
      <c r="B148" t="s">
        <v>845</v>
      </c>
      <c r="C148" s="16">
        <f>'2122 Band Values'!D24-'2122 Band Values'!J24</f>
        <v>872.91485555928739</v>
      </c>
    </row>
  </sheetData>
  <mergeCells count="9">
    <mergeCell ref="D110:F110"/>
    <mergeCell ref="G110:I110"/>
    <mergeCell ref="K110:M110"/>
    <mergeCell ref="N110:P110"/>
    <mergeCell ref="AI110:AI111"/>
    <mergeCell ref="O4:P4"/>
    <mergeCell ref="O26:P26"/>
    <mergeCell ref="O48:P48"/>
    <mergeCell ref="O70:P70"/>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V68"/>
  <sheetViews>
    <sheetView workbookViewId="0">
      <selection activeCell="O21" sqref="O21"/>
    </sheetView>
  </sheetViews>
  <sheetFormatPr defaultColWidth="9.1796875" defaultRowHeight="12.5" x14ac:dyDescent="0.25"/>
  <cols>
    <col min="1" max="1" width="9.1796875" style="46"/>
    <col min="2" max="2" width="18" style="46" customWidth="1"/>
    <col min="3" max="3" width="11" style="46" customWidth="1"/>
    <col min="4" max="4" width="11.7265625" style="46" customWidth="1"/>
    <col min="5" max="5" width="10.453125" style="46" customWidth="1"/>
    <col min="6" max="8" width="9.54296875" style="46" bestFit="1" customWidth="1"/>
    <col min="9" max="9" width="9" style="46" customWidth="1"/>
    <col min="10" max="11" width="9.54296875" style="46" bestFit="1" customWidth="1"/>
    <col min="12" max="16" width="9.1796875" style="46"/>
    <col min="17" max="17" width="10.81640625" style="46" customWidth="1"/>
    <col min="18" max="18" width="9.1796875" style="46"/>
    <col min="19" max="19" width="10" style="46" customWidth="1"/>
    <col min="20" max="22" width="9.1796875" style="46"/>
    <col min="23" max="23" width="10.453125" style="46" customWidth="1"/>
    <col min="24" max="16384" width="9.1796875" style="46"/>
  </cols>
  <sheetData>
    <row r="2" spans="2:22" ht="13" x14ac:dyDescent="0.3">
      <c r="B2" s="1067" t="s">
        <v>997</v>
      </c>
      <c r="U2" s="2019" t="s">
        <v>950</v>
      </c>
      <c r="V2" s="2020"/>
    </row>
    <row r="4" spans="2:22" ht="21" x14ac:dyDescent="0.25">
      <c r="C4" s="774" t="s">
        <v>66</v>
      </c>
      <c r="D4" s="774" t="s">
        <v>51</v>
      </c>
      <c r="E4" s="775" t="s">
        <v>688</v>
      </c>
      <c r="F4" s="776" t="s">
        <v>839</v>
      </c>
      <c r="G4" s="777" t="s">
        <v>858</v>
      </c>
      <c r="H4" s="776" t="s">
        <v>840</v>
      </c>
      <c r="I4" s="777" t="s">
        <v>880</v>
      </c>
      <c r="J4" s="776" t="s">
        <v>841</v>
      </c>
      <c r="K4" s="777" t="s">
        <v>881</v>
      </c>
      <c r="L4" s="776" t="s">
        <v>842</v>
      </c>
      <c r="M4" s="777" t="s">
        <v>882</v>
      </c>
      <c r="N4" s="778" t="s">
        <v>843</v>
      </c>
      <c r="O4" s="779" t="s">
        <v>883</v>
      </c>
      <c r="P4" s="776" t="s">
        <v>844</v>
      </c>
      <c r="Q4" s="777" t="s">
        <v>884</v>
      </c>
      <c r="R4" s="778" t="s">
        <v>845</v>
      </c>
      <c r="S4" s="779" t="s">
        <v>885</v>
      </c>
    </row>
    <row r="5" spans="2:22" ht="20.5" x14ac:dyDescent="0.25">
      <c r="B5" s="1066">
        <v>9257010</v>
      </c>
      <c r="C5" s="1020" t="s">
        <v>67</v>
      </c>
      <c r="D5" s="781">
        <v>4</v>
      </c>
      <c r="E5" s="1018">
        <v>63</v>
      </c>
      <c r="F5" s="783">
        <v>1</v>
      </c>
      <c r="G5" s="784">
        <f>F5/E5</f>
        <v>1.5873015873015872E-2</v>
      </c>
      <c r="H5" s="785">
        <v>20</v>
      </c>
      <c r="I5" s="784">
        <f>H5/E5</f>
        <v>0.31746031746031744</v>
      </c>
      <c r="J5" s="785">
        <v>6</v>
      </c>
      <c r="K5" s="784">
        <f>J5/E5</f>
        <v>9.5238095238095233E-2</v>
      </c>
      <c r="L5" s="785">
        <v>11</v>
      </c>
      <c r="M5" s="784">
        <f>L5/E5</f>
        <v>0.17460317460317459</v>
      </c>
      <c r="N5" s="786">
        <v>4</v>
      </c>
      <c r="O5" s="787">
        <f>N5/E5</f>
        <v>6.3492063492063489E-2</v>
      </c>
      <c r="P5" s="785">
        <v>12</v>
      </c>
      <c r="Q5" s="784">
        <f>P5/E5</f>
        <v>0.19047619047619047</v>
      </c>
      <c r="R5" s="786">
        <v>9</v>
      </c>
      <c r="S5" s="787">
        <f>R5/E5</f>
        <v>0.14285714285714285</v>
      </c>
      <c r="U5" s="755">
        <f>F5+H5+J5+L5+N5+P5+R5</f>
        <v>63</v>
      </c>
      <c r="V5" s="222">
        <f>G5+I5+K5+M5+O5+Q5+S5</f>
        <v>1</v>
      </c>
    </row>
    <row r="6" spans="2:22" ht="20.5" x14ac:dyDescent="0.25">
      <c r="B6" s="1066">
        <v>9257005</v>
      </c>
      <c r="C6" s="1020" t="s">
        <v>68</v>
      </c>
      <c r="D6" s="781" t="s">
        <v>946</v>
      </c>
      <c r="E6" s="1018">
        <v>80</v>
      </c>
      <c r="F6" s="783">
        <v>4</v>
      </c>
      <c r="G6" s="784">
        <f>F6/E6</f>
        <v>0.05</v>
      </c>
      <c r="H6" s="785">
        <v>32</v>
      </c>
      <c r="I6" s="784">
        <f>H6/E6</f>
        <v>0.4</v>
      </c>
      <c r="J6" s="785">
        <v>5</v>
      </c>
      <c r="K6" s="784">
        <f>J6/E6</f>
        <v>6.25E-2</v>
      </c>
      <c r="L6" s="785">
        <v>12</v>
      </c>
      <c r="M6" s="784">
        <f>L6/E6</f>
        <v>0.15</v>
      </c>
      <c r="N6" s="786">
        <v>10</v>
      </c>
      <c r="O6" s="787">
        <f>N6/E6</f>
        <v>0.125</v>
      </c>
      <c r="P6" s="785">
        <v>12</v>
      </c>
      <c r="Q6" s="784">
        <f>P6/E6</f>
        <v>0.15</v>
      </c>
      <c r="R6" s="786">
        <v>5</v>
      </c>
      <c r="S6" s="787">
        <f>R6/E6</f>
        <v>6.25E-2</v>
      </c>
      <c r="U6" s="755">
        <f t="shared" ref="U6:V22" si="0">F6+H6+J6+L6+N6+P6+R6</f>
        <v>80</v>
      </c>
      <c r="V6" s="222">
        <f t="shared" si="0"/>
        <v>1</v>
      </c>
    </row>
    <row r="7" spans="2:22" ht="20.5" x14ac:dyDescent="0.25">
      <c r="B7" s="1066">
        <v>9257025</v>
      </c>
      <c r="C7" s="1020" t="s">
        <v>69</v>
      </c>
      <c r="D7" s="781">
        <v>4</v>
      </c>
      <c r="E7" s="1018">
        <v>77</v>
      </c>
      <c r="F7" s="783">
        <v>12</v>
      </c>
      <c r="G7" s="784">
        <f>F7/E7</f>
        <v>0.15584415584415584</v>
      </c>
      <c r="H7" s="785">
        <v>31</v>
      </c>
      <c r="I7" s="784">
        <f>H7/E7</f>
        <v>0.40259740259740262</v>
      </c>
      <c r="J7" s="785">
        <v>3</v>
      </c>
      <c r="K7" s="784">
        <f>J7/E7</f>
        <v>3.896103896103896E-2</v>
      </c>
      <c r="L7" s="785">
        <v>12</v>
      </c>
      <c r="M7" s="784">
        <f>L7/E7</f>
        <v>0.15584415584415584</v>
      </c>
      <c r="N7" s="786">
        <v>4</v>
      </c>
      <c r="O7" s="787">
        <f>N7/E7</f>
        <v>5.1948051948051951E-2</v>
      </c>
      <c r="P7" s="785">
        <v>11</v>
      </c>
      <c r="Q7" s="784">
        <f>P7/E7</f>
        <v>0.14285714285714285</v>
      </c>
      <c r="R7" s="786">
        <v>4</v>
      </c>
      <c r="S7" s="787">
        <f>R7/E7</f>
        <v>5.1948051948051951E-2</v>
      </c>
      <c r="U7" s="755">
        <f t="shared" si="0"/>
        <v>77</v>
      </c>
      <c r="V7" s="222">
        <f t="shared" si="0"/>
        <v>1</v>
      </c>
    </row>
    <row r="8" spans="2:22" ht="20.5" x14ac:dyDescent="0.25">
      <c r="B8" s="1066">
        <v>9257011</v>
      </c>
      <c r="C8" s="1020" t="s">
        <v>70</v>
      </c>
      <c r="D8" s="781">
        <v>4</v>
      </c>
      <c r="E8" s="1018">
        <v>53</v>
      </c>
      <c r="F8" s="783">
        <v>3</v>
      </c>
      <c r="G8" s="784">
        <f>F8/E8</f>
        <v>5.6603773584905662E-2</v>
      </c>
      <c r="H8" s="785">
        <v>19</v>
      </c>
      <c r="I8" s="784">
        <f>H8/E8</f>
        <v>0.35849056603773582</v>
      </c>
      <c r="J8" s="785">
        <v>1</v>
      </c>
      <c r="K8" s="784">
        <f>J8/E8</f>
        <v>1.8867924528301886E-2</v>
      </c>
      <c r="L8" s="785">
        <v>9</v>
      </c>
      <c r="M8" s="784">
        <f>L8/E8</f>
        <v>0.16981132075471697</v>
      </c>
      <c r="N8" s="786">
        <v>7</v>
      </c>
      <c r="O8" s="787">
        <f>N8/E8</f>
        <v>0.13207547169811321</v>
      </c>
      <c r="P8" s="785">
        <v>8</v>
      </c>
      <c r="Q8" s="784">
        <f>P8/E8</f>
        <v>0.15094339622641509</v>
      </c>
      <c r="R8" s="786">
        <v>6</v>
      </c>
      <c r="S8" s="787">
        <f>R8/E8</f>
        <v>0.11320754716981132</v>
      </c>
      <c r="U8" s="755">
        <f t="shared" si="0"/>
        <v>53</v>
      </c>
      <c r="V8" s="222">
        <f t="shared" si="0"/>
        <v>0.99999999999999989</v>
      </c>
    </row>
    <row r="9" spans="2:22" ht="20.5" x14ac:dyDescent="0.25">
      <c r="B9" s="1066">
        <v>9257024</v>
      </c>
      <c r="C9" s="1020" t="s">
        <v>71</v>
      </c>
      <c r="D9" s="781">
        <v>4</v>
      </c>
      <c r="E9" s="1018">
        <v>83</v>
      </c>
      <c r="F9" s="785">
        <v>7</v>
      </c>
      <c r="G9" s="784">
        <f>F9/E9</f>
        <v>8.4337349397590355E-2</v>
      </c>
      <c r="H9" s="785">
        <v>38</v>
      </c>
      <c r="I9" s="784">
        <f>H9/E9</f>
        <v>0.45783132530120479</v>
      </c>
      <c r="J9" s="785">
        <v>1</v>
      </c>
      <c r="K9" s="784">
        <f>J9/E9</f>
        <v>1.2048192771084338E-2</v>
      </c>
      <c r="L9" s="785">
        <v>15</v>
      </c>
      <c r="M9" s="784">
        <f>L9/E9</f>
        <v>0.18072289156626506</v>
      </c>
      <c r="N9" s="786">
        <v>7</v>
      </c>
      <c r="O9" s="787">
        <f>N9/E9</f>
        <v>8.4337349397590355E-2</v>
      </c>
      <c r="P9" s="785">
        <v>6</v>
      </c>
      <c r="Q9" s="784">
        <f>P9/E9</f>
        <v>7.2289156626506021E-2</v>
      </c>
      <c r="R9" s="786">
        <v>9</v>
      </c>
      <c r="S9" s="787">
        <f>R9/E9</f>
        <v>0.10843373493975904</v>
      </c>
      <c r="U9" s="755">
        <f t="shared" si="0"/>
        <v>83</v>
      </c>
      <c r="V9" s="222">
        <f t="shared" si="0"/>
        <v>1</v>
      </c>
    </row>
    <row r="10" spans="2:22" x14ac:dyDescent="0.25">
      <c r="B10" s="1066">
        <v>9257031</v>
      </c>
      <c r="C10" s="1020" t="s">
        <v>98</v>
      </c>
      <c r="D10" s="781" t="s">
        <v>949</v>
      </c>
      <c r="E10" s="1018">
        <f>F10+H10+J10+L10+N10+P10+R10</f>
        <v>0</v>
      </c>
      <c r="F10" s="785">
        <v>0</v>
      </c>
      <c r="G10" s="784">
        <v>0</v>
      </c>
      <c r="H10" s="785">
        <v>0</v>
      </c>
      <c r="I10" s="784">
        <v>0</v>
      </c>
      <c r="J10" s="785">
        <v>0</v>
      </c>
      <c r="K10" s="784">
        <v>1</v>
      </c>
      <c r="L10" s="785">
        <v>0</v>
      </c>
      <c r="M10" s="784">
        <v>0</v>
      </c>
      <c r="N10" s="786">
        <v>0</v>
      </c>
      <c r="O10" s="787">
        <v>0</v>
      </c>
      <c r="P10" s="785">
        <v>0</v>
      </c>
      <c r="Q10" s="784">
        <v>0</v>
      </c>
      <c r="R10" s="786">
        <v>0</v>
      </c>
      <c r="S10" s="787">
        <v>0</v>
      </c>
      <c r="U10" s="755">
        <f>F10+H10+J10+L10+N10+P10+R10</f>
        <v>0</v>
      </c>
      <c r="V10" s="222">
        <f>G10+I10+K10+M10+O10+Q10+S10</f>
        <v>1</v>
      </c>
    </row>
    <row r="11" spans="2:22" ht="20.5" x14ac:dyDescent="0.25">
      <c r="B11" s="1066">
        <v>9257033</v>
      </c>
      <c r="C11" s="1020" t="s">
        <v>72</v>
      </c>
      <c r="D11" s="781" t="s">
        <v>946</v>
      </c>
      <c r="E11" s="1018">
        <v>95</v>
      </c>
      <c r="F11" s="785">
        <v>16</v>
      </c>
      <c r="G11" s="784">
        <f>F11/E11</f>
        <v>0.16842105263157894</v>
      </c>
      <c r="H11" s="785">
        <v>51</v>
      </c>
      <c r="I11" s="784">
        <f>H11/E11</f>
        <v>0.5368421052631579</v>
      </c>
      <c r="J11" s="785">
        <v>6</v>
      </c>
      <c r="K11" s="784">
        <f>J11/E11</f>
        <v>6.3157894736842107E-2</v>
      </c>
      <c r="L11" s="785">
        <v>14</v>
      </c>
      <c r="M11" s="784">
        <f>L11/E11</f>
        <v>0.14736842105263157</v>
      </c>
      <c r="N11" s="786">
        <v>4</v>
      </c>
      <c r="O11" s="787">
        <f>N11/E11</f>
        <v>4.2105263157894736E-2</v>
      </c>
      <c r="P11" s="785">
        <v>4</v>
      </c>
      <c r="Q11" s="784">
        <f>P11/E11</f>
        <v>4.2105263157894736E-2</v>
      </c>
      <c r="R11" s="786">
        <v>0</v>
      </c>
      <c r="S11" s="787">
        <f>R11/E11</f>
        <v>0</v>
      </c>
      <c r="U11" s="755">
        <f>F11+H11+J11+L11+N11+P11+R11</f>
        <v>95</v>
      </c>
      <c r="V11" s="222">
        <f>G11+I11+K11+M11+O11+Q11+S11</f>
        <v>1</v>
      </c>
    </row>
    <row r="12" spans="2:22" ht="20.5" x14ac:dyDescent="0.25">
      <c r="B12" s="1066">
        <v>9257008</v>
      </c>
      <c r="C12" s="1020" t="s">
        <v>73</v>
      </c>
      <c r="D12" s="781">
        <v>4</v>
      </c>
      <c r="E12" s="1018">
        <v>99</v>
      </c>
      <c r="F12" s="785">
        <v>10</v>
      </c>
      <c r="G12" s="784">
        <f>F12/E12</f>
        <v>0.10101010101010101</v>
      </c>
      <c r="H12" s="785">
        <v>58</v>
      </c>
      <c r="I12" s="784">
        <f>H12/E12</f>
        <v>0.58585858585858586</v>
      </c>
      <c r="J12" s="785">
        <v>8</v>
      </c>
      <c r="K12" s="784">
        <f>J12/E12</f>
        <v>8.0808080808080815E-2</v>
      </c>
      <c r="L12" s="785">
        <v>9</v>
      </c>
      <c r="M12" s="784">
        <f>L12/E12</f>
        <v>9.0909090909090912E-2</v>
      </c>
      <c r="N12" s="789">
        <v>1</v>
      </c>
      <c r="O12" s="787">
        <f>N12/E12</f>
        <v>1.0101010101010102E-2</v>
      </c>
      <c r="P12" s="785">
        <v>12</v>
      </c>
      <c r="Q12" s="784">
        <f>P12/E12</f>
        <v>0.12121212121212122</v>
      </c>
      <c r="R12" s="789">
        <v>1</v>
      </c>
      <c r="S12" s="787">
        <f>R12/E12</f>
        <v>1.0101010101010102E-2</v>
      </c>
      <c r="U12" s="755">
        <f t="shared" si="0"/>
        <v>99</v>
      </c>
      <c r="V12" s="222">
        <f t="shared" si="0"/>
        <v>0.99999999999999989</v>
      </c>
    </row>
    <row r="13" spans="2:22" ht="20.5" x14ac:dyDescent="0.25">
      <c r="B13" s="1066">
        <v>9257034</v>
      </c>
      <c r="C13" s="1020" t="s">
        <v>74</v>
      </c>
      <c r="D13" s="781" t="s">
        <v>946</v>
      </c>
      <c r="E13" s="1018">
        <v>99</v>
      </c>
      <c r="F13" s="785">
        <v>42</v>
      </c>
      <c r="G13" s="784">
        <f>F13/E13</f>
        <v>0.42424242424242425</v>
      </c>
      <c r="H13" s="785">
        <v>29</v>
      </c>
      <c r="I13" s="784">
        <f>H13/E13</f>
        <v>0.29292929292929293</v>
      </c>
      <c r="J13" s="785">
        <v>14</v>
      </c>
      <c r="K13" s="784">
        <f>J13/E13</f>
        <v>0.14141414141414141</v>
      </c>
      <c r="L13" s="785">
        <v>3</v>
      </c>
      <c r="M13" s="784">
        <f>L13/E13</f>
        <v>3.0303030303030304E-2</v>
      </c>
      <c r="N13" s="786">
        <v>4</v>
      </c>
      <c r="O13" s="787">
        <f>N13/E13</f>
        <v>4.0404040404040407E-2</v>
      </c>
      <c r="P13" s="785">
        <v>6</v>
      </c>
      <c r="Q13" s="784">
        <f>P13/E13</f>
        <v>6.0606060606060608E-2</v>
      </c>
      <c r="R13" s="786">
        <v>1</v>
      </c>
      <c r="S13" s="787">
        <f>R13/E13</f>
        <v>1.0101010101010102E-2</v>
      </c>
      <c r="U13" s="755">
        <f>F13+H13+J13+L13+N13+P13+R13</f>
        <v>99</v>
      </c>
      <c r="V13" s="222">
        <f>G13+I13+K13+M13+O13+Q13+S13</f>
        <v>0.99999999999999989</v>
      </c>
    </row>
    <row r="14" spans="2:22" ht="20.5" x14ac:dyDescent="0.25">
      <c r="B14" s="1066">
        <v>9257002</v>
      </c>
      <c r="C14" s="1020" t="s">
        <v>75</v>
      </c>
      <c r="D14" s="781">
        <v>4</v>
      </c>
      <c r="E14" s="1018">
        <v>141</v>
      </c>
      <c r="F14" s="785">
        <v>50</v>
      </c>
      <c r="G14" s="784">
        <f>F14/E14</f>
        <v>0.3546099290780142</v>
      </c>
      <c r="H14" s="785">
        <v>54</v>
      </c>
      <c r="I14" s="784">
        <f>H14/E14</f>
        <v>0.38297872340425532</v>
      </c>
      <c r="J14" s="785">
        <v>18</v>
      </c>
      <c r="K14" s="784">
        <f>J14/E14</f>
        <v>0.1276595744680851</v>
      </c>
      <c r="L14" s="785">
        <v>4</v>
      </c>
      <c r="M14" s="784">
        <f>L14/E14</f>
        <v>2.8368794326241134E-2</v>
      </c>
      <c r="N14" s="786">
        <v>3</v>
      </c>
      <c r="O14" s="787">
        <f>N14/E14</f>
        <v>2.1276595744680851E-2</v>
      </c>
      <c r="P14" s="785">
        <v>11</v>
      </c>
      <c r="Q14" s="784">
        <f>P14/E14</f>
        <v>7.8014184397163122E-2</v>
      </c>
      <c r="R14" s="786">
        <v>1</v>
      </c>
      <c r="S14" s="787">
        <f>R14/E14</f>
        <v>7.0921985815602835E-3</v>
      </c>
      <c r="U14" s="755">
        <f t="shared" si="0"/>
        <v>141</v>
      </c>
      <c r="V14" s="222">
        <f t="shared" si="0"/>
        <v>1</v>
      </c>
    </row>
    <row r="15" spans="2:22" ht="20.5" x14ac:dyDescent="0.25">
      <c r="B15" s="1066">
        <v>9257009</v>
      </c>
      <c r="C15" s="1020" t="s">
        <v>76</v>
      </c>
      <c r="D15" s="781">
        <v>4</v>
      </c>
      <c r="E15" s="1018">
        <v>125</v>
      </c>
      <c r="F15" s="785">
        <v>30</v>
      </c>
      <c r="G15" s="784">
        <f>F15/E15</f>
        <v>0.24</v>
      </c>
      <c r="H15" s="785">
        <v>73</v>
      </c>
      <c r="I15" s="784">
        <f>H15/E15</f>
        <v>0.58399999999999996</v>
      </c>
      <c r="J15" s="785">
        <v>9</v>
      </c>
      <c r="K15" s="784">
        <f>J15/E15</f>
        <v>7.1999999999999995E-2</v>
      </c>
      <c r="L15" s="785">
        <v>2</v>
      </c>
      <c r="M15" s="784">
        <f>L15/E15</f>
        <v>1.6E-2</v>
      </c>
      <c r="N15" s="786">
        <v>1</v>
      </c>
      <c r="O15" s="787">
        <f>N15/E15</f>
        <v>8.0000000000000002E-3</v>
      </c>
      <c r="P15" s="785">
        <v>10</v>
      </c>
      <c r="Q15" s="784">
        <f>P15/E15</f>
        <v>0.08</v>
      </c>
      <c r="R15" s="786">
        <v>0</v>
      </c>
      <c r="S15" s="787">
        <f>R15/E15</f>
        <v>0</v>
      </c>
      <c r="U15" s="755">
        <f t="shared" si="0"/>
        <v>125</v>
      </c>
      <c r="V15" s="222">
        <f t="shared" si="0"/>
        <v>0.99999999999999989</v>
      </c>
    </row>
    <row r="16" spans="2:22" ht="20.5" x14ac:dyDescent="0.25">
      <c r="B16" s="1066">
        <v>9257029</v>
      </c>
      <c r="C16" s="1020" t="s">
        <v>848</v>
      </c>
      <c r="D16" s="781" t="s">
        <v>949</v>
      </c>
      <c r="E16" s="1018">
        <f>F16+H16+J16+L16+N16+P16+R16</f>
        <v>0</v>
      </c>
      <c r="F16" s="785">
        <v>0</v>
      </c>
      <c r="G16" s="784">
        <v>0</v>
      </c>
      <c r="H16" s="785">
        <v>0</v>
      </c>
      <c r="I16" s="784">
        <v>0</v>
      </c>
      <c r="J16" s="785">
        <v>0</v>
      </c>
      <c r="K16" s="784">
        <v>1</v>
      </c>
      <c r="L16" s="785">
        <v>0</v>
      </c>
      <c r="M16" s="784">
        <v>0</v>
      </c>
      <c r="N16" s="786">
        <v>0</v>
      </c>
      <c r="O16" s="787">
        <v>0</v>
      </c>
      <c r="P16" s="785">
        <v>0</v>
      </c>
      <c r="Q16" s="784">
        <v>0</v>
      </c>
      <c r="R16" s="786">
        <v>0</v>
      </c>
      <c r="S16" s="787">
        <v>0</v>
      </c>
      <c r="U16" s="755">
        <f t="shared" si="0"/>
        <v>0</v>
      </c>
      <c r="V16" s="222">
        <f t="shared" si="0"/>
        <v>1</v>
      </c>
    </row>
    <row r="17" spans="2:22" x14ac:dyDescent="0.25">
      <c r="B17" s="1066">
        <v>9257032</v>
      </c>
      <c r="C17" s="1020" t="s">
        <v>770</v>
      </c>
      <c r="D17" s="781" t="s">
        <v>949</v>
      </c>
      <c r="E17" s="1018">
        <f>F17+H17+J17+L17+N17+P17+R17</f>
        <v>0</v>
      </c>
      <c r="F17" s="785">
        <v>0</v>
      </c>
      <c r="G17" s="784">
        <v>0</v>
      </c>
      <c r="H17" s="785">
        <v>0</v>
      </c>
      <c r="I17" s="784">
        <v>0</v>
      </c>
      <c r="J17" s="785">
        <v>0</v>
      </c>
      <c r="K17" s="784">
        <v>1</v>
      </c>
      <c r="L17" s="785">
        <v>0</v>
      </c>
      <c r="M17" s="784">
        <v>0</v>
      </c>
      <c r="N17" s="786">
        <v>0</v>
      </c>
      <c r="O17" s="787">
        <v>0</v>
      </c>
      <c r="P17" s="785">
        <v>0</v>
      </c>
      <c r="Q17" s="784">
        <v>0</v>
      </c>
      <c r="R17" s="786">
        <v>0</v>
      </c>
      <c r="S17" s="787">
        <v>0</v>
      </c>
      <c r="U17" s="755">
        <f t="shared" si="0"/>
        <v>0</v>
      </c>
      <c r="V17" s="222">
        <f t="shared" si="0"/>
        <v>1</v>
      </c>
    </row>
    <row r="18" spans="2:22" ht="20.5" x14ac:dyDescent="0.25">
      <c r="B18" s="1066">
        <v>9257030</v>
      </c>
      <c r="C18" s="1020" t="s">
        <v>771</v>
      </c>
      <c r="D18" s="781" t="s">
        <v>949</v>
      </c>
      <c r="E18" s="1018">
        <f>F18+H18+J18+L18+N18+P18+R18</f>
        <v>0</v>
      </c>
      <c r="F18" s="783">
        <v>0</v>
      </c>
      <c r="G18" s="784">
        <v>0</v>
      </c>
      <c r="H18" s="785">
        <v>0</v>
      </c>
      <c r="I18" s="784">
        <v>0</v>
      </c>
      <c r="J18" s="785">
        <v>0</v>
      </c>
      <c r="K18" s="784">
        <v>1</v>
      </c>
      <c r="L18" s="785">
        <v>0</v>
      </c>
      <c r="M18" s="784">
        <v>0</v>
      </c>
      <c r="N18" s="786">
        <v>0</v>
      </c>
      <c r="O18" s="787">
        <v>0</v>
      </c>
      <c r="P18" s="785">
        <v>0</v>
      </c>
      <c r="Q18" s="784">
        <v>0</v>
      </c>
      <c r="R18" s="786">
        <v>0</v>
      </c>
      <c r="S18" s="787">
        <v>0</v>
      </c>
      <c r="U18" s="755">
        <f t="shared" si="0"/>
        <v>0</v>
      </c>
      <c r="V18" s="222">
        <f t="shared" si="0"/>
        <v>1</v>
      </c>
    </row>
    <row r="19" spans="2:22" ht="20.5" x14ac:dyDescent="0.25">
      <c r="B19" s="1066">
        <v>9257028</v>
      </c>
      <c r="C19" s="1020" t="s">
        <v>77</v>
      </c>
      <c r="D19" s="781">
        <v>4</v>
      </c>
      <c r="E19" s="1018">
        <v>101</v>
      </c>
      <c r="F19" s="785">
        <v>9</v>
      </c>
      <c r="G19" s="784">
        <f>F19/E19</f>
        <v>8.9108910891089105E-2</v>
      </c>
      <c r="H19" s="783">
        <v>41</v>
      </c>
      <c r="I19" s="784">
        <f>H19/E19</f>
        <v>0.40594059405940597</v>
      </c>
      <c r="J19" s="783">
        <v>8</v>
      </c>
      <c r="K19" s="784">
        <f>J19/E19</f>
        <v>7.9207920792079209E-2</v>
      </c>
      <c r="L19" s="783">
        <v>9</v>
      </c>
      <c r="M19" s="784">
        <f>L19/E19</f>
        <v>8.9108910891089105E-2</v>
      </c>
      <c r="N19" s="786">
        <v>13</v>
      </c>
      <c r="O19" s="787">
        <f>N19/E19</f>
        <v>0.12871287128712872</v>
      </c>
      <c r="P19" s="783">
        <v>10</v>
      </c>
      <c r="Q19" s="784">
        <f>P19/E19</f>
        <v>9.9009900990099015E-2</v>
      </c>
      <c r="R19" s="786">
        <v>11</v>
      </c>
      <c r="S19" s="787">
        <f>R19/E19</f>
        <v>0.10891089108910891</v>
      </c>
      <c r="U19" s="755">
        <f t="shared" si="0"/>
        <v>101</v>
      </c>
      <c r="V19" s="222">
        <f t="shared" si="0"/>
        <v>0.99999999999999989</v>
      </c>
    </row>
    <row r="20" spans="2:22" ht="20.5" x14ac:dyDescent="0.25">
      <c r="B20" s="1066">
        <v>9257021</v>
      </c>
      <c r="C20" s="1020" t="s">
        <v>78</v>
      </c>
      <c r="D20" s="781" t="s">
        <v>947</v>
      </c>
      <c r="E20" s="1018">
        <v>164</v>
      </c>
      <c r="F20" s="785">
        <v>44</v>
      </c>
      <c r="G20" s="784">
        <f>F20/E20</f>
        <v>0.26829268292682928</v>
      </c>
      <c r="H20" s="785">
        <v>70</v>
      </c>
      <c r="I20" s="784">
        <f>H20/E20</f>
        <v>0.42682926829268292</v>
      </c>
      <c r="J20" s="785">
        <v>13</v>
      </c>
      <c r="K20" s="784">
        <f>J20/E20</f>
        <v>7.926829268292683E-2</v>
      </c>
      <c r="L20" s="785">
        <v>11</v>
      </c>
      <c r="M20" s="784">
        <f>L20/E20</f>
        <v>6.7073170731707321E-2</v>
      </c>
      <c r="N20" s="786">
        <v>9</v>
      </c>
      <c r="O20" s="787">
        <f>N20/E20</f>
        <v>5.4878048780487805E-2</v>
      </c>
      <c r="P20" s="785">
        <v>15</v>
      </c>
      <c r="Q20" s="784">
        <f>P20/E20</f>
        <v>9.1463414634146339E-2</v>
      </c>
      <c r="R20" s="786">
        <v>2</v>
      </c>
      <c r="S20" s="787">
        <f>R20/E20</f>
        <v>1.2195121951219513E-2</v>
      </c>
      <c r="U20" s="755">
        <f t="shared" si="0"/>
        <v>164</v>
      </c>
      <c r="V20" s="222">
        <f t="shared" si="0"/>
        <v>0.99999999999999989</v>
      </c>
    </row>
    <row r="21" spans="2:22" ht="20.5" x14ac:dyDescent="0.25">
      <c r="B21" s="1066">
        <v>9257015</v>
      </c>
      <c r="C21" s="1020" t="s">
        <v>55</v>
      </c>
      <c r="D21" s="781" t="s">
        <v>948</v>
      </c>
      <c r="E21" s="1018">
        <v>226</v>
      </c>
      <c r="F21" s="785">
        <v>75</v>
      </c>
      <c r="G21" s="784">
        <f>F21/E21</f>
        <v>0.33185840707964603</v>
      </c>
      <c r="H21" s="785">
        <v>87</v>
      </c>
      <c r="I21" s="784">
        <f>H21/E21</f>
        <v>0.38495575221238937</v>
      </c>
      <c r="J21" s="785">
        <v>4</v>
      </c>
      <c r="K21" s="784">
        <f>J21/E21</f>
        <v>1.7699115044247787E-2</v>
      </c>
      <c r="L21" s="785">
        <v>20</v>
      </c>
      <c r="M21" s="784">
        <f>L21/E21</f>
        <v>8.8495575221238937E-2</v>
      </c>
      <c r="N21" s="786">
        <v>5</v>
      </c>
      <c r="O21" s="787">
        <f>N21/E21</f>
        <v>2.2123893805309734E-2</v>
      </c>
      <c r="P21" s="785">
        <v>32</v>
      </c>
      <c r="Q21" s="784">
        <f>P21/E21</f>
        <v>0.1415929203539823</v>
      </c>
      <c r="R21" s="786">
        <v>3</v>
      </c>
      <c r="S21" s="787">
        <f>R21/E21</f>
        <v>1.3274336283185841E-2</v>
      </c>
      <c r="U21" s="755">
        <f t="shared" si="0"/>
        <v>226</v>
      </c>
      <c r="V21" s="222">
        <f t="shared" si="0"/>
        <v>1</v>
      </c>
    </row>
    <row r="22" spans="2:22" ht="20.5" x14ac:dyDescent="0.25">
      <c r="B22" s="1066">
        <v>9257016</v>
      </c>
      <c r="C22" s="1020" t="s">
        <v>80</v>
      </c>
      <c r="D22" s="781" t="s">
        <v>948</v>
      </c>
      <c r="E22" s="1018">
        <v>161</v>
      </c>
      <c r="F22" s="785">
        <v>29</v>
      </c>
      <c r="G22" s="784">
        <f>F22/E22</f>
        <v>0.18012422360248448</v>
      </c>
      <c r="H22" s="785">
        <v>25</v>
      </c>
      <c r="I22" s="784">
        <f>H22/E22</f>
        <v>0.15527950310559005</v>
      </c>
      <c r="J22" s="785">
        <v>1</v>
      </c>
      <c r="K22" s="784">
        <f>J22/E22</f>
        <v>6.2111801242236021E-3</v>
      </c>
      <c r="L22" s="785">
        <v>36</v>
      </c>
      <c r="M22" s="784">
        <f>L22/E22</f>
        <v>0.2236024844720497</v>
      </c>
      <c r="N22" s="786">
        <v>34</v>
      </c>
      <c r="O22" s="787">
        <f>N22/E22</f>
        <v>0.21118012422360249</v>
      </c>
      <c r="P22" s="785">
        <v>2</v>
      </c>
      <c r="Q22" s="784">
        <f>P22/E22</f>
        <v>1.2422360248447204E-2</v>
      </c>
      <c r="R22" s="786">
        <v>34</v>
      </c>
      <c r="S22" s="787">
        <f>R22/E22</f>
        <v>0.21118012422360249</v>
      </c>
      <c r="U22" s="755">
        <f t="shared" si="0"/>
        <v>161</v>
      </c>
      <c r="V22" s="222">
        <f t="shared" si="0"/>
        <v>1</v>
      </c>
    </row>
    <row r="24" spans="2:22" x14ac:dyDescent="0.25">
      <c r="E24" s="755">
        <f>SUM(E5:E23)</f>
        <v>1567</v>
      </c>
      <c r="U24" s="755">
        <f>SUM(U5:U23)</f>
        <v>1567</v>
      </c>
    </row>
    <row r="26" spans="2:22" ht="13" x14ac:dyDescent="0.3">
      <c r="B26" s="1067" t="s">
        <v>951</v>
      </c>
    </row>
    <row r="28" spans="2:22" ht="21" x14ac:dyDescent="0.25">
      <c r="C28" s="773" t="s">
        <v>66</v>
      </c>
      <c r="D28" s="774" t="s">
        <v>51</v>
      </c>
      <c r="E28" s="775" t="s">
        <v>688</v>
      </c>
      <c r="F28" s="776" t="s">
        <v>839</v>
      </c>
      <c r="G28" s="777" t="s">
        <v>858</v>
      </c>
      <c r="H28" s="776" t="s">
        <v>840</v>
      </c>
      <c r="I28" s="777" t="s">
        <v>880</v>
      </c>
      <c r="J28" s="776" t="s">
        <v>841</v>
      </c>
      <c r="K28" s="777" t="s">
        <v>881</v>
      </c>
      <c r="L28" s="776" t="s">
        <v>842</v>
      </c>
      <c r="M28" s="777" t="s">
        <v>882</v>
      </c>
      <c r="N28" s="778" t="s">
        <v>843</v>
      </c>
      <c r="O28" s="779" t="s">
        <v>883</v>
      </c>
      <c r="P28" s="776" t="s">
        <v>844</v>
      </c>
      <c r="Q28" s="777" t="s">
        <v>884</v>
      </c>
      <c r="R28" s="778" t="s">
        <v>845</v>
      </c>
      <c r="S28" s="779" t="s">
        <v>885</v>
      </c>
    </row>
    <row r="29" spans="2:22" ht="20.5" x14ac:dyDescent="0.25">
      <c r="C29" s="1020" t="s">
        <v>67</v>
      </c>
      <c r="D29" s="781">
        <v>4</v>
      </c>
      <c r="E29" s="1018">
        <v>64</v>
      </c>
      <c r="F29" s="783">
        <v>4</v>
      </c>
      <c r="G29" s="784">
        <f>F29/E29</f>
        <v>6.25E-2</v>
      </c>
      <c r="H29" s="785">
        <v>22</v>
      </c>
      <c r="I29" s="784">
        <f>H29/E29</f>
        <v>0.34375</v>
      </c>
      <c r="J29" s="785">
        <v>4</v>
      </c>
      <c r="K29" s="784">
        <f>J29/E29</f>
        <v>6.25E-2</v>
      </c>
      <c r="L29" s="785">
        <v>11</v>
      </c>
      <c r="M29" s="784">
        <f>L29/E29</f>
        <v>0.171875</v>
      </c>
      <c r="N29" s="786">
        <v>3</v>
      </c>
      <c r="O29" s="787">
        <f>N29/E29</f>
        <v>4.6875E-2</v>
      </c>
      <c r="P29" s="785">
        <v>11</v>
      </c>
      <c r="Q29" s="784">
        <f>P29/E29</f>
        <v>0.171875</v>
      </c>
      <c r="R29" s="786">
        <v>9</v>
      </c>
      <c r="S29" s="787">
        <f>R29/E29</f>
        <v>0.140625</v>
      </c>
    </row>
    <row r="30" spans="2:22" ht="20.5" x14ac:dyDescent="0.25">
      <c r="C30" s="1020" t="s">
        <v>68</v>
      </c>
      <c r="D30" s="781" t="s">
        <v>946</v>
      </c>
      <c r="E30" s="1018">
        <v>76</v>
      </c>
      <c r="F30" s="783">
        <v>6</v>
      </c>
      <c r="G30" s="784">
        <f>F30/E30</f>
        <v>7.8947368421052627E-2</v>
      </c>
      <c r="H30" s="785">
        <v>27</v>
      </c>
      <c r="I30" s="784">
        <f>H30/E30</f>
        <v>0.35526315789473684</v>
      </c>
      <c r="J30" s="785">
        <v>5</v>
      </c>
      <c r="K30" s="784">
        <f>J30/E30</f>
        <v>6.5789473684210523E-2</v>
      </c>
      <c r="L30" s="785">
        <v>11</v>
      </c>
      <c r="M30" s="784">
        <f>L30/E30</f>
        <v>0.14473684210526316</v>
      </c>
      <c r="N30" s="786">
        <v>11</v>
      </c>
      <c r="O30" s="787">
        <f>N30/E30</f>
        <v>0.14473684210526316</v>
      </c>
      <c r="P30" s="785">
        <v>12</v>
      </c>
      <c r="Q30" s="784">
        <f>P30/E30</f>
        <v>0.15789473684210525</v>
      </c>
      <c r="R30" s="786">
        <v>4</v>
      </c>
      <c r="S30" s="787">
        <f>R30/E30</f>
        <v>5.2631578947368418E-2</v>
      </c>
    </row>
    <row r="31" spans="2:22" ht="20.5" x14ac:dyDescent="0.25">
      <c r="C31" s="1020" t="s">
        <v>69</v>
      </c>
      <c r="D31" s="781">
        <v>4</v>
      </c>
      <c r="E31" s="1018">
        <f>F31+H31+J31+L31+N31+P31+R31</f>
        <v>74</v>
      </c>
      <c r="F31" s="783">
        <v>12</v>
      </c>
      <c r="G31" s="784">
        <f>F31/E31</f>
        <v>0.16216216216216217</v>
      </c>
      <c r="H31" s="785">
        <v>26</v>
      </c>
      <c r="I31" s="784">
        <f>H31/E31</f>
        <v>0.35135135135135137</v>
      </c>
      <c r="J31" s="785">
        <v>5</v>
      </c>
      <c r="K31" s="784">
        <f>J31/E31</f>
        <v>6.7567567567567571E-2</v>
      </c>
      <c r="L31" s="785">
        <v>13</v>
      </c>
      <c r="M31" s="784">
        <f>L31/E31</f>
        <v>0.17567567567567569</v>
      </c>
      <c r="N31" s="786">
        <v>4</v>
      </c>
      <c r="O31" s="787">
        <f>N31/E31</f>
        <v>5.4054054054054057E-2</v>
      </c>
      <c r="P31" s="785">
        <v>10</v>
      </c>
      <c r="Q31" s="784">
        <f>P31/E31</f>
        <v>0.13513513513513514</v>
      </c>
      <c r="R31" s="786">
        <v>4</v>
      </c>
      <c r="S31" s="787">
        <f>R31/E31</f>
        <v>5.4054054054054057E-2</v>
      </c>
    </row>
    <row r="32" spans="2:22" ht="20.5" x14ac:dyDescent="0.25">
      <c r="C32" s="1020" t="s">
        <v>70</v>
      </c>
      <c r="D32" s="781">
        <v>4</v>
      </c>
      <c r="E32" s="1018">
        <v>53</v>
      </c>
      <c r="F32" s="783">
        <v>3</v>
      </c>
      <c r="G32" s="784">
        <f>F32/E32</f>
        <v>5.6603773584905662E-2</v>
      </c>
      <c r="H32" s="785">
        <v>17</v>
      </c>
      <c r="I32" s="784">
        <f>H32/E32</f>
        <v>0.32075471698113206</v>
      </c>
      <c r="J32" s="785">
        <v>2</v>
      </c>
      <c r="K32" s="784">
        <f>J32/E32</f>
        <v>3.7735849056603772E-2</v>
      </c>
      <c r="L32" s="785">
        <v>9</v>
      </c>
      <c r="M32" s="784">
        <f>L32/E32</f>
        <v>0.16981132075471697</v>
      </c>
      <c r="N32" s="786">
        <v>9</v>
      </c>
      <c r="O32" s="787">
        <f>N32/E32</f>
        <v>0.16981132075471697</v>
      </c>
      <c r="P32" s="785">
        <v>8</v>
      </c>
      <c r="Q32" s="784">
        <f>P32/E32</f>
        <v>0.15094339622641509</v>
      </c>
      <c r="R32" s="786">
        <v>5</v>
      </c>
      <c r="S32" s="787">
        <f>R32/E32</f>
        <v>9.4339622641509441E-2</v>
      </c>
    </row>
    <row r="33" spans="2:19" ht="20.5" x14ac:dyDescent="0.25">
      <c r="C33" s="1020" t="s">
        <v>71</v>
      </c>
      <c r="D33" s="781">
        <v>4</v>
      </c>
      <c r="E33" s="1018">
        <v>83</v>
      </c>
      <c r="F33" s="785">
        <v>9</v>
      </c>
      <c r="G33" s="784">
        <f>F33/E33</f>
        <v>0.10843373493975904</v>
      </c>
      <c r="H33" s="785">
        <v>36</v>
      </c>
      <c r="I33" s="784">
        <f>H33/E33</f>
        <v>0.43373493975903615</v>
      </c>
      <c r="J33" s="785">
        <v>2</v>
      </c>
      <c r="K33" s="784">
        <f>J33/E33</f>
        <v>2.4096385542168676E-2</v>
      </c>
      <c r="L33" s="785">
        <v>13</v>
      </c>
      <c r="M33" s="784">
        <f>L33/E33</f>
        <v>0.15662650602409639</v>
      </c>
      <c r="N33" s="786">
        <v>9</v>
      </c>
      <c r="O33" s="787">
        <f>N33/E33</f>
        <v>0.10843373493975904</v>
      </c>
      <c r="P33" s="785">
        <v>6</v>
      </c>
      <c r="Q33" s="784">
        <f>P33/E33</f>
        <v>7.2289156626506021E-2</v>
      </c>
      <c r="R33" s="786">
        <v>8</v>
      </c>
      <c r="S33" s="787">
        <f>R33/E33</f>
        <v>9.6385542168674704E-2</v>
      </c>
    </row>
    <row r="34" spans="2:19" x14ac:dyDescent="0.25">
      <c r="C34" s="1020" t="s">
        <v>98</v>
      </c>
      <c r="D34" s="781" t="s">
        <v>949</v>
      </c>
      <c r="E34" s="1018">
        <f>F34+H34+J34+L34+N34+P34+R34</f>
        <v>0</v>
      </c>
      <c r="F34" s="785">
        <v>0</v>
      </c>
      <c r="G34" s="784">
        <v>0</v>
      </c>
      <c r="H34" s="785">
        <v>0</v>
      </c>
      <c r="I34" s="784">
        <v>0</v>
      </c>
      <c r="J34" s="785">
        <v>0</v>
      </c>
      <c r="K34" s="784">
        <v>1</v>
      </c>
      <c r="L34" s="785">
        <v>0</v>
      </c>
      <c r="M34" s="784">
        <v>0</v>
      </c>
      <c r="N34" s="786">
        <v>0</v>
      </c>
      <c r="O34" s="787">
        <v>0</v>
      </c>
      <c r="P34" s="785">
        <v>0</v>
      </c>
      <c r="Q34" s="784">
        <v>0</v>
      </c>
      <c r="R34" s="786">
        <v>0</v>
      </c>
      <c r="S34" s="787">
        <v>0</v>
      </c>
    </row>
    <row r="35" spans="2:19" ht="20.5" x14ac:dyDescent="0.25">
      <c r="C35" s="1020" t="s">
        <v>72</v>
      </c>
      <c r="D35" s="781" t="s">
        <v>946</v>
      </c>
      <c r="E35" s="1018">
        <v>95</v>
      </c>
      <c r="F35" s="785">
        <v>17</v>
      </c>
      <c r="G35" s="784">
        <f>F35/E35</f>
        <v>0.17894736842105263</v>
      </c>
      <c r="H35" s="785">
        <v>42</v>
      </c>
      <c r="I35" s="784">
        <f>H35/E35</f>
        <v>0.44210526315789472</v>
      </c>
      <c r="J35" s="785">
        <v>12</v>
      </c>
      <c r="K35" s="784">
        <f>J35/E35</f>
        <v>0.12631578947368421</v>
      </c>
      <c r="L35" s="785">
        <v>15</v>
      </c>
      <c r="M35" s="784">
        <f>L35/E35</f>
        <v>0.15789473684210525</v>
      </c>
      <c r="N35" s="786">
        <v>4</v>
      </c>
      <c r="O35" s="787">
        <f>N35/E35</f>
        <v>4.2105263157894736E-2</v>
      </c>
      <c r="P35" s="785">
        <v>5</v>
      </c>
      <c r="Q35" s="784">
        <f>P35/E35</f>
        <v>5.2631578947368418E-2</v>
      </c>
      <c r="R35" s="786">
        <v>0</v>
      </c>
      <c r="S35" s="787">
        <f>R35/E35</f>
        <v>0</v>
      </c>
    </row>
    <row r="36" spans="2:19" ht="20.5" x14ac:dyDescent="0.25">
      <c r="C36" s="1020" t="s">
        <v>73</v>
      </c>
      <c r="D36" s="781">
        <v>4</v>
      </c>
      <c r="E36" s="1018">
        <v>97</v>
      </c>
      <c r="F36" s="785">
        <v>10</v>
      </c>
      <c r="G36" s="784">
        <f>F36/E36</f>
        <v>0.10309278350515463</v>
      </c>
      <c r="H36" s="785">
        <v>51</v>
      </c>
      <c r="I36" s="784">
        <f>H36/E36</f>
        <v>0.52577319587628868</v>
      </c>
      <c r="J36" s="785">
        <v>8</v>
      </c>
      <c r="K36" s="784">
        <f>J36/E36</f>
        <v>8.247422680412371E-2</v>
      </c>
      <c r="L36" s="785">
        <v>9</v>
      </c>
      <c r="M36" s="784">
        <f>L36/E36</f>
        <v>9.2783505154639179E-2</v>
      </c>
      <c r="N36" s="789">
        <v>1</v>
      </c>
      <c r="O36" s="787">
        <f>N36/E36</f>
        <v>1.0309278350515464E-2</v>
      </c>
      <c r="P36" s="785">
        <v>18</v>
      </c>
      <c r="Q36" s="784">
        <f>P36/E36</f>
        <v>0.18556701030927836</v>
      </c>
      <c r="R36" s="789">
        <v>0</v>
      </c>
      <c r="S36" s="787">
        <f>R36/E36</f>
        <v>0</v>
      </c>
    </row>
    <row r="37" spans="2:19" ht="20.5" x14ac:dyDescent="0.25">
      <c r="C37" s="1020" t="s">
        <v>74</v>
      </c>
      <c r="D37" s="781" t="s">
        <v>946</v>
      </c>
      <c r="E37" s="1018">
        <v>109</v>
      </c>
      <c r="F37" s="785">
        <v>46</v>
      </c>
      <c r="G37" s="784">
        <f>F37/E37</f>
        <v>0.42201834862385323</v>
      </c>
      <c r="H37" s="785">
        <v>29</v>
      </c>
      <c r="I37" s="784">
        <f>H37/E37</f>
        <v>0.26605504587155965</v>
      </c>
      <c r="J37" s="785">
        <v>17</v>
      </c>
      <c r="K37" s="784">
        <f>J37/E37</f>
        <v>0.15596330275229359</v>
      </c>
      <c r="L37" s="785">
        <v>5</v>
      </c>
      <c r="M37" s="784">
        <f>L37/E37</f>
        <v>4.5871559633027525E-2</v>
      </c>
      <c r="N37" s="786">
        <v>5</v>
      </c>
      <c r="O37" s="787">
        <f>N37/E37</f>
        <v>4.5871559633027525E-2</v>
      </c>
      <c r="P37" s="785">
        <v>6</v>
      </c>
      <c r="Q37" s="784">
        <f>P37/E37</f>
        <v>5.5045871559633031E-2</v>
      </c>
      <c r="R37" s="786">
        <v>1</v>
      </c>
      <c r="S37" s="787">
        <f>R37/E37</f>
        <v>9.1743119266055051E-3</v>
      </c>
    </row>
    <row r="38" spans="2:19" ht="20.5" x14ac:dyDescent="0.25">
      <c r="C38" s="1020" t="s">
        <v>75</v>
      </c>
      <c r="D38" s="781">
        <v>4</v>
      </c>
      <c r="E38" s="1018">
        <v>142</v>
      </c>
      <c r="F38" s="785">
        <v>61</v>
      </c>
      <c r="G38" s="784">
        <f>F38/E38</f>
        <v>0.42957746478873238</v>
      </c>
      <c r="H38" s="785">
        <v>36</v>
      </c>
      <c r="I38" s="784">
        <f>H38/E38</f>
        <v>0.25352112676056338</v>
      </c>
      <c r="J38" s="785">
        <v>22</v>
      </c>
      <c r="K38" s="784">
        <f>J38/E38</f>
        <v>0.15492957746478872</v>
      </c>
      <c r="L38" s="785">
        <v>3</v>
      </c>
      <c r="M38" s="784">
        <f>L38/E38</f>
        <v>2.1126760563380281E-2</v>
      </c>
      <c r="N38" s="786">
        <v>6</v>
      </c>
      <c r="O38" s="787">
        <f>N38/E38</f>
        <v>4.2253521126760563E-2</v>
      </c>
      <c r="P38" s="785">
        <v>12</v>
      </c>
      <c r="Q38" s="784">
        <f>P38/E38</f>
        <v>8.4507042253521125E-2</v>
      </c>
      <c r="R38" s="786">
        <v>2</v>
      </c>
      <c r="S38" s="787">
        <f>R38/E38</f>
        <v>1.4084507042253521E-2</v>
      </c>
    </row>
    <row r="39" spans="2:19" ht="20.5" x14ac:dyDescent="0.25">
      <c r="C39" s="1020" t="s">
        <v>76</v>
      </c>
      <c r="D39" s="781">
        <v>4</v>
      </c>
      <c r="E39" s="1018">
        <v>129</v>
      </c>
      <c r="F39" s="785">
        <v>22</v>
      </c>
      <c r="G39" s="784">
        <f>F39/E39</f>
        <v>0.17054263565891473</v>
      </c>
      <c r="H39" s="785">
        <v>75</v>
      </c>
      <c r="I39" s="784">
        <f>H39/E39</f>
        <v>0.58139534883720934</v>
      </c>
      <c r="J39" s="785">
        <v>11</v>
      </c>
      <c r="K39" s="784">
        <f>J39/E39</f>
        <v>8.5271317829457363E-2</v>
      </c>
      <c r="L39" s="785">
        <v>2</v>
      </c>
      <c r="M39" s="784">
        <f>L39/E39</f>
        <v>1.5503875968992248E-2</v>
      </c>
      <c r="N39" s="786">
        <v>4</v>
      </c>
      <c r="O39" s="787">
        <f>N39/E39</f>
        <v>3.1007751937984496E-2</v>
      </c>
      <c r="P39" s="785">
        <v>15</v>
      </c>
      <c r="Q39" s="784">
        <f>P39/E39</f>
        <v>0.11627906976744186</v>
      </c>
      <c r="R39" s="786">
        <v>0</v>
      </c>
      <c r="S39" s="787">
        <f>R39/E39</f>
        <v>0</v>
      </c>
    </row>
    <row r="40" spans="2:19" ht="20.5" x14ac:dyDescent="0.25">
      <c r="C40" s="1020" t="s">
        <v>848</v>
      </c>
      <c r="D40" s="781" t="s">
        <v>949</v>
      </c>
      <c r="E40" s="1018">
        <f>F40+H40+J40+L40+N40+P40+R40</f>
        <v>0</v>
      </c>
      <c r="F40" s="785">
        <v>0</v>
      </c>
      <c r="G40" s="784">
        <v>0</v>
      </c>
      <c r="H40" s="785">
        <v>0</v>
      </c>
      <c r="I40" s="784">
        <v>0</v>
      </c>
      <c r="J40" s="785">
        <v>0</v>
      </c>
      <c r="K40" s="784">
        <v>1</v>
      </c>
      <c r="L40" s="785">
        <v>0</v>
      </c>
      <c r="M40" s="784">
        <v>0</v>
      </c>
      <c r="N40" s="786">
        <v>0</v>
      </c>
      <c r="O40" s="787">
        <v>0</v>
      </c>
      <c r="P40" s="785">
        <v>0</v>
      </c>
      <c r="Q40" s="784">
        <v>0</v>
      </c>
      <c r="R40" s="786">
        <v>0</v>
      </c>
      <c r="S40" s="787">
        <v>0</v>
      </c>
    </row>
    <row r="41" spans="2:19" x14ac:dyDescent="0.25">
      <c r="C41" s="1020" t="s">
        <v>770</v>
      </c>
      <c r="D41" s="781" t="s">
        <v>949</v>
      </c>
      <c r="E41" s="1018">
        <f>F41+H41+J41+L41+N41+P41+R41</f>
        <v>0</v>
      </c>
      <c r="F41" s="785">
        <v>0</v>
      </c>
      <c r="G41" s="784">
        <v>0</v>
      </c>
      <c r="H41" s="785">
        <v>0</v>
      </c>
      <c r="I41" s="784">
        <v>0</v>
      </c>
      <c r="J41" s="785">
        <v>0</v>
      </c>
      <c r="K41" s="784">
        <v>1</v>
      </c>
      <c r="L41" s="785">
        <v>0</v>
      </c>
      <c r="M41" s="784">
        <v>0</v>
      </c>
      <c r="N41" s="786">
        <v>0</v>
      </c>
      <c r="O41" s="787">
        <v>0</v>
      </c>
      <c r="P41" s="785">
        <v>0</v>
      </c>
      <c r="Q41" s="784">
        <v>0</v>
      </c>
      <c r="R41" s="786">
        <v>0</v>
      </c>
      <c r="S41" s="787">
        <v>0</v>
      </c>
    </row>
    <row r="42" spans="2:19" ht="20.5" x14ac:dyDescent="0.25">
      <c r="C42" s="1020" t="s">
        <v>771</v>
      </c>
      <c r="D42" s="781" t="s">
        <v>949</v>
      </c>
      <c r="E42" s="1018">
        <f>F42+H42+J42+L42+N42+P42+R42</f>
        <v>0</v>
      </c>
      <c r="F42" s="783">
        <v>0</v>
      </c>
      <c r="G42" s="784">
        <v>0</v>
      </c>
      <c r="H42" s="785">
        <v>0</v>
      </c>
      <c r="I42" s="784">
        <v>0</v>
      </c>
      <c r="J42" s="785">
        <v>0</v>
      </c>
      <c r="K42" s="784">
        <v>1</v>
      </c>
      <c r="L42" s="785">
        <v>0</v>
      </c>
      <c r="M42" s="784">
        <v>0</v>
      </c>
      <c r="N42" s="786">
        <v>0</v>
      </c>
      <c r="O42" s="787">
        <v>0</v>
      </c>
      <c r="P42" s="785">
        <v>0</v>
      </c>
      <c r="Q42" s="784">
        <v>0</v>
      </c>
      <c r="R42" s="786">
        <v>0</v>
      </c>
      <c r="S42" s="787">
        <v>0</v>
      </c>
    </row>
    <row r="43" spans="2:19" ht="20.5" x14ac:dyDescent="0.25">
      <c r="C43" s="1020" t="s">
        <v>77</v>
      </c>
      <c r="D43" s="781">
        <v>4</v>
      </c>
      <c r="E43" s="1018">
        <v>95</v>
      </c>
      <c r="F43" s="785">
        <v>9</v>
      </c>
      <c r="G43" s="784">
        <f>F43/E43</f>
        <v>9.4736842105263161E-2</v>
      </c>
      <c r="H43" s="783">
        <v>34</v>
      </c>
      <c r="I43" s="784">
        <f>H43/E43</f>
        <v>0.35789473684210527</v>
      </c>
      <c r="J43" s="783">
        <v>4</v>
      </c>
      <c r="K43" s="784">
        <f>J43/E43</f>
        <v>4.2105263157894736E-2</v>
      </c>
      <c r="L43" s="783">
        <v>9</v>
      </c>
      <c r="M43" s="784">
        <f>L43/E43</f>
        <v>9.4736842105263161E-2</v>
      </c>
      <c r="N43" s="786">
        <v>14</v>
      </c>
      <c r="O43" s="787">
        <f>N43/E43</f>
        <v>0.14736842105263157</v>
      </c>
      <c r="P43" s="783">
        <v>13</v>
      </c>
      <c r="Q43" s="784">
        <f>P43/E43</f>
        <v>0.1368421052631579</v>
      </c>
      <c r="R43" s="786">
        <v>12</v>
      </c>
      <c r="S43" s="787">
        <f>R43/E43</f>
        <v>0.12631578947368421</v>
      </c>
    </row>
    <row r="44" spans="2:19" ht="20.5" x14ac:dyDescent="0.25">
      <c r="C44" s="1020" t="s">
        <v>78</v>
      </c>
      <c r="D44" s="781" t="s">
        <v>947</v>
      </c>
      <c r="E44" s="1018">
        <v>163</v>
      </c>
      <c r="F44" s="785">
        <v>47</v>
      </c>
      <c r="G44" s="784">
        <f>F44/E44</f>
        <v>0.28834355828220859</v>
      </c>
      <c r="H44" s="785">
        <v>58</v>
      </c>
      <c r="I44" s="784">
        <f>H44/E44</f>
        <v>0.35582822085889571</v>
      </c>
      <c r="J44" s="785">
        <v>16</v>
      </c>
      <c r="K44" s="784">
        <f>J44/E44</f>
        <v>9.815950920245399E-2</v>
      </c>
      <c r="L44" s="785">
        <v>10</v>
      </c>
      <c r="M44" s="784">
        <f>L44/E44</f>
        <v>6.1349693251533742E-2</v>
      </c>
      <c r="N44" s="786">
        <v>10</v>
      </c>
      <c r="O44" s="787">
        <f>N44/E44</f>
        <v>6.1349693251533742E-2</v>
      </c>
      <c r="P44" s="785">
        <v>20</v>
      </c>
      <c r="Q44" s="784">
        <f>P44/E44</f>
        <v>0.12269938650306748</v>
      </c>
      <c r="R44" s="786">
        <v>2</v>
      </c>
      <c r="S44" s="787">
        <f>R44/E44</f>
        <v>1.2269938650306749E-2</v>
      </c>
    </row>
    <row r="45" spans="2:19" ht="20.5" x14ac:dyDescent="0.25">
      <c r="C45" s="1020" t="s">
        <v>55</v>
      </c>
      <c r="D45" s="781" t="s">
        <v>948</v>
      </c>
      <c r="E45" s="1018">
        <v>232</v>
      </c>
      <c r="F45" s="785">
        <v>88</v>
      </c>
      <c r="G45" s="784">
        <f>F45/E45</f>
        <v>0.37931034482758619</v>
      </c>
      <c r="H45" s="785">
        <v>77</v>
      </c>
      <c r="I45" s="784">
        <f>H45/E45</f>
        <v>0.33189655172413796</v>
      </c>
      <c r="J45" s="785">
        <v>6</v>
      </c>
      <c r="K45" s="784">
        <f>J45/E45</f>
        <v>2.5862068965517241E-2</v>
      </c>
      <c r="L45" s="785">
        <v>15</v>
      </c>
      <c r="M45" s="784">
        <f>L45/E45</f>
        <v>6.4655172413793108E-2</v>
      </c>
      <c r="N45" s="786">
        <v>9</v>
      </c>
      <c r="O45" s="787">
        <f>N45/E45</f>
        <v>3.8793103448275863E-2</v>
      </c>
      <c r="P45" s="785">
        <v>34</v>
      </c>
      <c r="Q45" s="784">
        <f>P45/E45</f>
        <v>0.14655172413793102</v>
      </c>
      <c r="R45" s="786">
        <v>3</v>
      </c>
      <c r="S45" s="787">
        <f>R45/E45</f>
        <v>1.2931034482758621E-2</v>
      </c>
    </row>
    <row r="46" spans="2:19" ht="20.5" x14ac:dyDescent="0.25">
      <c r="C46" s="1020" t="s">
        <v>80</v>
      </c>
      <c r="D46" s="781" t="s">
        <v>948</v>
      </c>
      <c r="E46" s="1018">
        <v>152</v>
      </c>
      <c r="F46" s="785">
        <v>32</v>
      </c>
      <c r="G46" s="784">
        <f>F46/E46</f>
        <v>0.21052631578947367</v>
      </c>
      <c r="H46" s="785">
        <v>21</v>
      </c>
      <c r="I46" s="784">
        <f>H46/E46</f>
        <v>0.13815789473684212</v>
      </c>
      <c r="J46" s="785">
        <v>1</v>
      </c>
      <c r="K46" s="784">
        <f>J46/E46</f>
        <v>6.5789473684210523E-3</v>
      </c>
      <c r="L46" s="785">
        <v>33</v>
      </c>
      <c r="M46" s="784">
        <f>L46/E46</f>
        <v>0.21710526315789475</v>
      </c>
      <c r="N46" s="786">
        <v>30</v>
      </c>
      <c r="O46" s="787">
        <f>N46/E46</f>
        <v>0.19736842105263158</v>
      </c>
      <c r="P46" s="785">
        <v>1</v>
      </c>
      <c r="Q46" s="784">
        <f>P46/E46</f>
        <v>6.5789473684210523E-3</v>
      </c>
      <c r="R46" s="786">
        <v>34</v>
      </c>
      <c r="S46" s="787">
        <f>R46/E46</f>
        <v>0.22368421052631579</v>
      </c>
    </row>
    <row r="48" spans="2:19" ht="13" x14ac:dyDescent="0.3">
      <c r="B48" s="1024" t="s">
        <v>996</v>
      </c>
    </row>
    <row r="50" spans="3:19" ht="21" x14ac:dyDescent="0.25">
      <c r="C50" s="773" t="s">
        <v>66</v>
      </c>
      <c r="D50" s="774" t="s">
        <v>51</v>
      </c>
      <c r="E50" s="775" t="s">
        <v>688</v>
      </c>
      <c r="F50" s="776" t="s">
        <v>839</v>
      </c>
      <c r="G50" s="777" t="s">
        <v>858</v>
      </c>
      <c r="H50" s="776" t="s">
        <v>840</v>
      </c>
      <c r="I50" s="777" t="s">
        <v>880</v>
      </c>
      <c r="J50" s="776" t="s">
        <v>841</v>
      </c>
      <c r="K50" s="777" t="s">
        <v>881</v>
      </c>
      <c r="L50" s="776" t="s">
        <v>842</v>
      </c>
      <c r="M50" s="777" t="s">
        <v>882</v>
      </c>
      <c r="N50" s="778" t="s">
        <v>843</v>
      </c>
      <c r="O50" s="779" t="s">
        <v>883</v>
      </c>
      <c r="P50" s="776" t="s">
        <v>844</v>
      </c>
      <c r="Q50" s="777" t="s">
        <v>884</v>
      </c>
      <c r="R50" s="778" t="s">
        <v>845</v>
      </c>
      <c r="S50" s="779" t="s">
        <v>885</v>
      </c>
    </row>
    <row r="51" spans="3:19" ht="20.5" x14ac:dyDescent="0.25">
      <c r="C51" s="780" t="s">
        <v>67</v>
      </c>
      <c r="D51" s="781">
        <v>3</v>
      </c>
      <c r="E51" s="782">
        <f t="shared" ref="E51:S66" si="1">E5-E29</f>
        <v>-1</v>
      </c>
      <c r="F51" s="822">
        <f t="shared" si="1"/>
        <v>-3</v>
      </c>
      <c r="G51" s="821">
        <f t="shared" si="1"/>
        <v>-4.6626984126984128E-2</v>
      </c>
      <c r="H51" s="822">
        <f t="shared" si="1"/>
        <v>-2</v>
      </c>
      <c r="I51" s="821">
        <f t="shared" si="1"/>
        <v>-2.6289682539682557E-2</v>
      </c>
      <c r="J51" s="822">
        <f t="shared" si="1"/>
        <v>2</v>
      </c>
      <c r="K51" s="821">
        <f t="shared" si="1"/>
        <v>3.2738095238095233E-2</v>
      </c>
      <c r="L51" s="822">
        <f t="shared" si="1"/>
        <v>0</v>
      </c>
      <c r="M51" s="821">
        <f t="shared" si="1"/>
        <v>2.7281746031745935E-3</v>
      </c>
      <c r="N51" s="822">
        <f t="shared" si="1"/>
        <v>1</v>
      </c>
      <c r="O51" s="821">
        <f t="shared" si="1"/>
        <v>1.6617063492063489E-2</v>
      </c>
      <c r="P51" s="822">
        <f t="shared" si="1"/>
        <v>1</v>
      </c>
      <c r="Q51" s="821">
        <f t="shared" si="1"/>
        <v>1.8601190476190466E-2</v>
      </c>
      <c r="R51" s="822">
        <f t="shared" si="1"/>
        <v>0</v>
      </c>
      <c r="S51" s="821">
        <f t="shared" si="1"/>
        <v>2.2321428571428492E-3</v>
      </c>
    </row>
    <row r="52" spans="3:19" ht="20.5" x14ac:dyDescent="0.25">
      <c r="C52" s="780" t="s">
        <v>68</v>
      </c>
      <c r="D52" s="781">
        <v>3</v>
      </c>
      <c r="E52" s="782">
        <f t="shared" si="1"/>
        <v>4</v>
      </c>
      <c r="F52" s="822">
        <f t="shared" si="1"/>
        <v>-2</v>
      </c>
      <c r="G52" s="821">
        <f t="shared" si="1"/>
        <v>-2.8947368421052624E-2</v>
      </c>
      <c r="H52" s="822">
        <f t="shared" si="1"/>
        <v>5</v>
      </c>
      <c r="I52" s="821">
        <f t="shared" si="1"/>
        <v>4.4736842105263186E-2</v>
      </c>
      <c r="J52" s="822">
        <f t="shared" si="1"/>
        <v>0</v>
      </c>
      <c r="K52" s="821">
        <f t="shared" si="1"/>
        <v>-3.2894736842105227E-3</v>
      </c>
      <c r="L52" s="822">
        <f t="shared" si="1"/>
        <v>1</v>
      </c>
      <c r="M52" s="821">
        <f t="shared" si="1"/>
        <v>5.2631578947368307E-3</v>
      </c>
      <c r="N52" s="822">
        <f t="shared" si="1"/>
        <v>-1</v>
      </c>
      <c r="O52" s="821">
        <f t="shared" si="1"/>
        <v>-1.9736842105263164E-2</v>
      </c>
      <c r="P52" s="822">
        <f t="shared" si="1"/>
        <v>0</v>
      </c>
      <c r="Q52" s="821">
        <f t="shared" si="1"/>
        <v>-7.8947368421052599E-3</v>
      </c>
      <c r="R52" s="822">
        <f t="shared" si="1"/>
        <v>1</v>
      </c>
      <c r="S52" s="821">
        <f t="shared" si="1"/>
        <v>9.8684210526315819E-3</v>
      </c>
    </row>
    <row r="53" spans="3:19" ht="20.5" x14ac:dyDescent="0.25">
      <c r="C53" s="780" t="s">
        <v>69</v>
      </c>
      <c r="D53" s="781">
        <v>3</v>
      </c>
      <c r="E53" s="782">
        <f t="shared" si="1"/>
        <v>3</v>
      </c>
      <c r="F53" s="822">
        <f t="shared" si="1"/>
        <v>0</v>
      </c>
      <c r="G53" s="821">
        <f t="shared" si="1"/>
        <v>-6.3180063180063306E-3</v>
      </c>
      <c r="H53" s="822">
        <f t="shared" si="1"/>
        <v>5</v>
      </c>
      <c r="I53" s="821">
        <f t="shared" si="1"/>
        <v>5.124605124605125E-2</v>
      </c>
      <c r="J53" s="822">
        <f t="shared" si="1"/>
        <v>-2</v>
      </c>
      <c r="K53" s="821">
        <f t="shared" si="1"/>
        <v>-2.8606528606528611E-2</v>
      </c>
      <c r="L53" s="822">
        <f t="shared" si="1"/>
        <v>-1</v>
      </c>
      <c r="M53" s="821">
        <f t="shared" si="1"/>
        <v>-1.9831519831519845E-2</v>
      </c>
      <c r="N53" s="822">
        <f t="shared" si="1"/>
        <v>0</v>
      </c>
      <c r="O53" s="821">
        <f t="shared" si="1"/>
        <v>-2.1060021060021056E-3</v>
      </c>
      <c r="P53" s="822">
        <f t="shared" si="1"/>
        <v>1</v>
      </c>
      <c r="Q53" s="821">
        <f t="shared" si="1"/>
        <v>7.7220077220077066E-3</v>
      </c>
      <c r="R53" s="822">
        <f t="shared" si="1"/>
        <v>0</v>
      </c>
      <c r="S53" s="821">
        <f t="shared" si="1"/>
        <v>-2.1060021060021056E-3</v>
      </c>
    </row>
    <row r="54" spans="3:19" ht="20.5" x14ac:dyDescent="0.25">
      <c r="C54" s="780" t="s">
        <v>70</v>
      </c>
      <c r="D54" s="781">
        <v>3</v>
      </c>
      <c r="E54" s="782">
        <f t="shared" si="1"/>
        <v>0</v>
      </c>
      <c r="F54" s="822">
        <f t="shared" si="1"/>
        <v>0</v>
      </c>
      <c r="G54" s="821">
        <f t="shared" si="1"/>
        <v>0</v>
      </c>
      <c r="H54" s="822">
        <f t="shared" si="1"/>
        <v>2</v>
      </c>
      <c r="I54" s="821">
        <f t="shared" si="1"/>
        <v>3.7735849056603765E-2</v>
      </c>
      <c r="J54" s="822">
        <f t="shared" si="1"/>
        <v>-1</v>
      </c>
      <c r="K54" s="821">
        <f t="shared" si="1"/>
        <v>-1.8867924528301886E-2</v>
      </c>
      <c r="L54" s="822">
        <f t="shared" si="1"/>
        <v>0</v>
      </c>
      <c r="M54" s="821">
        <f t="shared" si="1"/>
        <v>0</v>
      </c>
      <c r="N54" s="822">
        <f t="shared" si="1"/>
        <v>-2</v>
      </c>
      <c r="O54" s="821">
        <f t="shared" si="1"/>
        <v>-3.7735849056603765E-2</v>
      </c>
      <c r="P54" s="822">
        <f t="shared" si="1"/>
        <v>0</v>
      </c>
      <c r="Q54" s="821">
        <f t="shared" si="1"/>
        <v>0</v>
      </c>
      <c r="R54" s="822">
        <f t="shared" si="1"/>
        <v>1</v>
      </c>
      <c r="S54" s="821">
        <f t="shared" si="1"/>
        <v>1.8867924528301883E-2</v>
      </c>
    </row>
    <row r="55" spans="3:19" ht="20.5" x14ac:dyDescent="0.25">
      <c r="C55" s="780" t="s">
        <v>71</v>
      </c>
      <c r="D55" s="781">
        <v>3</v>
      </c>
      <c r="E55" s="782">
        <f t="shared" si="1"/>
        <v>0</v>
      </c>
      <c r="F55" s="822">
        <f t="shared" si="1"/>
        <v>-2</v>
      </c>
      <c r="G55" s="821">
        <f t="shared" si="1"/>
        <v>-2.4096385542168683E-2</v>
      </c>
      <c r="H55" s="822">
        <f t="shared" si="1"/>
        <v>2</v>
      </c>
      <c r="I55" s="821">
        <f t="shared" si="1"/>
        <v>2.4096385542168641E-2</v>
      </c>
      <c r="J55" s="822">
        <f t="shared" si="1"/>
        <v>-1</v>
      </c>
      <c r="K55" s="821">
        <f t="shared" si="1"/>
        <v>-1.2048192771084338E-2</v>
      </c>
      <c r="L55" s="822">
        <f t="shared" si="1"/>
        <v>2</v>
      </c>
      <c r="M55" s="821">
        <f t="shared" si="1"/>
        <v>2.4096385542168669E-2</v>
      </c>
      <c r="N55" s="822">
        <f t="shared" si="1"/>
        <v>-2</v>
      </c>
      <c r="O55" s="821">
        <f t="shared" si="1"/>
        <v>-2.4096385542168683E-2</v>
      </c>
      <c r="P55" s="822">
        <f t="shared" si="1"/>
        <v>0</v>
      </c>
      <c r="Q55" s="821">
        <f t="shared" si="1"/>
        <v>0</v>
      </c>
      <c r="R55" s="822">
        <f t="shared" si="1"/>
        <v>1</v>
      </c>
      <c r="S55" s="821">
        <f t="shared" si="1"/>
        <v>1.2048192771084335E-2</v>
      </c>
    </row>
    <row r="56" spans="3:19" x14ac:dyDescent="0.25">
      <c r="C56" s="780" t="s">
        <v>98</v>
      </c>
      <c r="D56" s="781">
        <v>3</v>
      </c>
      <c r="E56" s="782">
        <f t="shared" si="1"/>
        <v>0</v>
      </c>
      <c r="F56" s="822">
        <f t="shared" si="1"/>
        <v>0</v>
      </c>
      <c r="G56" s="821">
        <f t="shared" si="1"/>
        <v>0</v>
      </c>
      <c r="H56" s="822">
        <f t="shared" si="1"/>
        <v>0</v>
      </c>
      <c r="I56" s="821">
        <f t="shared" si="1"/>
        <v>0</v>
      </c>
      <c r="J56" s="822">
        <f t="shared" si="1"/>
        <v>0</v>
      </c>
      <c r="K56" s="821">
        <f t="shared" si="1"/>
        <v>0</v>
      </c>
      <c r="L56" s="822">
        <f t="shared" si="1"/>
        <v>0</v>
      </c>
      <c r="M56" s="821">
        <f t="shared" si="1"/>
        <v>0</v>
      </c>
      <c r="N56" s="822">
        <f t="shared" si="1"/>
        <v>0</v>
      </c>
      <c r="O56" s="821">
        <f t="shared" si="1"/>
        <v>0</v>
      </c>
      <c r="P56" s="822">
        <f t="shared" si="1"/>
        <v>0</v>
      </c>
      <c r="Q56" s="821">
        <f t="shared" si="1"/>
        <v>0</v>
      </c>
      <c r="R56" s="822">
        <f t="shared" si="1"/>
        <v>0</v>
      </c>
      <c r="S56" s="821">
        <f t="shared" si="1"/>
        <v>0</v>
      </c>
    </row>
    <row r="57" spans="3:19" ht="20.5" x14ac:dyDescent="0.25">
      <c r="C57" s="780" t="s">
        <v>72</v>
      </c>
      <c r="D57" s="781">
        <v>3</v>
      </c>
      <c r="E57" s="782">
        <f t="shared" si="1"/>
        <v>0</v>
      </c>
      <c r="F57" s="822">
        <f t="shared" si="1"/>
        <v>-1</v>
      </c>
      <c r="G57" s="821">
        <f t="shared" si="1"/>
        <v>-1.0526315789473689E-2</v>
      </c>
      <c r="H57" s="822">
        <f t="shared" si="1"/>
        <v>9</v>
      </c>
      <c r="I57" s="821">
        <f t="shared" si="1"/>
        <v>9.4736842105263175E-2</v>
      </c>
      <c r="J57" s="822">
        <f t="shared" si="1"/>
        <v>-6</v>
      </c>
      <c r="K57" s="821">
        <f t="shared" si="1"/>
        <v>-6.3157894736842107E-2</v>
      </c>
      <c r="L57" s="822">
        <f t="shared" si="1"/>
        <v>-1</v>
      </c>
      <c r="M57" s="821">
        <f t="shared" si="1"/>
        <v>-1.0526315789473689E-2</v>
      </c>
      <c r="N57" s="822">
        <f t="shared" si="1"/>
        <v>0</v>
      </c>
      <c r="O57" s="821">
        <f t="shared" si="1"/>
        <v>0</v>
      </c>
      <c r="P57" s="822">
        <f t="shared" si="1"/>
        <v>-1</v>
      </c>
      <c r="Q57" s="821">
        <f t="shared" si="1"/>
        <v>-1.0526315789473682E-2</v>
      </c>
      <c r="R57" s="822">
        <f t="shared" si="1"/>
        <v>0</v>
      </c>
      <c r="S57" s="821">
        <f t="shared" si="1"/>
        <v>0</v>
      </c>
    </row>
    <row r="58" spans="3:19" ht="20.5" x14ac:dyDescent="0.25">
      <c r="C58" s="780" t="s">
        <v>73</v>
      </c>
      <c r="D58" s="781">
        <v>3</v>
      </c>
      <c r="E58" s="782">
        <f t="shared" si="1"/>
        <v>2</v>
      </c>
      <c r="F58" s="822">
        <f t="shared" si="1"/>
        <v>0</v>
      </c>
      <c r="G58" s="821">
        <f t="shared" si="1"/>
        <v>-2.0826824950536255E-3</v>
      </c>
      <c r="H58" s="822">
        <f t="shared" si="1"/>
        <v>7</v>
      </c>
      <c r="I58" s="821">
        <f t="shared" si="1"/>
        <v>6.0085389982297177E-2</v>
      </c>
      <c r="J58" s="822">
        <f t="shared" si="1"/>
        <v>0</v>
      </c>
      <c r="K58" s="821">
        <f t="shared" si="1"/>
        <v>-1.6661459960428948E-3</v>
      </c>
      <c r="L58" s="822">
        <f t="shared" si="1"/>
        <v>0</v>
      </c>
      <c r="M58" s="821">
        <f t="shared" si="1"/>
        <v>-1.8744142455482671E-3</v>
      </c>
      <c r="N58" s="822">
        <f t="shared" si="1"/>
        <v>0</v>
      </c>
      <c r="O58" s="821">
        <f t="shared" si="1"/>
        <v>-2.0826824950536185E-4</v>
      </c>
      <c r="P58" s="822">
        <f t="shared" si="1"/>
        <v>-6</v>
      </c>
      <c r="Q58" s="821">
        <f t="shared" si="1"/>
        <v>-6.4354889097157142E-2</v>
      </c>
      <c r="R58" s="822">
        <f t="shared" si="1"/>
        <v>1</v>
      </c>
      <c r="S58" s="821">
        <f t="shared" si="1"/>
        <v>1.0101010101010102E-2</v>
      </c>
    </row>
    <row r="59" spans="3:19" ht="20.5" x14ac:dyDescent="0.25">
      <c r="C59" s="780" t="s">
        <v>74</v>
      </c>
      <c r="D59" s="781">
        <v>4</v>
      </c>
      <c r="E59" s="782">
        <f t="shared" si="1"/>
        <v>-10</v>
      </c>
      <c r="F59" s="822">
        <f t="shared" si="1"/>
        <v>-4</v>
      </c>
      <c r="G59" s="821">
        <f t="shared" si="1"/>
        <v>2.2240756185710198E-3</v>
      </c>
      <c r="H59" s="822">
        <f t="shared" si="1"/>
        <v>0</v>
      </c>
      <c r="I59" s="821">
        <f t="shared" si="1"/>
        <v>2.687424705773328E-2</v>
      </c>
      <c r="J59" s="822">
        <f t="shared" si="1"/>
        <v>-3</v>
      </c>
      <c r="K59" s="821">
        <f t="shared" si="1"/>
        <v>-1.4549161338152178E-2</v>
      </c>
      <c r="L59" s="822">
        <f t="shared" si="1"/>
        <v>-2</v>
      </c>
      <c r="M59" s="821">
        <f t="shared" si="1"/>
        <v>-1.5568529329997222E-2</v>
      </c>
      <c r="N59" s="822">
        <f t="shared" si="1"/>
        <v>-1</v>
      </c>
      <c r="O59" s="821">
        <f t="shared" si="1"/>
        <v>-5.467519228987118E-3</v>
      </c>
      <c r="P59" s="822">
        <f t="shared" si="1"/>
        <v>0</v>
      </c>
      <c r="Q59" s="821">
        <f t="shared" si="1"/>
        <v>5.5601890464275772E-3</v>
      </c>
      <c r="R59" s="822">
        <f t="shared" si="1"/>
        <v>0</v>
      </c>
      <c r="S59" s="821">
        <f t="shared" si="1"/>
        <v>9.2669817440459677E-4</v>
      </c>
    </row>
    <row r="60" spans="3:19" ht="20.5" x14ac:dyDescent="0.25">
      <c r="C60" s="780" t="s">
        <v>75</v>
      </c>
      <c r="D60" s="781">
        <v>4</v>
      </c>
      <c r="E60" s="782">
        <f t="shared" si="1"/>
        <v>-1</v>
      </c>
      <c r="F60" s="822">
        <f t="shared" si="1"/>
        <v>-11</v>
      </c>
      <c r="G60" s="821">
        <f t="shared" si="1"/>
        <v>-7.4967535710718181E-2</v>
      </c>
      <c r="H60" s="822">
        <f t="shared" si="1"/>
        <v>18</v>
      </c>
      <c r="I60" s="821">
        <f t="shared" si="1"/>
        <v>0.12945759664369194</v>
      </c>
      <c r="J60" s="822">
        <f t="shared" si="1"/>
        <v>-4</v>
      </c>
      <c r="K60" s="821">
        <f t="shared" si="1"/>
        <v>-2.7270002996703624E-2</v>
      </c>
      <c r="L60" s="822">
        <f t="shared" si="1"/>
        <v>1</v>
      </c>
      <c r="M60" s="821">
        <f t="shared" si="1"/>
        <v>7.2420337628608528E-3</v>
      </c>
      <c r="N60" s="822">
        <f t="shared" si="1"/>
        <v>-3</v>
      </c>
      <c r="O60" s="821">
        <f t="shared" si="1"/>
        <v>-2.0976925382079712E-2</v>
      </c>
      <c r="P60" s="822">
        <f t="shared" si="1"/>
        <v>-1</v>
      </c>
      <c r="Q60" s="821">
        <f t="shared" si="1"/>
        <v>-6.4928578563580031E-3</v>
      </c>
      <c r="R60" s="822">
        <f t="shared" si="1"/>
        <v>-1</v>
      </c>
      <c r="S60" s="821">
        <f t="shared" si="1"/>
        <v>-6.9923084606932379E-3</v>
      </c>
    </row>
    <row r="61" spans="3:19" ht="20.5" x14ac:dyDescent="0.25">
      <c r="C61" s="780" t="s">
        <v>76</v>
      </c>
      <c r="D61" s="781">
        <v>4</v>
      </c>
      <c r="E61" s="782">
        <f t="shared" si="1"/>
        <v>-4</v>
      </c>
      <c r="F61" s="822">
        <f t="shared" si="1"/>
        <v>8</v>
      </c>
      <c r="G61" s="821">
        <f t="shared" si="1"/>
        <v>6.9457364341085265E-2</v>
      </c>
      <c r="H61" s="822">
        <f t="shared" si="1"/>
        <v>-2</v>
      </c>
      <c r="I61" s="821">
        <f t="shared" si="1"/>
        <v>2.6046511627906277E-3</v>
      </c>
      <c r="J61" s="822">
        <f t="shared" si="1"/>
        <v>-2</v>
      </c>
      <c r="K61" s="821">
        <f t="shared" si="1"/>
        <v>-1.3271317829457369E-2</v>
      </c>
      <c r="L61" s="822">
        <f t="shared" si="1"/>
        <v>0</v>
      </c>
      <c r="M61" s="821">
        <f t="shared" si="1"/>
        <v>4.9612403100775249E-4</v>
      </c>
      <c r="N61" s="822">
        <f t="shared" si="1"/>
        <v>-3</v>
      </c>
      <c r="O61" s="821">
        <f t="shared" si="1"/>
        <v>-2.3007751937984496E-2</v>
      </c>
      <c r="P61" s="822">
        <f t="shared" si="1"/>
        <v>-5</v>
      </c>
      <c r="Q61" s="821">
        <f t="shared" si="1"/>
        <v>-3.6279069767441857E-2</v>
      </c>
      <c r="R61" s="822">
        <f t="shared" si="1"/>
        <v>0</v>
      </c>
      <c r="S61" s="821">
        <f t="shared" si="1"/>
        <v>0</v>
      </c>
    </row>
    <row r="62" spans="3:19" ht="20.5" x14ac:dyDescent="0.25">
      <c r="C62" s="780" t="s">
        <v>99</v>
      </c>
      <c r="D62" s="781">
        <v>4</v>
      </c>
      <c r="E62" s="782">
        <f t="shared" si="1"/>
        <v>0</v>
      </c>
      <c r="F62" s="822">
        <f t="shared" si="1"/>
        <v>0</v>
      </c>
      <c r="G62" s="821">
        <f t="shared" si="1"/>
        <v>0</v>
      </c>
      <c r="H62" s="822">
        <f t="shared" si="1"/>
        <v>0</v>
      </c>
      <c r="I62" s="821">
        <f t="shared" si="1"/>
        <v>0</v>
      </c>
      <c r="J62" s="822">
        <f t="shared" si="1"/>
        <v>0</v>
      </c>
      <c r="K62" s="821">
        <f t="shared" si="1"/>
        <v>0</v>
      </c>
      <c r="L62" s="822">
        <f t="shared" si="1"/>
        <v>0</v>
      </c>
      <c r="M62" s="821">
        <f t="shared" si="1"/>
        <v>0</v>
      </c>
      <c r="N62" s="822">
        <f t="shared" si="1"/>
        <v>0</v>
      </c>
      <c r="O62" s="821">
        <f t="shared" si="1"/>
        <v>0</v>
      </c>
      <c r="P62" s="822">
        <f t="shared" si="1"/>
        <v>0</v>
      </c>
      <c r="Q62" s="821">
        <f t="shared" si="1"/>
        <v>0</v>
      </c>
      <c r="R62" s="822">
        <f t="shared" si="1"/>
        <v>0</v>
      </c>
      <c r="S62" s="821">
        <f t="shared" si="1"/>
        <v>0</v>
      </c>
    </row>
    <row r="63" spans="3:19" ht="20.5" x14ac:dyDescent="0.25">
      <c r="C63" s="780" t="s">
        <v>100</v>
      </c>
      <c r="D63" s="781">
        <v>4</v>
      </c>
      <c r="E63" s="782">
        <f t="shared" si="1"/>
        <v>0</v>
      </c>
      <c r="F63" s="822">
        <f t="shared" si="1"/>
        <v>0</v>
      </c>
      <c r="G63" s="821">
        <f t="shared" si="1"/>
        <v>0</v>
      </c>
      <c r="H63" s="822">
        <f t="shared" si="1"/>
        <v>0</v>
      </c>
      <c r="I63" s="821">
        <f t="shared" si="1"/>
        <v>0</v>
      </c>
      <c r="J63" s="822">
        <f t="shared" si="1"/>
        <v>0</v>
      </c>
      <c r="K63" s="821">
        <f t="shared" si="1"/>
        <v>0</v>
      </c>
      <c r="L63" s="822">
        <f t="shared" si="1"/>
        <v>0</v>
      </c>
      <c r="M63" s="821">
        <f t="shared" si="1"/>
        <v>0</v>
      </c>
      <c r="N63" s="822">
        <f t="shared" si="1"/>
        <v>0</v>
      </c>
      <c r="O63" s="821">
        <f t="shared" si="1"/>
        <v>0</v>
      </c>
      <c r="P63" s="822">
        <f t="shared" si="1"/>
        <v>0</v>
      </c>
      <c r="Q63" s="821">
        <f t="shared" si="1"/>
        <v>0</v>
      </c>
      <c r="R63" s="822">
        <f t="shared" si="1"/>
        <v>0</v>
      </c>
      <c r="S63" s="821">
        <f t="shared" si="1"/>
        <v>0</v>
      </c>
    </row>
    <row r="64" spans="3:19" ht="30.5" x14ac:dyDescent="0.25">
      <c r="C64" s="780" t="s">
        <v>92</v>
      </c>
      <c r="D64" s="781">
        <v>4</v>
      </c>
      <c r="E64" s="782">
        <f t="shared" si="1"/>
        <v>0</v>
      </c>
      <c r="F64" s="822">
        <f t="shared" si="1"/>
        <v>0</v>
      </c>
      <c r="G64" s="821">
        <f t="shared" si="1"/>
        <v>0</v>
      </c>
      <c r="H64" s="822">
        <f t="shared" si="1"/>
        <v>0</v>
      </c>
      <c r="I64" s="821">
        <f t="shared" si="1"/>
        <v>0</v>
      </c>
      <c r="J64" s="822">
        <f t="shared" si="1"/>
        <v>0</v>
      </c>
      <c r="K64" s="821">
        <f t="shared" si="1"/>
        <v>0</v>
      </c>
      <c r="L64" s="822">
        <f t="shared" si="1"/>
        <v>0</v>
      </c>
      <c r="M64" s="821">
        <f t="shared" si="1"/>
        <v>0</v>
      </c>
      <c r="N64" s="822">
        <f t="shared" si="1"/>
        <v>0</v>
      </c>
      <c r="O64" s="821">
        <f t="shared" si="1"/>
        <v>0</v>
      </c>
      <c r="P64" s="822">
        <f t="shared" si="1"/>
        <v>0</v>
      </c>
      <c r="Q64" s="821">
        <f t="shared" si="1"/>
        <v>0</v>
      </c>
      <c r="R64" s="822">
        <f t="shared" si="1"/>
        <v>0</v>
      </c>
      <c r="S64" s="821">
        <f t="shared" si="1"/>
        <v>0</v>
      </c>
    </row>
    <row r="65" spans="3:19" ht="20.5" x14ac:dyDescent="0.25">
      <c r="C65" s="780" t="s">
        <v>77</v>
      </c>
      <c r="D65" s="781">
        <v>4</v>
      </c>
      <c r="E65" s="782">
        <f t="shared" si="1"/>
        <v>6</v>
      </c>
      <c r="F65" s="822">
        <f t="shared" si="1"/>
        <v>0</v>
      </c>
      <c r="G65" s="821">
        <f t="shared" si="1"/>
        <v>-5.6279312141740562E-3</v>
      </c>
      <c r="H65" s="822">
        <f t="shared" si="1"/>
        <v>7</v>
      </c>
      <c r="I65" s="821">
        <f t="shared" si="1"/>
        <v>4.8045857217300703E-2</v>
      </c>
      <c r="J65" s="822">
        <f t="shared" si="1"/>
        <v>4</v>
      </c>
      <c r="K65" s="821">
        <f t="shared" si="1"/>
        <v>3.7102657634184473E-2</v>
      </c>
      <c r="L65" s="822">
        <f t="shared" si="1"/>
        <v>0</v>
      </c>
      <c r="M65" s="821">
        <f t="shared" si="1"/>
        <v>-5.6279312141740562E-3</v>
      </c>
      <c r="N65" s="822">
        <f t="shared" si="1"/>
        <v>-1</v>
      </c>
      <c r="O65" s="821">
        <f t="shared" si="1"/>
        <v>-1.8655549765502849E-2</v>
      </c>
      <c r="P65" s="822">
        <f t="shared" si="1"/>
        <v>-3</v>
      </c>
      <c r="Q65" s="821">
        <f t="shared" si="1"/>
        <v>-3.7832204273058889E-2</v>
      </c>
      <c r="R65" s="822">
        <f t="shared" si="1"/>
        <v>-1</v>
      </c>
      <c r="S65" s="821">
        <f t="shared" si="1"/>
        <v>-1.7404898384575304E-2</v>
      </c>
    </row>
    <row r="66" spans="3:19" ht="20.5" x14ac:dyDescent="0.25">
      <c r="C66" s="780" t="s">
        <v>78</v>
      </c>
      <c r="D66" s="781">
        <v>5</v>
      </c>
      <c r="E66" s="782">
        <f t="shared" si="1"/>
        <v>1</v>
      </c>
      <c r="F66" s="822">
        <f t="shared" si="1"/>
        <v>-3</v>
      </c>
      <c r="G66" s="821">
        <f t="shared" si="1"/>
        <v>-2.0050875355379305E-2</v>
      </c>
      <c r="H66" s="822">
        <f t="shared" si="1"/>
        <v>12</v>
      </c>
      <c r="I66" s="821">
        <f t="shared" si="1"/>
        <v>7.1001047433787212E-2</v>
      </c>
      <c r="J66" s="822">
        <f t="shared" si="1"/>
        <v>-3</v>
      </c>
      <c r="K66" s="821">
        <f t="shared" si="1"/>
        <v>-1.889121651952716E-2</v>
      </c>
      <c r="L66" s="822">
        <f t="shared" si="1"/>
        <v>1</v>
      </c>
      <c r="M66" s="821">
        <f t="shared" si="1"/>
        <v>5.7234774801735791E-3</v>
      </c>
      <c r="N66" s="822">
        <f t="shared" si="1"/>
        <v>-1</v>
      </c>
      <c r="O66" s="821">
        <f t="shared" si="1"/>
        <v>-6.471644471045937E-3</v>
      </c>
      <c r="P66" s="822">
        <f t="shared" si="1"/>
        <v>-5</v>
      </c>
      <c r="Q66" s="821">
        <f t="shared" si="1"/>
        <v>-3.1235971868921145E-2</v>
      </c>
      <c r="R66" s="822">
        <f t="shared" si="1"/>
        <v>0</v>
      </c>
      <c r="S66" s="821">
        <f t="shared" si="1"/>
        <v>-7.4816699087236135E-5</v>
      </c>
    </row>
    <row r="67" spans="3:19" ht="20.5" x14ac:dyDescent="0.25">
      <c r="C67" s="780" t="s">
        <v>55</v>
      </c>
      <c r="D67" s="781">
        <v>5</v>
      </c>
      <c r="E67" s="782">
        <f t="shared" ref="E67:S68" si="2">E21-E45</f>
        <v>-6</v>
      </c>
      <c r="F67" s="822">
        <f t="shared" si="2"/>
        <v>-13</v>
      </c>
      <c r="G67" s="821">
        <f t="shared" si="2"/>
        <v>-4.7451937747940154E-2</v>
      </c>
      <c r="H67" s="822">
        <f t="shared" si="2"/>
        <v>10</v>
      </c>
      <c r="I67" s="821">
        <f t="shared" si="2"/>
        <v>5.3059200488251412E-2</v>
      </c>
      <c r="J67" s="822">
        <f t="shared" si="2"/>
        <v>-2</v>
      </c>
      <c r="K67" s="821">
        <f t="shared" si="2"/>
        <v>-8.1629539212694537E-3</v>
      </c>
      <c r="L67" s="822">
        <f t="shared" si="2"/>
        <v>5</v>
      </c>
      <c r="M67" s="821">
        <f t="shared" si="2"/>
        <v>2.3840402807445829E-2</v>
      </c>
      <c r="N67" s="822">
        <f t="shared" si="2"/>
        <v>-4</v>
      </c>
      <c r="O67" s="821">
        <f t="shared" si="2"/>
        <v>-1.6669209642966129E-2</v>
      </c>
      <c r="P67" s="822">
        <f t="shared" si="2"/>
        <v>-2</v>
      </c>
      <c r="Q67" s="821">
        <f t="shared" si="2"/>
        <v>-4.9588037839487231E-3</v>
      </c>
      <c r="R67" s="822">
        <f t="shared" si="2"/>
        <v>0</v>
      </c>
      <c r="S67" s="821">
        <f t="shared" si="2"/>
        <v>3.4330180042722001E-4</v>
      </c>
    </row>
    <row r="68" spans="3:19" ht="20.5" x14ac:dyDescent="0.25">
      <c r="C68" s="780" t="s">
        <v>80</v>
      </c>
      <c r="D68" s="781">
        <v>6</v>
      </c>
      <c r="E68" s="782">
        <f t="shared" si="2"/>
        <v>9</v>
      </c>
      <c r="F68" s="822">
        <f t="shared" si="2"/>
        <v>-3</v>
      </c>
      <c r="G68" s="821">
        <f t="shared" si="2"/>
        <v>-3.0402092186989194E-2</v>
      </c>
      <c r="H68" s="822">
        <f t="shared" si="2"/>
        <v>4</v>
      </c>
      <c r="I68" s="821">
        <f t="shared" si="2"/>
        <v>1.7121608368747931E-2</v>
      </c>
      <c r="J68" s="822">
        <f t="shared" si="2"/>
        <v>0</v>
      </c>
      <c r="K68" s="821">
        <f t="shared" si="2"/>
        <v>-3.677672441974502E-4</v>
      </c>
      <c r="L68" s="822">
        <f t="shared" si="2"/>
        <v>3</v>
      </c>
      <c r="M68" s="821">
        <f t="shared" si="2"/>
        <v>6.4972213141549495E-3</v>
      </c>
      <c r="N68" s="822">
        <f t="shared" si="2"/>
        <v>4</v>
      </c>
      <c r="O68" s="821">
        <f t="shared" si="2"/>
        <v>1.3811703170970913E-2</v>
      </c>
      <c r="P68" s="822">
        <f t="shared" si="2"/>
        <v>1</v>
      </c>
      <c r="Q68" s="821">
        <f t="shared" si="2"/>
        <v>5.8434128800261519E-3</v>
      </c>
      <c r="R68" s="822">
        <f t="shared" si="2"/>
        <v>0</v>
      </c>
      <c r="S68" s="821">
        <f t="shared" si="2"/>
        <v>-1.2504086302713296E-2</v>
      </c>
    </row>
  </sheetData>
  <mergeCells count="1">
    <mergeCell ref="U2:V2"/>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S34"/>
  <sheetViews>
    <sheetView workbookViewId="0">
      <selection activeCell="S34" sqref="S34"/>
    </sheetView>
  </sheetViews>
  <sheetFormatPr defaultColWidth="8.7265625" defaultRowHeight="12.5" x14ac:dyDescent="0.25"/>
  <cols>
    <col min="1" max="1" width="8.7265625" style="1568"/>
    <col min="2" max="2" width="7.81640625" style="1568" bestFit="1" customWidth="1"/>
    <col min="3" max="3" width="24.453125" style="1568" bestFit="1" customWidth="1"/>
    <col min="4" max="4" width="10.81640625" style="1568" bestFit="1" customWidth="1"/>
    <col min="5" max="5" width="15.54296875" style="1568" bestFit="1" customWidth="1"/>
    <col min="6" max="6" width="9.81640625" style="1568" bestFit="1" customWidth="1"/>
    <col min="7" max="7" width="8.7265625" style="1568"/>
    <col min="8" max="8" width="13.54296875" style="1568" bestFit="1" customWidth="1"/>
    <col min="9" max="9" width="16.1796875" style="1568" bestFit="1" customWidth="1"/>
    <col min="10" max="10" width="12.453125" style="1568" bestFit="1" customWidth="1"/>
    <col min="11" max="16384" width="8.7265625" style="1568"/>
  </cols>
  <sheetData>
    <row r="4" spans="2:19" ht="26" x14ac:dyDescent="0.35">
      <c r="B4" s="1573" t="s">
        <v>201</v>
      </c>
      <c r="C4" s="1574" t="s">
        <v>66</v>
      </c>
      <c r="D4" s="8" t="s">
        <v>1271</v>
      </c>
      <c r="E4" s="1575" t="s">
        <v>1272</v>
      </c>
      <c r="F4" s="1575" t="s">
        <v>904</v>
      </c>
      <c r="H4" s="1576" t="s">
        <v>66</v>
      </c>
      <c r="I4" s="1576" t="s">
        <v>1273</v>
      </c>
      <c r="J4" s="1576" t="s">
        <v>1274</v>
      </c>
      <c r="K4" s="1576" t="s">
        <v>1275</v>
      </c>
      <c r="L4" s="1576" t="s">
        <v>1276</v>
      </c>
      <c r="M4" s="1576"/>
      <c r="N4" s="1576" t="s">
        <v>1277</v>
      </c>
      <c r="O4" s="1576" t="s">
        <v>397</v>
      </c>
      <c r="P4" s="1576" t="s">
        <v>1278</v>
      </c>
      <c r="Q4" s="1577" t="s">
        <v>397</v>
      </c>
      <c r="R4" s="1577" t="s">
        <v>185</v>
      </c>
      <c r="S4" s="1576" t="s">
        <v>1279</v>
      </c>
    </row>
    <row r="5" spans="2:19" x14ac:dyDescent="0.25">
      <c r="B5" s="1567">
        <v>9257010</v>
      </c>
      <c r="C5" s="39" t="s">
        <v>67</v>
      </c>
      <c r="D5" s="18">
        <f>VLOOKUP('2122 OLEA Placements'!B5,'2122 Funding Detail'!$A$4:$W$21,23,FALSE)</f>
        <v>10277.502720148499</v>
      </c>
      <c r="E5" s="8">
        <f>S6</f>
        <v>1</v>
      </c>
      <c r="F5" s="18">
        <f>D5*E5</f>
        <v>10277.502720148499</v>
      </c>
    </row>
    <row r="6" spans="2:19" x14ac:dyDescent="0.25">
      <c r="B6" s="1567">
        <v>9257005</v>
      </c>
      <c r="C6" s="39" t="s">
        <v>68</v>
      </c>
      <c r="D6" s="18">
        <f>VLOOKUP('2122 OLEA Placements'!B6,'2122 Funding Detail'!$A$4:$W$21,23,FALSE)</f>
        <v>7976.5657912524439</v>
      </c>
      <c r="E6" s="8">
        <f>S34</f>
        <v>6</v>
      </c>
      <c r="F6" s="18">
        <f t="shared" ref="F6:F22" si="0">D6*E6</f>
        <v>47859.394747514663</v>
      </c>
      <c r="H6" s="1568" t="s">
        <v>1280</v>
      </c>
      <c r="I6" s="1568" t="s">
        <v>1281</v>
      </c>
      <c r="J6" s="1568">
        <v>65</v>
      </c>
      <c r="K6" s="1568">
        <v>65</v>
      </c>
      <c r="L6" s="1578" t="s">
        <v>1282</v>
      </c>
      <c r="N6" s="1568">
        <v>100</v>
      </c>
      <c r="O6" s="1568">
        <v>54</v>
      </c>
      <c r="P6" s="1568">
        <v>10</v>
      </c>
      <c r="Q6" s="81">
        <v>36</v>
      </c>
      <c r="R6" s="81">
        <v>0</v>
      </c>
      <c r="S6" s="1568">
        <v>1</v>
      </c>
    </row>
    <row r="7" spans="2:19" x14ac:dyDescent="0.25">
      <c r="B7" s="1567">
        <v>9257025</v>
      </c>
      <c r="C7" s="39" t="s">
        <v>69</v>
      </c>
      <c r="D7" s="18">
        <f>VLOOKUP('2122 OLEA Placements'!B7,'2122 Funding Detail'!$A$4:$W$21,23,FALSE)</f>
        <v>7614.060049404743</v>
      </c>
      <c r="E7" s="8">
        <f>S24</f>
        <v>1</v>
      </c>
      <c r="F7" s="18">
        <f t="shared" si="0"/>
        <v>7614.060049404743</v>
      </c>
      <c r="H7" s="1568" t="s">
        <v>1283</v>
      </c>
      <c r="I7" s="1568" t="s">
        <v>1281</v>
      </c>
      <c r="J7" s="1568">
        <v>58</v>
      </c>
      <c r="K7" s="1568">
        <v>58</v>
      </c>
      <c r="L7" s="1578" t="s">
        <v>1281</v>
      </c>
      <c r="N7" s="1568">
        <v>58</v>
      </c>
      <c r="O7" s="1568">
        <v>50</v>
      </c>
      <c r="P7" s="1568">
        <v>8</v>
      </c>
      <c r="Q7" s="1568">
        <v>0</v>
      </c>
      <c r="R7" s="1568">
        <v>0</v>
      </c>
      <c r="S7" s="1568">
        <v>5</v>
      </c>
    </row>
    <row r="8" spans="2:19" x14ac:dyDescent="0.25">
      <c r="B8" s="1567">
        <v>9257011</v>
      </c>
      <c r="C8" s="39" t="s">
        <v>70</v>
      </c>
      <c r="D8" s="18">
        <f>VLOOKUP('2122 OLEA Placements'!B8,'2122 Funding Detail'!$A$4:$W$21,23,FALSE)</f>
        <v>10590.628482858792</v>
      </c>
      <c r="E8" s="8">
        <f>S7</f>
        <v>5</v>
      </c>
      <c r="F8" s="18">
        <f t="shared" si="0"/>
        <v>52953.142414293965</v>
      </c>
      <c r="H8" s="1568" t="s">
        <v>1284</v>
      </c>
      <c r="I8" s="1568" t="s">
        <v>1281</v>
      </c>
      <c r="J8" s="1568">
        <v>136</v>
      </c>
      <c r="K8" s="1568">
        <v>135</v>
      </c>
      <c r="L8" s="1578" t="s">
        <v>1281</v>
      </c>
      <c r="N8" s="1568">
        <v>136</v>
      </c>
      <c r="O8" s="1568">
        <v>136</v>
      </c>
      <c r="P8" s="1568">
        <v>0</v>
      </c>
      <c r="Q8" s="1568">
        <v>0</v>
      </c>
      <c r="R8" s="1568">
        <v>0</v>
      </c>
      <c r="S8" s="1568">
        <v>11</v>
      </c>
    </row>
    <row r="9" spans="2:19" x14ac:dyDescent="0.25">
      <c r="B9" s="1567">
        <v>9257024</v>
      </c>
      <c r="C9" s="39" t="s">
        <v>71</v>
      </c>
      <c r="D9" s="18">
        <f>VLOOKUP('2122 OLEA Placements'!B9,'2122 Funding Detail'!$A$4:$W$21,23,FALSE)</f>
        <v>7726.7205403799271</v>
      </c>
      <c r="E9" s="8">
        <f>S30</f>
        <v>1</v>
      </c>
      <c r="F9" s="18">
        <f t="shared" si="0"/>
        <v>7726.7205403799271</v>
      </c>
    </row>
    <row r="10" spans="2:19" x14ac:dyDescent="0.25">
      <c r="B10" s="1567">
        <v>9257031</v>
      </c>
      <c r="C10" s="39" t="s">
        <v>98</v>
      </c>
      <c r="D10" s="18">
        <f>VLOOKUP('2122 OLEA Placements'!B10,'2122 Funding Detail'!$A$4:$W$21,23,FALSE)</f>
        <v>10699.071833774375</v>
      </c>
      <c r="E10" s="8">
        <f>S12</f>
        <v>6</v>
      </c>
      <c r="F10" s="18">
        <f t="shared" si="0"/>
        <v>64194.431002646248</v>
      </c>
      <c r="H10" s="1568" t="s">
        <v>1285</v>
      </c>
      <c r="I10" s="1568" t="s">
        <v>1281</v>
      </c>
      <c r="J10" s="1568">
        <v>75</v>
      </c>
      <c r="K10" s="1568">
        <v>72</v>
      </c>
      <c r="L10" s="1578" t="s">
        <v>1281</v>
      </c>
      <c r="N10" s="1568">
        <v>72</v>
      </c>
      <c r="O10" s="1568">
        <v>72</v>
      </c>
      <c r="P10" s="1568">
        <v>0</v>
      </c>
      <c r="Q10" s="1568">
        <v>0</v>
      </c>
      <c r="R10" s="1568">
        <v>0</v>
      </c>
      <c r="S10" s="1568">
        <v>4</v>
      </c>
    </row>
    <row r="11" spans="2:19" x14ac:dyDescent="0.25">
      <c r="B11" s="1567">
        <v>9257033</v>
      </c>
      <c r="C11" s="39" t="s">
        <v>72</v>
      </c>
      <c r="D11" s="18">
        <f>VLOOKUP('2122 OLEA Placements'!B11,'2122 Funding Detail'!$A$4:$W$21,23,FALSE)</f>
        <v>4522.8251530805373</v>
      </c>
      <c r="E11" s="8">
        <f>S18</f>
        <v>3</v>
      </c>
      <c r="F11" s="18">
        <f t="shared" si="0"/>
        <v>13568.475459241612</v>
      </c>
    </row>
    <row r="12" spans="2:19" x14ac:dyDescent="0.25">
      <c r="B12" s="1567">
        <v>9257008</v>
      </c>
      <c r="C12" s="39" t="s">
        <v>73</v>
      </c>
      <c r="D12" s="18">
        <f>VLOOKUP('2122 OLEA Placements'!B12,'2122 Funding Detail'!$A$4:$W$21,23,FALSE)</f>
        <v>4816.0889954940758</v>
      </c>
      <c r="E12" s="8">
        <f>S15</f>
        <v>0</v>
      </c>
      <c r="F12" s="18">
        <f t="shared" si="0"/>
        <v>0</v>
      </c>
      <c r="H12" s="1568" t="s">
        <v>60</v>
      </c>
      <c r="I12" s="1568" t="s">
        <v>1281</v>
      </c>
      <c r="J12" s="1568">
        <v>80</v>
      </c>
      <c r="K12" s="1568">
        <v>81</v>
      </c>
      <c r="L12" s="1578" t="s">
        <v>1281</v>
      </c>
      <c r="N12" s="1568">
        <v>81</v>
      </c>
      <c r="O12" s="1568">
        <v>81</v>
      </c>
      <c r="P12" s="1568">
        <v>0</v>
      </c>
      <c r="Q12" s="1568">
        <v>0</v>
      </c>
      <c r="R12" s="1568">
        <v>0</v>
      </c>
      <c r="S12" s="1568">
        <v>6</v>
      </c>
    </row>
    <row r="13" spans="2:19" x14ac:dyDescent="0.25">
      <c r="B13" s="1567">
        <v>9257034</v>
      </c>
      <c r="C13" s="39" t="s">
        <v>74</v>
      </c>
      <c r="D13" s="18">
        <f>VLOOKUP('2122 OLEA Placements'!B13,'2122 Funding Detail'!$A$4:$W$21,23,FALSE)</f>
        <v>3885.6776670783947</v>
      </c>
      <c r="E13" s="8">
        <f>S17</f>
        <v>21</v>
      </c>
      <c r="F13" s="18">
        <f t="shared" si="0"/>
        <v>81599.231008646282</v>
      </c>
      <c r="H13" s="1568" t="s">
        <v>1286</v>
      </c>
      <c r="I13" s="1569" t="s">
        <v>1281</v>
      </c>
      <c r="J13" s="1568">
        <v>82</v>
      </c>
      <c r="K13" s="81">
        <v>104</v>
      </c>
      <c r="L13" s="1579" t="s">
        <v>1281</v>
      </c>
      <c r="N13" s="81">
        <v>104</v>
      </c>
      <c r="O13" s="1568">
        <v>97</v>
      </c>
      <c r="P13" s="1568">
        <v>0</v>
      </c>
      <c r="Q13" s="81">
        <v>7</v>
      </c>
      <c r="R13" s="1568">
        <v>0</v>
      </c>
      <c r="S13" s="1568">
        <v>4</v>
      </c>
    </row>
    <row r="14" spans="2:19" x14ac:dyDescent="0.25">
      <c r="B14" s="1567">
        <v>9257002</v>
      </c>
      <c r="C14" s="39" t="s">
        <v>75</v>
      </c>
      <c r="D14" s="18">
        <f>VLOOKUP('2122 OLEA Placements'!B14,'2122 Funding Detail'!$A$4:$W$21,23,FALSE)</f>
        <v>2844.3706893894851</v>
      </c>
      <c r="E14" s="8">
        <f>S32</f>
        <v>10</v>
      </c>
      <c r="F14" s="18">
        <f t="shared" si="0"/>
        <v>28443.706893894851</v>
      </c>
    </row>
    <row r="15" spans="2:19" x14ac:dyDescent="0.25">
      <c r="B15" s="1567">
        <v>9257009</v>
      </c>
      <c r="C15" s="39" t="s">
        <v>76</v>
      </c>
      <c r="D15" s="18">
        <f>VLOOKUP('2122 OLEA Placements'!B15,'2122 Funding Detail'!$A$4:$W$21,23,FALSE)</f>
        <v>2901.5020056660142</v>
      </c>
      <c r="E15" s="8">
        <f>S8</f>
        <v>11</v>
      </c>
      <c r="F15" s="18">
        <f t="shared" si="0"/>
        <v>31916.522062326156</v>
      </c>
      <c r="H15" s="1568" t="s">
        <v>1287</v>
      </c>
      <c r="I15" s="1568" t="s">
        <v>1281</v>
      </c>
      <c r="J15" s="1568">
        <v>98</v>
      </c>
      <c r="K15" s="1568">
        <v>99</v>
      </c>
      <c r="L15" s="1578" t="s">
        <v>1281</v>
      </c>
      <c r="N15" s="1568">
        <v>99</v>
      </c>
      <c r="O15" s="1568">
        <v>99</v>
      </c>
      <c r="P15" s="1568">
        <v>0</v>
      </c>
      <c r="Q15" s="1568">
        <v>0</v>
      </c>
      <c r="R15" s="1568">
        <v>0</v>
      </c>
      <c r="S15" s="1568">
        <v>0</v>
      </c>
    </row>
    <row r="16" spans="2:19" x14ac:dyDescent="0.25">
      <c r="B16" s="1567">
        <v>9257029</v>
      </c>
      <c r="C16" s="536" t="s">
        <v>848</v>
      </c>
      <c r="D16" s="18">
        <f>VLOOKUP('2122 OLEA Placements'!B16,'2122 Funding Detail'!$A$4:$W$21,23,FALSE)</f>
        <v>10724.862215678859</v>
      </c>
      <c r="E16" s="8">
        <f>S28</f>
        <v>1</v>
      </c>
      <c r="F16" s="18">
        <f t="shared" si="0"/>
        <v>10724.862215678859</v>
      </c>
    </row>
    <row r="17" spans="2:19" ht="14.5" x14ac:dyDescent="0.35">
      <c r="B17" s="1567">
        <v>9257032</v>
      </c>
      <c r="C17" s="536" t="s">
        <v>934</v>
      </c>
      <c r="D17" s="18">
        <f>VLOOKUP('2122 OLEA Placements'!B17,'2122 Funding Detail'!$A$4:$W$21,23,FALSE)</f>
        <v>9767.9287750583535</v>
      </c>
      <c r="E17" s="8">
        <f>S13</f>
        <v>4</v>
      </c>
      <c r="F17" s="18">
        <f t="shared" si="0"/>
        <v>39071.715100233414</v>
      </c>
      <c r="H17" s="1568" t="s">
        <v>1288</v>
      </c>
      <c r="I17" s="1568" t="s">
        <v>1281</v>
      </c>
      <c r="J17" s="1568">
        <v>128</v>
      </c>
      <c r="K17" s="1568">
        <v>120</v>
      </c>
      <c r="L17" s="1578" t="s">
        <v>1281</v>
      </c>
      <c r="N17" s="1580">
        <v>120</v>
      </c>
      <c r="O17" s="1581">
        <v>88</v>
      </c>
      <c r="P17" s="1581">
        <v>32</v>
      </c>
      <c r="Q17" s="1581">
        <v>0</v>
      </c>
      <c r="R17" s="1581">
        <v>0</v>
      </c>
      <c r="S17" s="1581">
        <v>21</v>
      </c>
    </row>
    <row r="18" spans="2:19" ht="14.5" x14ac:dyDescent="0.35">
      <c r="B18" s="1567">
        <v>9257030</v>
      </c>
      <c r="C18" s="536" t="s">
        <v>933</v>
      </c>
      <c r="D18" s="18">
        <f>VLOOKUP('2122 OLEA Placements'!B18,'2122 Funding Detail'!$A$4:$W$21,23,FALSE)</f>
        <v>11209.243533989025</v>
      </c>
      <c r="E18" s="8">
        <f>S10</f>
        <v>4</v>
      </c>
      <c r="F18" s="18">
        <f t="shared" si="0"/>
        <v>44836.974135956101</v>
      </c>
      <c r="H18" s="1568" t="s">
        <v>1289</v>
      </c>
      <c r="I18" s="1568" t="s">
        <v>1281</v>
      </c>
      <c r="J18" s="1568">
        <v>99</v>
      </c>
      <c r="K18" s="1568">
        <v>97</v>
      </c>
      <c r="L18" s="1578" t="s">
        <v>1281</v>
      </c>
      <c r="N18" s="1581">
        <v>98</v>
      </c>
      <c r="O18" s="1581">
        <v>98</v>
      </c>
      <c r="P18" s="1581">
        <v>0</v>
      </c>
      <c r="Q18" s="1581">
        <v>0</v>
      </c>
      <c r="R18" s="1581">
        <v>0</v>
      </c>
      <c r="S18" s="1581">
        <v>3</v>
      </c>
    </row>
    <row r="19" spans="2:19" x14ac:dyDescent="0.25">
      <c r="B19" s="1567">
        <v>9257028</v>
      </c>
      <c r="C19" s="39" t="s">
        <v>77</v>
      </c>
      <c r="D19" s="18">
        <f>VLOOKUP('2122 OLEA Placements'!B19,'2122 Funding Detail'!$A$4:$W$21,23,FALSE)</f>
        <v>7055.6475231240038</v>
      </c>
      <c r="E19" s="8">
        <f>S26</f>
        <v>10</v>
      </c>
      <c r="F19" s="18">
        <f t="shared" si="0"/>
        <v>70556.475231240038</v>
      </c>
      <c r="K19" s="81"/>
    </row>
    <row r="20" spans="2:19" ht="14.5" x14ac:dyDescent="0.35">
      <c r="B20" s="1567">
        <v>9257021</v>
      </c>
      <c r="C20" s="39" t="s">
        <v>78</v>
      </c>
      <c r="D20" s="18">
        <f>VLOOKUP('2122 OLEA Placements'!B20,'2122 Funding Detail'!$A$4:$W$21,23,FALSE)</f>
        <v>3342.1446351352861</v>
      </c>
      <c r="E20" s="8">
        <f>S23</f>
        <v>5</v>
      </c>
      <c r="F20" s="18">
        <f t="shared" si="0"/>
        <v>16710.72317567643</v>
      </c>
      <c r="H20" s="1568" t="s">
        <v>1290</v>
      </c>
      <c r="I20" s="1568" t="s">
        <v>1281</v>
      </c>
      <c r="J20" s="1568">
        <v>232</v>
      </c>
      <c r="K20" s="81">
        <v>226</v>
      </c>
      <c r="L20" s="1578" t="s">
        <v>1281</v>
      </c>
      <c r="N20" s="81">
        <v>226</v>
      </c>
      <c r="O20" s="1580">
        <v>223</v>
      </c>
      <c r="P20" s="1580">
        <v>3</v>
      </c>
      <c r="Q20" s="1580">
        <v>0</v>
      </c>
      <c r="R20" s="1580">
        <v>0</v>
      </c>
      <c r="S20" s="1581">
        <v>0</v>
      </c>
    </row>
    <row r="21" spans="2:19" x14ac:dyDescent="0.25">
      <c r="B21" s="39">
        <v>9257015</v>
      </c>
      <c r="C21" s="39" t="s">
        <v>55</v>
      </c>
      <c r="D21" s="18">
        <f>VLOOKUP('2122 OLEA Placements'!B21,'2122 Funding Detail'!$A$4:$W$21,23,FALSE)</f>
        <v>2499.7830123784788</v>
      </c>
      <c r="E21" s="8">
        <f>S20</f>
        <v>0</v>
      </c>
      <c r="F21" s="18">
        <f t="shared" si="0"/>
        <v>0</v>
      </c>
      <c r="H21" s="1568" t="s">
        <v>1291</v>
      </c>
      <c r="I21" s="1568" t="s">
        <v>1281</v>
      </c>
      <c r="J21" s="1568">
        <v>157</v>
      </c>
      <c r="K21" s="81">
        <v>164</v>
      </c>
      <c r="L21" s="1578" t="s">
        <v>1281</v>
      </c>
      <c r="N21" s="1568">
        <v>164</v>
      </c>
      <c r="O21" s="1568">
        <v>105</v>
      </c>
      <c r="P21" s="1568">
        <v>59</v>
      </c>
      <c r="Q21" s="1568">
        <v>0</v>
      </c>
      <c r="R21" s="1568">
        <v>0</v>
      </c>
      <c r="S21" s="1568">
        <v>3</v>
      </c>
    </row>
    <row r="22" spans="2:19" x14ac:dyDescent="0.25">
      <c r="B22" s="1567">
        <v>9257016</v>
      </c>
      <c r="C22" s="39" t="s">
        <v>80</v>
      </c>
      <c r="D22" s="18">
        <f>VLOOKUP('2122 OLEA Placements'!B22,'2122 Funding Detail'!$A$4:$W$21,23,FALSE)</f>
        <v>8204.4323366744247</v>
      </c>
      <c r="E22" s="8">
        <f>S21</f>
        <v>3</v>
      </c>
      <c r="F22" s="18">
        <f t="shared" si="0"/>
        <v>24613.297010023274</v>
      </c>
      <c r="L22" s="81"/>
    </row>
    <row r="23" spans="2:19" x14ac:dyDescent="0.25">
      <c r="H23" s="1568" t="s">
        <v>1292</v>
      </c>
      <c r="I23" s="1568" t="s">
        <v>1281</v>
      </c>
      <c r="J23" s="1568">
        <v>166</v>
      </c>
      <c r="K23" s="81">
        <v>169</v>
      </c>
      <c r="L23" s="1579" t="s">
        <v>1281</v>
      </c>
      <c r="N23" s="81">
        <v>169</v>
      </c>
      <c r="O23" s="1568">
        <v>169</v>
      </c>
      <c r="P23" s="1568">
        <v>0</v>
      </c>
      <c r="Q23" s="1568">
        <v>0</v>
      </c>
      <c r="R23" s="1568">
        <v>0</v>
      </c>
      <c r="S23" s="1568">
        <v>5</v>
      </c>
    </row>
    <row r="24" spans="2:19" ht="13" x14ac:dyDescent="0.3">
      <c r="E24" s="1568">
        <f>SUM(E5:E23)</f>
        <v>92</v>
      </c>
      <c r="F24" s="1434">
        <f>SUM(F5:F23)</f>
        <v>552667.23376730504</v>
      </c>
      <c r="H24" s="1568" t="s">
        <v>1293</v>
      </c>
      <c r="I24" s="1568" t="s">
        <v>1281</v>
      </c>
      <c r="J24" s="1568">
        <v>76</v>
      </c>
      <c r="K24" s="81">
        <v>78</v>
      </c>
      <c r="L24" s="1579" t="s">
        <v>1281</v>
      </c>
      <c r="N24" s="81">
        <v>78</v>
      </c>
      <c r="O24" s="1568">
        <v>54</v>
      </c>
      <c r="P24" s="1568">
        <v>24</v>
      </c>
      <c r="Q24" s="1568">
        <v>0</v>
      </c>
      <c r="R24" s="1568">
        <v>0</v>
      </c>
      <c r="S24" s="1568">
        <v>1</v>
      </c>
    </row>
    <row r="25" spans="2:19" x14ac:dyDescent="0.25">
      <c r="L25" s="81"/>
    </row>
    <row r="26" spans="2:19" ht="14.5" x14ac:dyDescent="0.35">
      <c r="H26" s="1568" t="s">
        <v>1294</v>
      </c>
      <c r="I26" s="1568" t="s">
        <v>1281</v>
      </c>
      <c r="J26" s="1568">
        <v>99</v>
      </c>
      <c r="K26" s="1568">
        <v>111</v>
      </c>
      <c r="L26" s="1578" t="s">
        <v>1282</v>
      </c>
      <c r="N26" s="1581">
        <v>122</v>
      </c>
      <c r="O26" s="1582">
        <v>106</v>
      </c>
      <c r="P26" s="1582">
        <v>5</v>
      </c>
      <c r="Q26" s="1583">
        <v>11</v>
      </c>
      <c r="R26" s="1583">
        <v>0</v>
      </c>
      <c r="S26" s="1568">
        <v>10</v>
      </c>
    </row>
    <row r="28" spans="2:19" x14ac:dyDescent="0.25">
      <c r="H28" s="1568" t="s">
        <v>1295</v>
      </c>
      <c r="I28" s="1568" t="s">
        <v>1281</v>
      </c>
      <c r="J28" s="1568">
        <v>70</v>
      </c>
      <c r="K28" s="1568">
        <v>78</v>
      </c>
      <c r="L28" s="1578" t="s">
        <v>1281</v>
      </c>
      <c r="N28" s="1568">
        <v>78</v>
      </c>
      <c r="O28" s="1568">
        <v>70</v>
      </c>
      <c r="P28" s="1568">
        <v>0</v>
      </c>
      <c r="Q28" s="1568">
        <v>8</v>
      </c>
      <c r="R28" s="1568">
        <v>0</v>
      </c>
      <c r="S28" s="1568">
        <v>1</v>
      </c>
    </row>
    <row r="30" spans="2:19" x14ac:dyDescent="0.25">
      <c r="H30" s="1568" t="s">
        <v>1296</v>
      </c>
      <c r="I30" s="1568" t="s">
        <v>1281</v>
      </c>
      <c r="J30" s="1568">
        <v>84</v>
      </c>
      <c r="K30" s="1568">
        <v>84</v>
      </c>
      <c r="L30" s="1578" t="s">
        <v>1281</v>
      </c>
      <c r="N30" s="1568">
        <v>84</v>
      </c>
      <c r="O30" s="1568">
        <v>71</v>
      </c>
      <c r="P30" s="1568">
        <v>13</v>
      </c>
      <c r="Q30" s="1568">
        <v>0</v>
      </c>
      <c r="R30" s="1568">
        <v>0</v>
      </c>
      <c r="S30" s="1568">
        <v>1</v>
      </c>
    </row>
    <row r="32" spans="2:19" ht="14.5" x14ac:dyDescent="0.35">
      <c r="H32" s="1568" t="s">
        <v>1297</v>
      </c>
      <c r="I32" s="1568" t="s">
        <v>1281</v>
      </c>
      <c r="J32" s="1568">
        <v>150</v>
      </c>
      <c r="K32" s="81">
        <v>151</v>
      </c>
      <c r="L32" s="1578" t="s">
        <v>1281</v>
      </c>
      <c r="N32" s="1584">
        <v>151</v>
      </c>
      <c r="O32" s="1581">
        <v>151</v>
      </c>
      <c r="P32" s="1581">
        <v>0</v>
      </c>
      <c r="Q32" s="1581">
        <v>0</v>
      </c>
      <c r="R32" s="1581">
        <v>0</v>
      </c>
      <c r="S32" s="1581">
        <v>10</v>
      </c>
    </row>
    <row r="34" spans="8:19" ht="14.5" x14ac:dyDescent="0.35">
      <c r="H34" s="1568" t="s">
        <v>1298</v>
      </c>
      <c r="I34" s="1568" t="s">
        <v>1281</v>
      </c>
      <c r="J34" s="1568">
        <v>79</v>
      </c>
      <c r="K34" s="81">
        <v>85</v>
      </c>
      <c r="L34" s="1578" t="s">
        <v>1281</v>
      </c>
      <c r="N34" s="1584">
        <v>86</v>
      </c>
      <c r="O34" s="1581">
        <v>58</v>
      </c>
      <c r="P34" s="1581">
        <v>28</v>
      </c>
      <c r="Q34" s="1581">
        <v>0</v>
      </c>
      <c r="R34" s="1581">
        <v>0</v>
      </c>
      <c r="S34" s="1581">
        <v>6</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291"/>
  <sheetViews>
    <sheetView zoomScale="85" zoomScaleNormal="85" workbookViewId="0">
      <selection activeCell="D14" sqref="D14"/>
    </sheetView>
  </sheetViews>
  <sheetFormatPr defaultColWidth="9.1796875" defaultRowHeight="12.5" x14ac:dyDescent="0.25"/>
  <cols>
    <col min="1" max="1" width="47.453125" style="276" bestFit="1" customWidth="1"/>
    <col min="2" max="2" width="30.7265625" style="276" customWidth="1"/>
    <col min="3" max="3" width="2.1796875" style="276" bestFit="1" customWidth="1"/>
    <col min="4" max="4" width="30.7265625" style="269" customWidth="1"/>
    <col min="5" max="5" width="8" style="269" customWidth="1"/>
    <col min="6" max="6" width="1.453125" style="269" customWidth="1"/>
    <col min="7" max="7" width="47.26953125" style="269" customWidth="1"/>
    <col min="8" max="8" width="30.81640625" style="269" customWidth="1"/>
    <col min="9" max="9" width="30.7265625" style="269" customWidth="1"/>
    <col min="10" max="10" width="3" style="269" customWidth="1"/>
    <col min="11" max="16384" width="9.1796875" style="276"/>
  </cols>
  <sheetData>
    <row r="1" spans="1:14" ht="18" x14ac:dyDescent="0.4">
      <c r="A1" s="271" t="s">
        <v>350</v>
      </c>
      <c r="B1" s="272"/>
      <c r="C1" s="272"/>
      <c r="D1" s="270"/>
      <c r="E1" s="273"/>
      <c r="F1" s="273"/>
      <c r="G1" s="270"/>
      <c r="H1" s="274"/>
      <c r="I1" s="274"/>
      <c r="J1" s="274"/>
      <c r="K1" s="275"/>
      <c r="L1" s="275"/>
      <c r="M1" s="275"/>
      <c r="N1" s="274"/>
    </row>
    <row r="2" spans="1:14" ht="15" customHeight="1" x14ac:dyDescent="0.4">
      <c r="A2" s="271"/>
      <c r="B2" s="272"/>
      <c r="C2" s="272"/>
      <c r="D2" s="270"/>
      <c r="E2" s="273"/>
      <c r="F2" s="273"/>
      <c r="G2" s="270"/>
      <c r="H2" s="274"/>
      <c r="I2" s="274"/>
      <c r="J2" s="274"/>
      <c r="K2" s="275"/>
      <c r="L2" s="275"/>
      <c r="M2" s="275"/>
      <c r="N2" s="274"/>
    </row>
    <row r="3" spans="1:14" ht="14" x14ac:dyDescent="0.3">
      <c r="A3" s="277" t="s">
        <v>198</v>
      </c>
      <c r="D3" s="270"/>
      <c r="E3" s="270"/>
      <c r="F3" s="270"/>
      <c r="G3" s="270"/>
      <c r="H3" s="278"/>
      <c r="I3" s="274"/>
      <c r="J3" s="274"/>
      <c r="K3" s="275"/>
      <c r="L3" s="279"/>
      <c r="M3" s="275"/>
      <c r="N3" s="280"/>
    </row>
    <row r="4" spans="1:14" ht="13" x14ac:dyDescent="0.3">
      <c r="A4" s="272"/>
      <c r="H4" s="281"/>
      <c r="I4" s="274"/>
      <c r="J4" s="274"/>
      <c r="K4" s="275"/>
      <c r="L4" s="282"/>
      <c r="M4" s="275"/>
      <c r="N4" s="274"/>
    </row>
    <row r="5" spans="1:14" ht="13" x14ac:dyDescent="0.3">
      <c r="A5" s="283" t="s">
        <v>197</v>
      </c>
      <c r="B5" s="441">
        <v>9257015</v>
      </c>
      <c r="C5" s="284"/>
      <c r="D5" s="304" t="str">
        <f>VLOOKUP(B5,'2014-15 Funding Detail'!A3:AH23,2,FALSE)</f>
        <v>Lincoln St Christopher's</v>
      </c>
      <c r="E5" s="286"/>
      <c r="F5" s="286"/>
      <c r="G5" s="285"/>
      <c r="H5" s="281"/>
      <c r="I5" s="274"/>
      <c r="J5" s="274"/>
      <c r="K5" s="275"/>
      <c r="L5" s="282"/>
      <c r="M5" s="275"/>
      <c r="N5" s="274"/>
    </row>
    <row r="6" spans="1:14" ht="13" x14ac:dyDescent="0.3">
      <c r="A6" s="283"/>
      <c r="B6" s="284"/>
      <c r="C6" s="284"/>
      <c r="D6" s="285"/>
      <c r="E6" s="286"/>
      <c r="F6" s="286"/>
      <c r="G6" s="285"/>
      <c r="H6" s="281"/>
      <c r="I6" s="274"/>
      <c r="J6" s="274"/>
      <c r="K6" s="275"/>
      <c r="L6" s="282"/>
      <c r="M6" s="275"/>
      <c r="N6" s="274"/>
    </row>
    <row r="7" spans="1:14" s="301" customFormat="1" ht="13" x14ac:dyDescent="0.3">
      <c r="A7" s="295"/>
      <c r="B7" s="1858" t="s">
        <v>317</v>
      </c>
      <c r="C7" s="1858"/>
      <c r="D7" s="1858"/>
      <c r="E7" s="297"/>
      <c r="F7" s="297"/>
      <c r="G7" s="1859" t="s">
        <v>453</v>
      </c>
      <c r="H7" s="1859"/>
      <c r="I7" s="297"/>
      <c r="J7" s="297"/>
      <c r="K7" s="299"/>
      <c r="L7" s="300"/>
      <c r="M7" s="300"/>
      <c r="N7" s="297"/>
    </row>
    <row r="8" spans="1:14" s="301" customFormat="1" ht="13" x14ac:dyDescent="0.3">
      <c r="A8" s="295"/>
      <c r="B8" s="517"/>
      <c r="C8" s="517"/>
      <c r="D8" s="517"/>
      <c r="E8" s="297"/>
      <c r="F8" s="297"/>
      <c r="G8" s="297"/>
      <c r="H8" s="297"/>
      <c r="I8" s="297"/>
      <c r="J8" s="297"/>
      <c r="K8" s="299"/>
      <c r="L8" s="300"/>
      <c r="M8" s="300"/>
      <c r="N8" s="297"/>
    </row>
    <row r="9" spans="1:14" s="301" customFormat="1" ht="13" x14ac:dyDescent="0.3">
      <c r="A9" s="302" t="s">
        <v>320</v>
      </c>
      <c r="B9" s="517" t="s">
        <v>451</v>
      </c>
      <c r="C9" s="303"/>
      <c r="D9" s="304" t="s">
        <v>452</v>
      </c>
      <c r="E9" s="297"/>
      <c r="F9" s="297"/>
      <c r="G9" s="302" t="s">
        <v>320</v>
      </c>
      <c r="H9" s="518" t="s">
        <v>454</v>
      </c>
      <c r="I9" s="297"/>
      <c r="J9" s="297"/>
      <c r="K9" s="299"/>
      <c r="L9" s="300"/>
      <c r="M9" s="300"/>
      <c r="N9" s="297"/>
    </row>
    <row r="10" spans="1:14" s="301" customFormat="1" x14ac:dyDescent="0.25">
      <c r="A10" s="295" t="s">
        <v>20</v>
      </c>
      <c r="B10" s="294">
        <f>VLOOKUP(B5,'2014-15 Funding Detail'!$A$4:$AK$23,4,FALSE)</f>
        <v>493762.11190507573</v>
      </c>
      <c r="C10" s="294"/>
      <c r="D10" s="294">
        <f>VLOOKUP(B5,'2015-16 Funding Detail'!$A$4:$X$23,4,FALSE)</f>
        <v>493762.11190507573</v>
      </c>
      <c r="E10" s="402"/>
      <c r="F10" s="402"/>
      <c r="G10" s="428" t="s">
        <v>20</v>
      </c>
      <c r="H10" s="400">
        <f>VLOOKUP(B5,'2015-16 Funding Detail'!A4:X23,4,FALSE)</f>
        <v>493762.11190507573</v>
      </c>
      <c r="I10" s="446"/>
      <c r="J10" s="303"/>
      <c r="K10" s="299"/>
      <c r="L10" s="300"/>
      <c r="M10" s="300"/>
      <c r="N10" s="297"/>
    </row>
    <row r="11" spans="1:14" s="301" customFormat="1" x14ac:dyDescent="0.25">
      <c r="A11" s="295" t="s">
        <v>21</v>
      </c>
      <c r="B11" s="294">
        <f>VLOOKUP(B5,'2014-15 Funding Detail'!$A$4:$AK$23,5,FALSE)</f>
        <v>131719.7894229154</v>
      </c>
      <c r="C11" s="294"/>
      <c r="D11" s="294">
        <f>VLOOKUP(B5,'2015-16 Funding Detail'!$A$4:$X$23,5,FALSE)</f>
        <v>131719.7894229154</v>
      </c>
      <c r="E11" s="402"/>
      <c r="F11" s="402"/>
      <c r="G11" s="428" t="s">
        <v>21</v>
      </c>
      <c r="H11" s="400">
        <f>VLOOKUP(B5,'2015-16 Funding Detail'!A4:X23,5,FALSE)</f>
        <v>131719.7894229154</v>
      </c>
      <c r="I11" s="446"/>
      <c r="J11" s="303"/>
      <c r="K11" s="299"/>
      <c r="L11" s="300"/>
      <c r="M11" s="300"/>
      <c r="N11" s="297"/>
    </row>
    <row r="12" spans="1:14" s="301" customFormat="1" x14ac:dyDescent="0.25">
      <c r="A12" s="295" t="s">
        <v>231</v>
      </c>
      <c r="B12" s="294">
        <f>VLOOKUP(B5,'2014-15 Funding Detail'!$A$4:$AK$23,7,FALSE)</f>
        <v>29207</v>
      </c>
      <c r="C12" s="294"/>
      <c r="D12" s="294"/>
      <c r="E12" s="432"/>
      <c r="F12" s="432"/>
      <c r="G12" s="428" t="s">
        <v>231</v>
      </c>
      <c r="H12" s="400"/>
      <c r="I12" s="446"/>
      <c r="J12" s="297"/>
      <c r="K12" s="299"/>
      <c r="L12" s="300"/>
      <c r="M12" s="300"/>
      <c r="N12" s="297"/>
    </row>
    <row r="13" spans="1:14" s="301" customFormat="1" x14ac:dyDescent="0.25">
      <c r="A13" s="295" t="s">
        <v>449</v>
      </c>
      <c r="B13" s="1933">
        <f>VLOOKUP(B5,'2014-15 Funding Detail'!$A$4:$AK$23,8,FALSE)</f>
        <v>1863783.7392846146</v>
      </c>
      <c r="C13" s="294"/>
      <c r="D13" s="294">
        <f>VLOOKUP(B5,'2015-16 Funding Detail'!$A$4:$X$23,8,FALSE)</f>
        <v>71701.363496330887</v>
      </c>
      <c r="E13" s="442">
        <v>2</v>
      </c>
      <c r="F13" s="432"/>
      <c r="G13" s="428" t="s">
        <v>449</v>
      </c>
      <c r="H13" s="400">
        <f>VLOOKUP(B5,'2015-16 Funding Detail'!A4:N23,8,FALSE)</f>
        <v>71701.363496330887</v>
      </c>
      <c r="I13" s="446"/>
      <c r="J13" s="297"/>
      <c r="K13" s="299"/>
      <c r="L13" s="300"/>
      <c r="M13" s="300"/>
      <c r="N13" s="297"/>
    </row>
    <row r="14" spans="1:14" s="301" customFormat="1" x14ac:dyDescent="0.25">
      <c r="A14" s="295" t="s">
        <v>102</v>
      </c>
      <c r="B14" s="1933"/>
      <c r="C14" s="294"/>
      <c r="D14" s="294">
        <f>VLOOKUP(B5,'2015-16 Funding Detail'!$A$4:$X$23,9,FALSE)</f>
        <v>1792534.0874082721</v>
      </c>
      <c r="E14" s="432"/>
      <c r="F14" s="432"/>
      <c r="G14" s="428" t="s">
        <v>102</v>
      </c>
      <c r="H14" s="400">
        <f>VLOOKUP(B5,'2015-16 Funding Detail'!A4:X23,9,FALSE)</f>
        <v>1792534.0874082721</v>
      </c>
      <c r="I14" s="446"/>
      <c r="J14" s="303"/>
      <c r="K14" s="299"/>
      <c r="L14" s="300"/>
      <c r="M14" s="300"/>
      <c r="N14" s="297"/>
    </row>
    <row r="15" spans="1:14" s="301" customFormat="1" x14ac:dyDescent="0.25">
      <c r="A15" s="295" t="s">
        <v>400</v>
      </c>
      <c r="B15" s="1933"/>
      <c r="C15" s="294"/>
      <c r="D15" s="294">
        <f>VLOOKUP(B5,'2015-16 Funding Detail'!$A$4:$X$23,10,FALSE)</f>
        <v>44200.803302156906</v>
      </c>
      <c r="E15" s="432"/>
      <c r="F15" s="432"/>
      <c r="G15" s="428" t="s">
        <v>400</v>
      </c>
      <c r="H15" s="400">
        <f>VLOOKUP(B5,'2015-16 Funding Detail'!A4:X23,10,FALSE)</f>
        <v>44200.803302156906</v>
      </c>
      <c r="I15" s="446"/>
      <c r="J15" s="303"/>
      <c r="K15" s="299"/>
      <c r="L15" s="300"/>
      <c r="M15" s="300"/>
      <c r="N15" s="297"/>
    </row>
    <row r="16" spans="1:14" s="301" customFormat="1" x14ac:dyDescent="0.25">
      <c r="A16" s="295" t="s">
        <v>85</v>
      </c>
      <c r="B16" s="294">
        <f>VLOOKUP(B5,'2014-15 Funding Detail'!$A$4:$AK$23,9,FALSE)</f>
        <v>32148</v>
      </c>
      <c r="C16" s="294"/>
      <c r="D16" s="294">
        <f>VLOOKUP(B5,'2015-16 Funding Detail'!$A$4:$X$23,11,FALSE)</f>
        <v>51794</v>
      </c>
      <c r="E16" s="432"/>
      <c r="F16" s="432"/>
      <c r="G16" s="428" t="s">
        <v>85</v>
      </c>
      <c r="H16" s="400">
        <f>VLOOKUP(B5,'2015-16 Funding Detail'!A4:X23,11,FALSE)</f>
        <v>51794</v>
      </c>
      <c r="I16" s="446"/>
      <c r="J16" s="297"/>
      <c r="K16" s="299"/>
      <c r="L16" s="300"/>
      <c r="M16" s="300"/>
      <c r="N16" s="297"/>
    </row>
    <row r="17" spans="1:14" s="301" customFormat="1" x14ac:dyDescent="0.25">
      <c r="A17" s="295" t="s">
        <v>232</v>
      </c>
      <c r="B17" s="294">
        <f>VLOOKUP(B5,'2014-15 Funding Detail'!$A$4:$AK$23,10,FALSE)</f>
        <v>1056.0795972397032</v>
      </c>
      <c r="C17" s="294"/>
      <c r="D17" s="294">
        <f>VLOOKUP(B5,'2015-16 Funding Detail'!$A$4:$X$23,12,FALSE)</f>
        <v>1056.0795972397032</v>
      </c>
      <c r="E17" s="432"/>
      <c r="F17" s="432"/>
      <c r="G17" s="428" t="s">
        <v>232</v>
      </c>
      <c r="H17" s="400">
        <f>VLOOKUP(B5,'2015-16 Funding Detail'!A4:X23,12,FALSE)</f>
        <v>1056.0795972397032</v>
      </c>
      <c r="I17" s="446"/>
      <c r="J17" s="297"/>
      <c r="K17" s="299"/>
      <c r="L17" s="300"/>
      <c r="M17" s="300"/>
      <c r="N17" s="297"/>
    </row>
    <row r="18" spans="1:14" s="301" customFormat="1" x14ac:dyDescent="0.25">
      <c r="A18" s="295" t="s">
        <v>325</v>
      </c>
      <c r="B18" s="294">
        <f>VLOOKUP(B5,'2014-15 Funding Detail'!$A$4:$AK$23,22,FALSE)</f>
        <v>91167.936383985478</v>
      </c>
      <c r="C18" s="305"/>
      <c r="D18" s="382"/>
      <c r="E18" s="432"/>
      <c r="F18" s="432"/>
      <c r="G18" s="428" t="s">
        <v>325</v>
      </c>
      <c r="H18" s="400">
        <f>VLOOKUP(B5,'2015-16 Funding Detail'!A4:X23,23,FALSE)</f>
        <v>49594.242598289748</v>
      </c>
      <c r="I18" s="446"/>
      <c r="J18" s="297"/>
      <c r="K18" s="299"/>
      <c r="L18" s="300"/>
      <c r="M18" s="300"/>
      <c r="N18" s="297"/>
    </row>
    <row r="19" spans="1:14" s="301" customFormat="1" x14ac:dyDescent="0.25">
      <c r="A19" s="295" t="s">
        <v>351</v>
      </c>
      <c r="B19" s="429">
        <f>VLOOKUP(B5,'2014-15 Funding Detail'!A4:AK23,23,FALSE)</f>
        <v>2642844.6565938313</v>
      </c>
      <c r="C19" s="307">
        <v>1</v>
      </c>
      <c r="D19" s="430">
        <f>VLOOKUP(B5,'2015-16 Funding Detail'!A4:X23,14,FALSE)</f>
        <v>2586768.2351319906</v>
      </c>
      <c r="E19" s="442">
        <v>3</v>
      </c>
      <c r="F19" s="432"/>
      <c r="G19" s="428" t="s">
        <v>318</v>
      </c>
      <c r="H19" s="430">
        <f>VLOOKUP(B5,'2015-16 Funding Detail'!A4:X23,24,FALSE)</f>
        <v>2636362.4777302803</v>
      </c>
      <c r="I19" s="442">
        <v>11</v>
      </c>
      <c r="J19" s="297"/>
      <c r="K19" s="299"/>
      <c r="L19" s="300"/>
      <c r="M19" s="300"/>
      <c r="N19" s="297"/>
    </row>
    <row r="20" spans="1:14" s="301" customFormat="1" x14ac:dyDescent="0.25">
      <c r="A20" s="295"/>
      <c r="B20" s="294"/>
      <c r="C20" s="305"/>
      <c r="D20" s="294"/>
      <c r="E20" s="442"/>
      <c r="F20" s="432"/>
      <c r="G20" s="400"/>
      <c r="H20" s="328"/>
      <c r="I20" s="328"/>
      <c r="J20" s="297"/>
      <c r="K20" s="299"/>
      <c r="L20" s="300"/>
      <c r="M20" s="300"/>
      <c r="N20" s="297"/>
    </row>
    <row r="21" spans="1:14" s="301" customFormat="1" x14ac:dyDescent="0.25">
      <c r="A21" s="295" t="s">
        <v>315</v>
      </c>
      <c r="B21" s="294">
        <f>VLOOKUP(B5,'2014-15 Funding Detail'!A4:AK23,35,FALSE)</f>
        <v>2603201.986744924</v>
      </c>
      <c r="C21" s="305"/>
      <c r="D21" s="294"/>
      <c r="E21" s="442">
        <v>4</v>
      </c>
      <c r="F21" s="432"/>
      <c r="G21" s="435" t="s">
        <v>319</v>
      </c>
      <c r="H21" s="328"/>
      <c r="I21" s="432"/>
      <c r="J21" s="297"/>
      <c r="K21" s="299"/>
      <c r="L21" s="300"/>
      <c r="M21" s="300"/>
      <c r="N21" s="297"/>
    </row>
    <row r="22" spans="1:14" s="301" customFormat="1" ht="13" x14ac:dyDescent="0.3">
      <c r="A22" s="295"/>
      <c r="B22" s="294"/>
      <c r="C22" s="305"/>
      <c r="D22" s="294"/>
      <c r="E22" s="442"/>
      <c r="F22" s="432"/>
      <c r="G22" s="436" t="s">
        <v>322</v>
      </c>
      <c r="H22" s="328"/>
      <c r="I22" s="447"/>
      <c r="J22" s="297"/>
      <c r="K22" s="299"/>
      <c r="L22" s="300"/>
      <c r="M22" s="300"/>
      <c r="N22" s="297"/>
    </row>
    <row r="23" spans="1:14" s="301" customFormat="1" ht="13" x14ac:dyDescent="0.3">
      <c r="A23" s="295"/>
      <c r="B23" s="434" t="s">
        <v>314</v>
      </c>
      <c r="C23" s="305"/>
      <c r="D23" s="513" t="s">
        <v>463</v>
      </c>
      <c r="E23" s="442"/>
      <c r="F23" s="432"/>
      <c r="G23" s="437" t="s">
        <v>323</v>
      </c>
      <c r="H23" s="328">
        <f>VLOOKUP(B5,'2015-16 Funding Detail'!A4:X23,6,FALSE)</f>
        <v>0</v>
      </c>
      <c r="I23" s="448">
        <v>12</v>
      </c>
      <c r="J23" s="297"/>
      <c r="K23" s="299"/>
      <c r="L23" s="300"/>
      <c r="M23" s="300"/>
      <c r="N23" s="297"/>
    </row>
    <row r="24" spans="1:14" s="301" customFormat="1" x14ac:dyDescent="0.25">
      <c r="A24" s="295" t="s">
        <v>233</v>
      </c>
      <c r="B24" s="443">
        <f>VLOOKUP(B5,'2014-15 Funding Detail'!A4:AK23,13,FALSE)</f>
        <v>253.91666666666666</v>
      </c>
      <c r="C24" s="309"/>
      <c r="D24" s="443">
        <f>VLOOKUP(B5,'2015-16 Funding Detail'!$A$4:$X$23,15,FALSE)</f>
        <v>260</v>
      </c>
      <c r="E24" s="442">
        <v>5</v>
      </c>
      <c r="F24" s="432"/>
      <c r="G24" s="569" t="s">
        <v>603</v>
      </c>
      <c r="H24" s="328">
        <f>'2015-16 Funding Detail'!G14</f>
        <v>29207</v>
      </c>
      <c r="I24" s="431"/>
      <c r="J24" s="297"/>
      <c r="K24" s="299"/>
      <c r="L24" s="300"/>
      <c r="M24" s="300"/>
      <c r="N24" s="297"/>
    </row>
    <row r="25" spans="1:14" s="301" customFormat="1" ht="13" x14ac:dyDescent="0.3">
      <c r="A25" s="295"/>
      <c r="B25" s="444"/>
      <c r="C25" s="305"/>
      <c r="D25" s="294"/>
      <c r="E25" s="442"/>
      <c r="F25" s="432"/>
      <c r="G25" s="436" t="s">
        <v>321</v>
      </c>
      <c r="H25" s="328"/>
      <c r="I25" s="431"/>
      <c r="J25" s="297"/>
      <c r="K25" s="299"/>
      <c r="L25" s="300"/>
      <c r="M25" s="300"/>
      <c r="N25" s="297"/>
    </row>
    <row r="26" spans="1:14" s="301" customFormat="1" ht="13" x14ac:dyDescent="0.3">
      <c r="A26" s="295" t="s">
        <v>298</v>
      </c>
      <c r="B26" s="445">
        <f>VLOOKUP(B5,'2014-15 Funding Detail'!A4:AK23,36,FALSE)</f>
        <v>10252.190298962616</v>
      </c>
      <c r="C26" s="305"/>
      <c r="D26" s="294">
        <f>VLOOKUP(B5,'2015-16 Funding Detail'!$A$4:$X$23,17,FALSE)</f>
        <v>9949.1085966615028</v>
      </c>
      <c r="E26" s="442">
        <v>6</v>
      </c>
      <c r="F26" s="432"/>
      <c r="G26" s="437" t="s">
        <v>183</v>
      </c>
      <c r="H26" s="328">
        <f>VLOOKUP(B5,'2015-16 Other Funding'!A7:AE25,26,FALSE)</f>
        <v>35258</v>
      </c>
      <c r="I26" s="448">
        <v>13</v>
      </c>
      <c r="J26" s="297"/>
      <c r="K26" s="299"/>
      <c r="L26" s="300"/>
      <c r="M26" s="300"/>
      <c r="N26" s="297"/>
    </row>
    <row r="27" spans="1:14" s="301" customFormat="1" ht="13" x14ac:dyDescent="0.3">
      <c r="A27" s="295"/>
      <c r="B27" s="445"/>
      <c r="C27" s="305"/>
      <c r="D27" s="294"/>
      <c r="E27" s="442"/>
      <c r="F27" s="432"/>
      <c r="G27" s="437" t="s">
        <v>436</v>
      </c>
      <c r="H27" s="328">
        <f>VLOOKUP(B5,'2015-16 Other Funding'!A7:AE25,28,FALSE)</f>
        <v>21458.333333333336</v>
      </c>
      <c r="I27" s="448"/>
      <c r="J27" s="297"/>
      <c r="K27" s="299"/>
      <c r="L27" s="300"/>
      <c r="M27" s="300"/>
      <c r="N27" s="297"/>
    </row>
    <row r="28" spans="1:14" s="301" customFormat="1" ht="13" x14ac:dyDescent="0.3">
      <c r="A28" s="295" t="s">
        <v>299</v>
      </c>
      <c r="B28" s="445">
        <f>10000</f>
        <v>10000</v>
      </c>
      <c r="C28" s="305"/>
      <c r="D28" s="294">
        <v>10000</v>
      </c>
      <c r="E28" s="442">
        <v>7</v>
      </c>
      <c r="F28" s="432"/>
      <c r="G28" s="437" t="s">
        <v>437</v>
      </c>
      <c r="H28" s="328">
        <f>VLOOKUP(B5,'2015-16 Other Funding'!A7:AE25,27,FALSE)</f>
        <v>0</v>
      </c>
      <c r="I28" s="448">
        <v>14</v>
      </c>
      <c r="J28" s="297"/>
      <c r="K28" s="299"/>
      <c r="L28" s="300"/>
      <c r="M28" s="300"/>
      <c r="N28" s="297"/>
    </row>
    <row r="29" spans="1:14" s="301" customFormat="1" ht="13" x14ac:dyDescent="0.3">
      <c r="A29" s="295"/>
      <c r="B29" s="445"/>
      <c r="C29" s="305"/>
      <c r="D29" s="294"/>
      <c r="E29" s="442"/>
      <c r="F29" s="432"/>
      <c r="G29" s="438" t="s">
        <v>438</v>
      </c>
      <c r="H29" s="328">
        <f>VLOOKUP(B5,'2015-16 Other Funding'!A7:AE25,29,FALSE)</f>
        <v>0</v>
      </c>
      <c r="I29" s="448"/>
      <c r="J29" s="297"/>
      <c r="K29" s="299"/>
      <c r="L29" s="300"/>
      <c r="M29" s="300"/>
      <c r="N29" s="297"/>
    </row>
    <row r="30" spans="1:14" s="301" customFormat="1" ht="13" x14ac:dyDescent="0.3">
      <c r="A30" s="295" t="s">
        <v>316</v>
      </c>
      <c r="B30" s="445">
        <f>VLOOKUP(B5,'2014-15 Funding Detail'!A4:AK23,37,FALSE)</f>
        <v>252.190298962616</v>
      </c>
      <c r="C30" s="305"/>
      <c r="D30" s="294">
        <f>VLOOKUP(B5,'2015-16 Funding Detail'!$A$4:$X$23,19,FALSE)</f>
        <v>-50.891403338497184</v>
      </c>
      <c r="E30" s="442">
        <v>8</v>
      </c>
      <c r="F30" s="432"/>
      <c r="G30" s="438" t="s">
        <v>184</v>
      </c>
      <c r="H30" s="328">
        <f>VLOOKUP(B5,'2015-16 Other Funding'!A7:AE25,30,FALSE)</f>
        <v>0</v>
      </c>
      <c r="I30" s="448">
        <v>15</v>
      </c>
      <c r="J30" s="297"/>
      <c r="K30" s="299"/>
      <c r="L30" s="300"/>
      <c r="M30" s="300"/>
      <c r="N30" s="297"/>
    </row>
    <row r="31" spans="1:14" s="301" customFormat="1" ht="13" x14ac:dyDescent="0.3">
      <c r="A31" s="295"/>
      <c r="B31" s="310"/>
      <c r="C31" s="305"/>
      <c r="D31" s="294"/>
      <c r="E31" s="442"/>
      <c r="F31" s="432"/>
      <c r="G31" s="329"/>
      <c r="H31" s="329"/>
      <c r="I31" s="442"/>
      <c r="J31" s="297"/>
      <c r="K31" s="299"/>
      <c r="L31" s="300"/>
      <c r="M31" s="300"/>
      <c r="N31" s="297"/>
    </row>
    <row r="32" spans="1:14" s="301" customFormat="1" ht="13" x14ac:dyDescent="0.3">
      <c r="A32" s="295" t="s">
        <v>445</v>
      </c>
      <c r="B32" s="310"/>
      <c r="C32" s="305"/>
      <c r="D32" s="294">
        <f>VLOOKUP(B5,'2015-16 Funding Detail'!$A$4:$X$23,21,FALSE)</f>
        <v>252.190298962616</v>
      </c>
      <c r="E32" s="442">
        <v>9</v>
      </c>
      <c r="F32" s="432"/>
      <c r="G32" s="439" t="s">
        <v>353</v>
      </c>
      <c r="H32" s="330">
        <f>VLOOKUP(B5,'DSG US 1516'!A4:D23,4,FALSE)</f>
        <v>18497.38474443516</v>
      </c>
      <c r="I32" s="442">
        <v>16</v>
      </c>
      <c r="J32" s="297"/>
      <c r="K32" s="299"/>
      <c r="L32" s="300"/>
      <c r="M32" s="300"/>
      <c r="N32" s="297"/>
    </row>
    <row r="33" spans="1:14" s="301" customFormat="1" ht="13" x14ac:dyDescent="0.3">
      <c r="A33" s="295"/>
      <c r="B33" s="310"/>
      <c r="C33" s="305"/>
      <c r="D33" s="294"/>
      <c r="E33" s="442"/>
      <c r="F33" s="432"/>
      <c r="G33" s="437" t="s">
        <v>324</v>
      </c>
      <c r="H33" s="430">
        <f>SUM(H23:H32)</f>
        <v>104420.7180777685</v>
      </c>
      <c r="I33" s="442">
        <v>17</v>
      </c>
      <c r="J33" s="297"/>
      <c r="K33" s="299"/>
      <c r="L33" s="300"/>
      <c r="M33" s="300"/>
      <c r="N33" s="297"/>
    </row>
    <row r="34" spans="1:14" s="301" customFormat="1" x14ac:dyDescent="0.25">
      <c r="A34" s="295" t="s">
        <v>446</v>
      </c>
      <c r="B34" s="305"/>
      <c r="C34" s="305"/>
      <c r="D34" s="294">
        <f>VLOOKUP(B5,'2015-16 Funding Detail'!$A$4:$X$23,23,FALSE)</f>
        <v>49594.242598289748</v>
      </c>
      <c r="E34" s="442">
        <v>10</v>
      </c>
      <c r="F34" s="432"/>
      <c r="G34" s="400"/>
      <c r="H34" s="328"/>
      <c r="I34" s="442"/>
      <c r="J34" s="297"/>
      <c r="K34" s="299"/>
      <c r="L34" s="300"/>
      <c r="M34" s="300"/>
      <c r="N34" s="297"/>
    </row>
    <row r="35" spans="1:14" s="301" customFormat="1" ht="13" x14ac:dyDescent="0.3">
      <c r="A35" s="295"/>
      <c r="B35" s="305"/>
      <c r="C35" s="305"/>
      <c r="D35" s="294"/>
      <c r="E35" s="442"/>
      <c r="F35" s="432"/>
      <c r="G35" s="440" t="s">
        <v>456</v>
      </c>
      <c r="H35" s="433">
        <f>H19+H33</f>
        <v>2740783.1958080488</v>
      </c>
      <c r="I35" s="442">
        <v>18</v>
      </c>
      <c r="J35" s="297"/>
      <c r="K35" s="299"/>
      <c r="L35" s="300"/>
      <c r="M35" s="300"/>
      <c r="N35" s="297"/>
    </row>
    <row r="36" spans="1:14" s="301" customFormat="1" ht="13.5" thickBot="1" x14ac:dyDescent="0.35">
      <c r="A36" s="295"/>
      <c r="B36" s="305"/>
      <c r="C36" s="305"/>
      <c r="D36" s="305"/>
      <c r="E36" s="442"/>
      <c r="F36" s="432"/>
      <c r="G36" s="440"/>
      <c r="H36" s="433"/>
      <c r="I36" s="442"/>
      <c r="J36" s="297"/>
      <c r="K36" s="299"/>
      <c r="L36" s="300"/>
      <c r="M36" s="300"/>
      <c r="N36" s="297"/>
    </row>
    <row r="37" spans="1:14" s="301" customFormat="1" ht="13" x14ac:dyDescent="0.3">
      <c r="B37" s="468" t="s">
        <v>239</v>
      </c>
      <c r="C37" s="469"/>
      <c r="D37" s="470" t="s">
        <v>240</v>
      </c>
      <c r="E37" s="442">
        <v>19</v>
      </c>
      <c r="F37" s="432"/>
      <c r="G37" s="312" t="s">
        <v>448</v>
      </c>
      <c r="H37" s="449" t="s">
        <v>138</v>
      </c>
      <c r="I37" s="450"/>
      <c r="J37" s="297"/>
      <c r="K37" s="299"/>
      <c r="L37" s="300"/>
      <c r="M37" s="300"/>
      <c r="N37" s="297"/>
    </row>
    <row r="38" spans="1:14" s="301" customFormat="1" ht="13" x14ac:dyDescent="0.3">
      <c r="A38" s="295"/>
      <c r="B38" s="471" t="s">
        <v>2</v>
      </c>
      <c r="C38" s="472"/>
      <c r="D38" s="473">
        <f>VLOOKUP(B5,'Band Calculations 1516'!$A$6:$H$23,4,FALSE)</f>
        <v>6.0483870967741937E-2</v>
      </c>
      <c r="E38" s="442"/>
      <c r="F38" s="432"/>
      <c r="G38" s="451" t="s">
        <v>461</v>
      </c>
      <c r="H38" s="452">
        <f>VLOOKUP(B5,'Band Calculations 1516'!A6:K23,9,FALSE)</f>
        <v>10</v>
      </c>
      <c r="I38" s="442">
        <v>21</v>
      </c>
      <c r="J38" s="297"/>
      <c r="K38" s="299"/>
      <c r="L38" s="300"/>
      <c r="M38" s="300"/>
      <c r="N38" s="297"/>
    </row>
    <row r="39" spans="1:14" s="301" customFormat="1" ht="13" x14ac:dyDescent="0.3">
      <c r="A39" s="295"/>
      <c r="B39" s="471" t="s">
        <v>3</v>
      </c>
      <c r="C39" s="472"/>
      <c r="D39" s="473">
        <f>VLOOKUP(B5,'Band Calculations 1516'!$A$6:$H$23,5,FALSE)</f>
        <v>0.22177419354838709</v>
      </c>
      <c r="E39" s="442"/>
      <c r="F39" s="432"/>
      <c r="G39" s="451" t="s">
        <v>462</v>
      </c>
      <c r="H39" s="452">
        <f>VLOOKUP(B5,'Band Calculations 1516'!A50:K67,9,FALSE)</f>
        <v>10</v>
      </c>
      <c r="I39" s="442"/>
      <c r="J39" s="297"/>
      <c r="K39" s="299"/>
      <c r="L39" s="300"/>
      <c r="M39" s="300"/>
      <c r="N39" s="297"/>
    </row>
    <row r="40" spans="1:14" s="301" customFormat="1" ht="13" x14ac:dyDescent="0.3">
      <c r="A40" s="295"/>
      <c r="B40" s="471" t="s">
        <v>5</v>
      </c>
      <c r="C40" s="472"/>
      <c r="D40" s="473">
        <f>VLOOKUP(B5,'Band Calculations 1516'!$A$6:$H$23,6,FALSE)</f>
        <v>0.65322580645161288</v>
      </c>
      <c r="E40" s="442"/>
      <c r="F40" s="432"/>
      <c r="G40" s="451"/>
      <c r="H40" s="453"/>
      <c r="I40" s="442"/>
      <c r="J40" s="297"/>
      <c r="K40" s="299"/>
      <c r="L40" s="300"/>
      <c r="M40" s="300"/>
      <c r="N40" s="297"/>
    </row>
    <row r="41" spans="1:14" s="301" customFormat="1" ht="13" x14ac:dyDescent="0.3">
      <c r="A41" s="295"/>
      <c r="B41" s="471" t="s">
        <v>7</v>
      </c>
      <c r="C41" s="472"/>
      <c r="D41" s="473">
        <f>VLOOKUP(B5,'Band Calculations 1516'!$A$6:$H$23,7,FALSE)</f>
        <v>0</v>
      </c>
      <c r="E41" s="442"/>
      <c r="F41" s="432"/>
      <c r="G41" s="454" t="s">
        <v>457</v>
      </c>
      <c r="H41" s="455">
        <f>VLOOKUP(B5,'Band Calculations 1516'!A6:K23,10,FALSE)</f>
        <v>231</v>
      </c>
      <c r="I41" s="442">
        <v>22</v>
      </c>
      <c r="J41" s="297"/>
      <c r="K41" s="299"/>
      <c r="L41" s="300"/>
      <c r="M41" s="300"/>
      <c r="N41" s="297"/>
    </row>
    <row r="42" spans="1:14" s="301" customFormat="1" ht="13.5" thickBot="1" x14ac:dyDescent="0.35">
      <c r="A42" s="295"/>
      <c r="B42" s="474" t="s">
        <v>8</v>
      </c>
      <c r="C42" s="475"/>
      <c r="D42" s="634">
        <f>VLOOKUP(B5,'Band Calculations 1516'!$A$6:$H$23,8,FALSE)</f>
        <v>6.4516129032258063E-2</v>
      </c>
      <c r="E42" s="442"/>
      <c r="F42" s="432"/>
      <c r="G42" s="454" t="s">
        <v>458</v>
      </c>
      <c r="H42" s="455">
        <f>VLOOKUP(B5,'Band Calculations 1516'!A50:K67,10,FALSE)</f>
        <v>231</v>
      </c>
      <c r="I42" s="442"/>
      <c r="J42" s="297"/>
      <c r="K42" s="299"/>
      <c r="L42" s="300"/>
      <c r="M42" s="300"/>
      <c r="N42" s="297"/>
    </row>
    <row r="43" spans="1:14" s="301" customFormat="1" ht="13.5" thickBot="1" x14ac:dyDescent="0.35">
      <c r="A43" s="295"/>
      <c r="B43" s="476"/>
      <c r="C43" s="328"/>
      <c r="D43" s="477"/>
      <c r="E43" s="442"/>
      <c r="F43" s="432"/>
      <c r="G43" s="454"/>
      <c r="H43" s="455"/>
      <c r="I43" s="442"/>
      <c r="J43" s="297"/>
      <c r="K43" s="299"/>
      <c r="L43" s="300"/>
      <c r="M43" s="300"/>
      <c r="N43" s="297"/>
    </row>
    <row r="44" spans="1:14" s="301" customFormat="1" ht="12.75" customHeight="1" x14ac:dyDescent="0.3">
      <c r="A44" s="295"/>
      <c r="B44" s="478" t="s">
        <v>327</v>
      </c>
      <c r="C44" s="469"/>
      <c r="D44" s="479" t="s">
        <v>148</v>
      </c>
      <c r="E44" s="442"/>
      <c r="F44" s="432"/>
      <c r="G44" s="454" t="s">
        <v>459</v>
      </c>
      <c r="H44" s="455">
        <f>VLOOKUP(B5,'Band Calculations 1516'!A28:L45,9,FALSE)</f>
        <v>19</v>
      </c>
      <c r="I44" s="442">
        <v>23</v>
      </c>
      <c r="J44" s="297"/>
      <c r="K44" s="299"/>
      <c r="L44" s="300"/>
      <c r="M44" s="300"/>
      <c r="N44" s="297"/>
    </row>
    <row r="45" spans="1:14" s="301" customFormat="1" ht="13.5" thickBot="1" x14ac:dyDescent="0.35">
      <c r="A45" s="295"/>
      <c r="B45" s="474" t="s">
        <v>326</v>
      </c>
      <c r="C45" s="475"/>
      <c r="D45" s="480">
        <f>VLOOKUP(B5,'Band Calculations 1516'!A108:W125,23,FALSE)</f>
        <v>7340.139439256769</v>
      </c>
      <c r="E45" s="442">
        <v>20</v>
      </c>
      <c r="F45" s="432"/>
      <c r="G45" s="456" t="s">
        <v>460</v>
      </c>
      <c r="H45" s="457">
        <f>VLOOKUP(B5,'Band Calculations 1516'!A72:I89,9,FALSE)</f>
        <v>19</v>
      </c>
      <c r="I45" s="442"/>
      <c r="J45" s="297"/>
      <c r="K45" s="299"/>
      <c r="L45" s="300"/>
      <c r="M45" s="300"/>
      <c r="N45" s="297"/>
    </row>
    <row r="46" spans="1:14" s="301" customFormat="1" ht="13" thickBot="1" x14ac:dyDescent="0.3">
      <c r="A46" s="407"/>
      <c r="B46" s="481"/>
      <c r="C46" s="481"/>
      <c r="D46" s="294"/>
      <c r="E46" s="442"/>
      <c r="F46" s="432"/>
      <c r="G46" s="432"/>
      <c r="H46" s="328"/>
      <c r="I46" s="395"/>
      <c r="J46" s="297"/>
      <c r="K46" s="299"/>
      <c r="L46" s="300"/>
      <c r="M46" s="300"/>
      <c r="N46" s="297"/>
    </row>
    <row r="47" spans="1:14" s="301" customFormat="1" ht="13" x14ac:dyDescent="0.3">
      <c r="A47" s="404" t="s">
        <v>447</v>
      </c>
      <c r="B47" s="482"/>
      <c r="C47" s="482"/>
      <c r="D47" s="483"/>
      <c r="E47" s="1869"/>
      <c r="F47" s="1870"/>
      <c r="G47" s="1870"/>
      <c r="H47" s="1871"/>
      <c r="I47" s="399">
        <v>24</v>
      </c>
      <c r="J47" s="315"/>
    </row>
    <row r="48" spans="1:14" s="301" customFormat="1" ht="13" x14ac:dyDescent="0.3">
      <c r="A48" s="405" t="s">
        <v>235</v>
      </c>
      <c r="B48" s="484" t="s">
        <v>1</v>
      </c>
      <c r="C48" s="485"/>
      <c r="D48" s="484" t="s">
        <v>57</v>
      </c>
      <c r="E48" s="1863" t="s">
        <v>484</v>
      </c>
      <c r="F48" s="1864"/>
      <c r="G48" s="1864"/>
      <c r="H48" s="1865"/>
      <c r="I48" s="398"/>
      <c r="J48" s="306"/>
    </row>
    <row r="49" spans="1:10" s="301" customFormat="1" x14ac:dyDescent="0.25">
      <c r="A49" s="406"/>
      <c r="B49" s="486"/>
      <c r="C49" s="485"/>
      <c r="D49" s="487"/>
      <c r="E49" s="1866"/>
      <c r="F49" s="1867"/>
      <c r="G49" s="1867"/>
      <c r="H49" s="1868"/>
      <c r="I49" s="400"/>
      <c r="J49" s="306"/>
    </row>
    <row r="50" spans="1:10" s="301" customFormat="1" x14ac:dyDescent="0.25">
      <c r="A50" s="318" t="s">
        <v>2</v>
      </c>
      <c r="B50" s="488" t="s">
        <v>50</v>
      </c>
      <c r="C50" s="489"/>
      <c r="D50" s="490">
        <v>11692.020638096787</v>
      </c>
      <c r="E50" s="1934" t="s">
        <v>480</v>
      </c>
      <c r="F50" s="1934"/>
      <c r="G50" s="1934"/>
      <c r="H50" s="1935"/>
      <c r="I50" s="400"/>
      <c r="J50" s="306"/>
    </row>
    <row r="51" spans="1:10" s="301" customFormat="1" x14ac:dyDescent="0.25">
      <c r="A51" s="319"/>
      <c r="B51" s="491"/>
      <c r="C51" s="489"/>
      <c r="D51" s="490"/>
      <c r="E51" s="1936"/>
      <c r="F51" s="1936"/>
      <c r="G51" s="1936"/>
      <c r="H51" s="1937"/>
      <c r="I51" s="400"/>
      <c r="J51" s="306"/>
    </row>
    <row r="52" spans="1:10" s="301" customFormat="1" x14ac:dyDescent="0.25">
      <c r="A52" s="318" t="s">
        <v>3</v>
      </c>
      <c r="B52" s="491" t="s">
        <v>4</v>
      </c>
      <c r="C52" s="489"/>
      <c r="D52" s="490">
        <v>7350.1419469065795</v>
      </c>
      <c r="E52" s="1934" t="s">
        <v>481</v>
      </c>
      <c r="F52" s="1934"/>
      <c r="G52" s="1934"/>
      <c r="H52" s="1935"/>
      <c r="I52" s="400"/>
      <c r="J52" s="306"/>
    </row>
    <row r="53" spans="1:10" s="301" customFormat="1" x14ac:dyDescent="0.25">
      <c r="A53" s="319"/>
      <c r="B53" s="491"/>
      <c r="C53" s="489"/>
      <c r="D53" s="490"/>
      <c r="E53" s="1938"/>
      <c r="F53" s="1938"/>
      <c r="G53" s="1938"/>
      <c r="H53" s="1939"/>
      <c r="I53" s="401"/>
      <c r="J53" s="306"/>
    </row>
    <row r="54" spans="1:10" s="301" customFormat="1" x14ac:dyDescent="0.25">
      <c r="A54" s="318" t="s">
        <v>5</v>
      </c>
      <c r="B54" s="491" t="s">
        <v>6</v>
      </c>
      <c r="C54" s="489"/>
      <c r="D54" s="490">
        <v>6243.7244928897762</v>
      </c>
      <c r="E54" s="1934" t="s">
        <v>482</v>
      </c>
      <c r="F54" s="1934"/>
      <c r="G54" s="1934"/>
      <c r="H54" s="1935"/>
      <c r="I54" s="401"/>
      <c r="J54" s="306"/>
    </row>
    <row r="55" spans="1:10" s="301" customFormat="1" x14ac:dyDescent="0.25">
      <c r="A55" s="319"/>
      <c r="B55" s="491"/>
      <c r="C55" s="489"/>
      <c r="D55" s="490"/>
      <c r="E55" s="1936"/>
      <c r="F55" s="1936"/>
      <c r="G55" s="1936"/>
      <c r="H55" s="1937"/>
      <c r="I55" s="397"/>
      <c r="J55" s="306"/>
    </row>
    <row r="56" spans="1:10" s="301" customFormat="1" x14ac:dyDescent="0.25">
      <c r="A56" s="318" t="s">
        <v>7</v>
      </c>
      <c r="B56" s="491" t="s">
        <v>50</v>
      </c>
      <c r="C56" s="489"/>
      <c r="D56" s="490">
        <v>11692.020638096787</v>
      </c>
      <c r="E56" s="1934" t="s">
        <v>480</v>
      </c>
      <c r="F56" s="1934"/>
      <c r="G56" s="1934"/>
      <c r="H56" s="1935"/>
      <c r="I56" s="397"/>
      <c r="J56" s="306"/>
    </row>
    <row r="57" spans="1:10" s="301" customFormat="1" ht="12" customHeight="1" x14ac:dyDescent="0.25">
      <c r="A57" s="319"/>
      <c r="B57" s="491"/>
      <c r="C57" s="489"/>
      <c r="D57" s="490"/>
      <c r="E57" s="1936"/>
      <c r="F57" s="1936"/>
      <c r="G57" s="1936"/>
      <c r="H57" s="1937"/>
      <c r="I57" s="397"/>
      <c r="J57" s="306"/>
    </row>
    <row r="58" spans="1:10" s="301" customFormat="1" ht="12" customHeight="1" x14ac:dyDescent="0.25">
      <c r="A58" s="318" t="s">
        <v>8</v>
      </c>
      <c r="B58" s="492" t="s">
        <v>50</v>
      </c>
      <c r="C58" s="489"/>
      <c r="D58" s="490">
        <v>11692.020638096787</v>
      </c>
      <c r="E58" s="1934" t="s">
        <v>480</v>
      </c>
      <c r="F58" s="1934"/>
      <c r="G58" s="1934"/>
      <c r="H58" s="1935"/>
      <c r="I58" s="397"/>
      <c r="J58" s="306"/>
    </row>
    <row r="59" spans="1:10" s="301" customFormat="1" ht="12" customHeight="1" x14ac:dyDescent="0.25">
      <c r="A59" s="319"/>
      <c r="B59" s="492"/>
      <c r="C59" s="489"/>
      <c r="D59" s="490"/>
      <c r="E59" s="1936"/>
      <c r="F59" s="1936"/>
      <c r="G59" s="1936"/>
      <c r="H59" s="1937"/>
      <c r="I59" s="397"/>
      <c r="J59" s="306"/>
    </row>
    <row r="60" spans="1:10" s="301" customFormat="1" ht="12" customHeight="1" thickBot="1" x14ac:dyDescent="0.3">
      <c r="A60" s="403" t="s">
        <v>8</v>
      </c>
      <c r="B60" s="493" t="s">
        <v>375</v>
      </c>
      <c r="C60" s="494"/>
      <c r="D60" s="495">
        <v>2635.0478891670464</v>
      </c>
      <c r="E60" s="1940" t="s">
        <v>483</v>
      </c>
      <c r="F60" s="1941"/>
      <c r="G60" s="1941"/>
      <c r="H60" s="1942"/>
      <c r="I60" s="397"/>
      <c r="J60" s="306"/>
    </row>
    <row r="61" spans="1:10" s="301" customFormat="1" ht="12" customHeight="1" thickBot="1" x14ac:dyDescent="0.3">
      <c r="A61" s="315"/>
      <c r="B61" s="402"/>
      <c r="C61" s="496"/>
      <c r="D61" s="402"/>
      <c r="E61" s="459"/>
      <c r="F61" s="329"/>
      <c r="G61" s="402"/>
      <c r="H61" s="402"/>
      <c r="I61" s="402"/>
      <c r="J61" s="306"/>
    </row>
    <row r="62" spans="1:10" s="301" customFormat="1" ht="12" customHeight="1" x14ac:dyDescent="0.3">
      <c r="A62" s="313" t="s">
        <v>45</v>
      </c>
      <c r="B62" s="497"/>
      <c r="C62" s="497"/>
      <c r="D62" s="460"/>
      <c r="E62" s="515"/>
      <c r="F62" s="460"/>
      <c r="G62" s="460"/>
      <c r="H62" s="461"/>
      <c r="I62" s="402"/>
      <c r="J62" s="306"/>
    </row>
    <row r="63" spans="1:10" s="301" customFormat="1" ht="12" customHeight="1" x14ac:dyDescent="0.3">
      <c r="A63" s="316" t="s">
        <v>19</v>
      </c>
      <c r="B63" s="498" t="s">
        <v>20</v>
      </c>
      <c r="C63" s="489"/>
      <c r="D63" s="499" t="s">
        <v>21</v>
      </c>
      <c r="E63" s="399"/>
      <c r="F63" s="402"/>
      <c r="G63" s="462" t="s">
        <v>46</v>
      </c>
      <c r="H63" s="408" t="s">
        <v>64</v>
      </c>
      <c r="I63" s="399">
        <v>25</v>
      </c>
      <c r="J63" s="306"/>
    </row>
    <row r="64" spans="1:10" s="301" customFormat="1" ht="12" customHeight="1" x14ac:dyDescent="0.25">
      <c r="A64" s="317" t="s">
        <v>15</v>
      </c>
      <c r="B64" s="490">
        <v>314686.51772419503</v>
      </c>
      <c r="C64" s="489"/>
      <c r="D64" s="490">
        <v>69201.680689977453</v>
      </c>
      <c r="E64" s="399"/>
      <c r="F64" s="402"/>
      <c r="G64" s="516" t="s">
        <v>81</v>
      </c>
      <c r="H64" s="463">
        <f>'2016-17 Funding Detail'!$F$17</f>
        <v>164817</v>
      </c>
      <c r="I64" s="402"/>
      <c r="J64" s="306"/>
    </row>
    <row r="65" spans="1:11" s="301" customFormat="1" ht="12" customHeight="1" x14ac:dyDescent="0.25">
      <c r="A65" s="317" t="s">
        <v>16</v>
      </c>
      <c r="B65" s="490">
        <v>405763.82046267512</v>
      </c>
      <c r="C65" s="489"/>
      <c r="D65" s="490">
        <v>88790.687513148558</v>
      </c>
      <c r="E65" s="399"/>
      <c r="F65" s="402"/>
      <c r="G65" s="516" t="s">
        <v>84</v>
      </c>
      <c r="H65" s="463">
        <f>'2016-17 Funding Detail'!$F$18</f>
        <v>233134</v>
      </c>
      <c r="I65" s="402"/>
      <c r="J65" s="306"/>
    </row>
    <row r="66" spans="1:11" s="301" customFormat="1" ht="12" customHeight="1" x14ac:dyDescent="0.25">
      <c r="A66" s="317" t="s">
        <v>17</v>
      </c>
      <c r="B66" s="490">
        <v>418723.18610831723</v>
      </c>
      <c r="C66" s="489"/>
      <c r="D66" s="490">
        <v>117027.3922528728</v>
      </c>
      <c r="E66" s="399"/>
      <c r="F66" s="402"/>
      <c r="G66" s="516" t="s">
        <v>82</v>
      </c>
      <c r="H66" s="463">
        <f>'2016-17 Funding Detail'!$F$19</f>
        <v>206948</v>
      </c>
      <c r="I66" s="402"/>
      <c r="J66" s="306"/>
    </row>
    <row r="67" spans="1:11" s="301" customFormat="1" ht="12" customHeight="1" x14ac:dyDescent="0.25">
      <c r="A67" s="383" t="s">
        <v>464</v>
      </c>
      <c r="B67" s="490">
        <v>493762.11190507573</v>
      </c>
      <c r="C67" s="489"/>
      <c r="D67" s="490">
        <v>131719.7894229154</v>
      </c>
      <c r="E67" s="399"/>
      <c r="F67" s="402"/>
      <c r="G67" s="516" t="s">
        <v>83</v>
      </c>
      <c r="H67" s="463">
        <f>'2016-17 Funding Detail'!$F$20</f>
        <v>254108</v>
      </c>
      <c r="I67" s="402"/>
      <c r="J67" s="306"/>
    </row>
    <row r="68" spans="1:11" s="301" customFormat="1" ht="12" customHeight="1" x14ac:dyDescent="0.25">
      <c r="A68" s="320" t="s">
        <v>49</v>
      </c>
      <c r="B68" s="500">
        <v>280697.16623783787</v>
      </c>
      <c r="C68" s="489"/>
      <c r="D68" s="500">
        <v>55663.058379368813</v>
      </c>
      <c r="E68" s="399"/>
      <c r="F68" s="402"/>
      <c r="G68" s="402"/>
      <c r="H68" s="464"/>
      <c r="I68" s="402"/>
      <c r="J68" s="306"/>
    </row>
    <row r="69" spans="1:11" s="301" customFormat="1" ht="12" customHeight="1" thickBot="1" x14ac:dyDescent="0.3">
      <c r="A69" s="409" t="s">
        <v>22</v>
      </c>
      <c r="B69" s="501">
        <v>360067.26321081078</v>
      </c>
      <c r="C69" s="494"/>
      <c r="D69" s="501">
        <v>58044.118057617408</v>
      </c>
      <c r="E69" s="465"/>
      <c r="F69" s="466"/>
      <c r="G69" s="466"/>
      <c r="H69" s="467"/>
      <c r="I69" s="402"/>
      <c r="J69" s="306"/>
    </row>
    <row r="70" spans="1:11" s="301" customFormat="1" ht="12" customHeight="1" x14ac:dyDescent="0.25">
      <c r="A70" s="396"/>
      <c r="B70" s="321"/>
      <c r="C70" s="321"/>
      <c r="D70" s="306"/>
      <c r="E70" s="314"/>
      <c r="F70" s="311"/>
      <c r="G70" s="306"/>
      <c r="H70" s="306"/>
      <c r="I70" s="306"/>
      <c r="J70" s="306"/>
    </row>
    <row r="71" spans="1:11" s="301" customFormat="1" ht="12" customHeight="1" x14ac:dyDescent="0.25">
      <c r="A71" s="315"/>
      <c r="B71" s="306"/>
      <c r="C71" s="315"/>
      <c r="D71" s="306"/>
      <c r="E71" s="314"/>
      <c r="F71" s="311"/>
      <c r="G71" s="306"/>
      <c r="H71" s="306"/>
      <c r="I71" s="306"/>
      <c r="J71" s="306"/>
    </row>
    <row r="72" spans="1:11" s="301" customFormat="1" ht="12" customHeight="1" x14ac:dyDescent="0.25">
      <c r="D72" s="311"/>
      <c r="E72" s="311"/>
      <c r="F72" s="311"/>
      <c r="G72" s="311"/>
      <c r="H72" s="311"/>
      <c r="I72" s="306"/>
      <c r="J72" s="306"/>
    </row>
    <row r="73" spans="1:11" s="301" customFormat="1" ht="12" customHeight="1" x14ac:dyDescent="0.25">
      <c r="A73" s="1879" t="s">
        <v>492</v>
      </c>
      <c r="B73" s="1879"/>
      <c r="C73" s="1879"/>
      <c r="D73" s="1879"/>
      <c r="E73" s="1879"/>
      <c r="F73" s="311"/>
      <c r="G73" s="1879" t="s">
        <v>473</v>
      </c>
      <c r="H73" s="1879"/>
      <c r="I73" s="1879"/>
      <c r="J73" s="326"/>
      <c r="K73" s="326"/>
    </row>
    <row r="74" spans="1:11" s="301" customFormat="1" x14ac:dyDescent="0.25">
      <c r="A74" s="1879"/>
      <c r="B74" s="1879"/>
      <c r="C74" s="1879"/>
      <c r="D74" s="1879"/>
      <c r="E74" s="1879"/>
      <c r="F74" s="311"/>
      <c r="G74" s="1879"/>
      <c r="H74" s="1879"/>
      <c r="I74" s="1879"/>
      <c r="J74" s="326"/>
      <c r="K74" s="326"/>
    </row>
    <row r="75" spans="1:11" s="301" customFormat="1" ht="12" customHeight="1" x14ac:dyDescent="0.25">
      <c r="A75" s="1879"/>
      <c r="B75" s="1879"/>
      <c r="C75" s="1879"/>
      <c r="D75" s="1879"/>
      <c r="E75" s="1879"/>
      <c r="F75" s="311"/>
      <c r="G75" s="1879"/>
      <c r="H75" s="1879"/>
      <c r="I75" s="1879"/>
      <c r="J75" s="311"/>
    </row>
    <row r="76" spans="1:11" s="301" customFormat="1" x14ac:dyDescent="0.25">
      <c r="A76" s="1879"/>
      <c r="B76" s="1879"/>
      <c r="C76" s="1879"/>
      <c r="D76" s="1879"/>
      <c r="E76" s="1879"/>
      <c r="F76" s="311"/>
      <c r="G76" s="1879"/>
      <c r="H76" s="1879"/>
      <c r="I76" s="1879"/>
      <c r="J76" s="311"/>
    </row>
    <row r="77" spans="1:11" s="301" customFormat="1" x14ac:dyDescent="0.25">
      <c r="A77" s="1879"/>
      <c r="B77" s="1879"/>
      <c r="C77" s="1879"/>
      <c r="D77" s="1879"/>
      <c r="E77" s="1879"/>
      <c r="F77" s="311"/>
      <c r="G77" s="1879"/>
      <c r="H77" s="1879"/>
      <c r="I77" s="1879"/>
      <c r="J77" s="311"/>
    </row>
    <row r="78" spans="1:11" s="301" customFormat="1" ht="12" customHeight="1" x14ac:dyDescent="0.25">
      <c r="D78" s="311"/>
      <c r="E78" s="311"/>
      <c r="F78" s="311"/>
      <c r="H78" s="322"/>
      <c r="I78" s="322"/>
      <c r="J78" s="311"/>
    </row>
    <row r="79" spans="1:11" s="301" customFormat="1" ht="12" customHeight="1" x14ac:dyDescent="0.25">
      <c r="A79" s="1943" t="s">
        <v>503</v>
      </c>
      <c r="B79" s="1943"/>
      <c r="C79" s="1943"/>
      <c r="D79" s="1943"/>
      <c r="E79" s="1943"/>
      <c r="F79" s="323"/>
      <c r="G79" s="1879" t="s">
        <v>475</v>
      </c>
      <c r="H79" s="1879"/>
      <c r="I79" s="1879"/>
      <c r="J79" s="311"/>
    </row>
    <row r="80" spans="1:11" s="301" customFormat="1" ht="12" customHeight="1" x14ac:dyDescent="0.25">
      <c r="A80" s="1943"/>
      <c r="B80" s="1943"/>
      <c r="C80" s="1943"/>
      <c r="D80" s="1943"/>
      <c r="E80" s="1943"/>
      <c r="F80" s="323"/>
      <c r="G80" s="1879"/>
      <c r="H80" s="1879"/>
      <c r="I80" s="1879"/>
      <c r="J80" s="311"/>
    </row>
    <row r="81" spans="1:10" s="301" customFormat="1" ht="12" customHeight="1" x14ac:dyDescent="0.25">
      <c r="A81" s="1943"/>
      <c r="B81" s="1943"/>
      <c r="C81" s="1943"/>
      <c r="D81" s="1943"/>
      <c r="E81" s="1943"/>
      <c r="F81" s="323"/>
      <c r="G81" s="1879"/>
      <c r="H81" s="1879"/>
      <c r="I81" s="1879"/>
      <c r="J81" s="311"/>
    </row>
    <row r="82" spans="1:10" s="301" customFormat="1" ht="12" customHeight="1" x14ac:dyDescent="0.25">
      <c r="A82" s="1943"/>
      <c r="B82" s="1943"/>
      <c r="C82" s="1943"/>
      <c r="D82" s="1943"/>
      <c r="E82" s="1943"/>
      <c r="F82" s="323"/>
      <c r="G82" s="1879"/>
      <c r="H82" s="1879"/>
      <c r="I82" s="1879"/>
      <c r="J82" s="311"/>
    </row>
    <row r="83" spans="1:10" s="301" customFormat="1" ht="12" customHeight="1" x14ac:dyDescent="0.25">
      <c r="A83" s="1943"/>
      <c r="B83" s="1943"/>
      <c r="C83" s="1943"/>
      <c r="D83" s="1943"/>
      <c r="E83" s="1943"/>
      <c r="F83" s="323"/>
      <c r="H83" s="326"/>
      <c r="I83" s="326"/>
      <c r="J83" s="311"/>
    </row>
    <row r="84" spans="1:10" s="301" customFormat="1" ht="12" customHeight="1" x14ac:dyDescent="0.25">
      <c r="A84" s="1943"/>
      <c r="B84" s="1943"/>
      <c r="C84" s="1943"/>
      <c r="D84" s="1943"/>
      <c r="E84" s="1943"/>
      <c r="F84" s="323"/>
      <c r="G84" s="1879" t="s">
        <v>474</v>
      </c>
      <c r="H84" s="1879"/>
      <c r="I84" s="1879"/>
      <c r="J84" s="311"/>
    </row>
    <row r="85" spans="1:10" s="301" customFormat="1" ht="12" customHeight="1" x14ac:dyDescent="0.25">
      <c r="A85" s="1943"/>
      <c r="B85" s="1943"/>
      <c r="C85" s="1943"/>
      <c r="D85" s="1943"/>
      <c r="E85" s="1943"/>
      <c r="F85" s="323"/>
      <c r="G85" s="1879"/>
      <c r="H85" s="1879"/>
      <c r="I85" s="1879"/>
      <c r="J85" s="311"/>
    </row>
    <row r="86" spans="1:10" s="301" customFormat="1" ht="12" customHeight="1" x14ac:dyDescent="0.25">
      <c r="A86" s="1943"/>
      <c r="B86" s="1943"/>
      <c r="C86" s="1943"/>
      <c r="D86" s="1943"/>
      <c r="E86" s="1943"/>
      <c r="F86" s="323"/>
      <c r="G86" s="1879"/>
      <c r="H86" s="1879"/>
      <c r="I86" s="1879"/>
      <c r="J86" s="311"/>
    </row>
    <row r="87" spans="1:10" s="301" customFormat="1" ht="12" customHeight="1" x14ac:dyDescent="0.25">
      <c r="A87" s="1943"/>
      <c r="B87" s="1943"/>
      <c r="C87" s="1943"/>
      <c r="D87" s="1943"/>
      <c r="E87" s="1943"/>
      <c r="F87" s="323"/>
      <c r="G87" s="1879"/>
      <c r="H87" s="1879"/>
      <c r="I87" s="1879"/>
      <c r="J87" s="311"/>
    </row>
    <row r="88" spans="1:10" s="301" customFormat="1" ht="12" customHeight="1" x14ac:dyDescent="0.25">
      <c r="A88" s="1943"/>
      <c r="B88" s="1943"/>
      <c r="C88" s="1943"/>
      <c r="D88" s="1943"/>
      <c r="E88" s="1943"/>
      <c r="F88" s="323"/>
      <c r="G88" s="1879"/>
      <c r="H88" s="1879"/>
      <c r="I88" s="1879"/>
      <c r="J88" s="311"/>
    </row>
    <row r="89" spans="1:10" s="301" customFormat="1" ht="12" customHeight="1" x14ac:dyDescent="0.25">
      <c r="A89" s="1943"/>
      <c r="B89" s="1943"/>
      <c r="C89" s="1943"/>
      <c r="D89" s="1943"/>
      <c r="E89" s="1943"/>
      <c r="F89" s="323"/>
      <c r="G89" s="1879"/>
      <c r="H89" s="1879"/>
      <c r="I89" s="1879"/>
      <c r="J89" s="311"/>
    </row>
    <row r="90" spans="1:10" s="301" customFormat="1" ht="12" customHeight="1" x14ac:dyDescent="0.25">
      <c r="A90" s="1943"/>
      <c r="B90" s="1943"/>
      <c r="C90" s="1943"/>
      <c r="D90" s="1943"/>
      <c r="E90" s="1943"/>
      <c r="F90" s="323"/>
      <c r="G90" s="1879"/>
      <c r="H90" s="1879"/>
      <c r="I90" s="1879"/>
      <c r="J90" s="311"/>
    </row>
    <row r="91" spans="1:10" s="301" customFormat="1" ht="12" customHeight="1" x14ac:dyDescent="0.25">
      <c r="A91" s="1943"/>
      <c r="B91" s="1943"/>
      <c r="C91" s="1943"/>
      <c r="D91" s="1943"/>
      <c r="E91" s="1943"/>
      <c r="F91" s="323"/>
      <c r="H91" s="311"/>
      <c r="I91" s="311"/>
      <c r="J91" s="311"/>
    </row>
    <row r="92" spans="1:10" s="301" customFormat="1" ht="12" customHeight="1" x14ac:dyDescent="0.25">
      <c r="A92" s="1943"/>
      <c r="B92" s="1943"/>
      <c r="C92" s="1943"/>
      <c r="D92" s="1943"/>
      <c r="E92" s="1943"/>
      <c r="F92" s="323"/>
      <c r="G92" s="1879" t="s">
        <v>514</v>
      </c>
      <c r="H92" s="1879"/>
      <c r="I92" s="1879"/>
      <c r="J92" s="311"/>
    </row>
    <row r="93" spans="1:10" s="301" customFormat="1" ht="12" customHeight="1" x14ac:dyDescent="0.25">
      <c r="A93" s="1943"/>
      <c r="B93" s="1943"/>
      <c r="C93" s="1943"/>
      <c r="D93" s="1943"/>
      <c r="E93" s="1943"/>
      <c r="F93" s="323"/>
      <c r="G93" s="1879"/>
      <c r="H93" s="1879"/>
      <c r="I93" s="1879"/>
    </row>
    <row r="94" spans="1:10" s="301" customFormat="1" ht="12" customHeight="1" x14ac:dyDescent="0.25">
      <c r="A94" s="1943"/>
      <c r="B94" s="1943"/>
      <c r="C94" s="1943"/>
      <c r="D94" s="1943"/>
      <c r="E94" s="1943"/>
      <c r="F94" s="323"/>
      <c r="G94" s="1879"/>
      <c r="H94" s="1879"/>
      <c r="I94" s="1879"/>
    </row>
    <row r="95" spans="1:10" s="301" customFormat="1" ht="12" customHeight="1" x14ac:dyDescent="0.25">
      <c r="A95" s="1943"/>
      <c r="B95" s="1943"/>
      <c r="C95" s="1943"/>
      <c r="D95" s="1943"/>
      <c r="E95" s="1943"/>
      <c r="F95" s="323"/>
      <c r="H95" s="331"/>
      <c r="I95" s="331"/>
      <c r="J95" s="311"/>
    </row>
    <row r="96" spans="1:10" s="301" customFormat="1" ht="12" customHeight="1" x14ac:dyDescent="0.25">
      <c r="A96" s="1943"/>
      <c r="B96" s="1943"/>
      <c r="C96" s="1943"/>
      <c r="D96" s="1943"/>
      <c r="E96" s="1943"/>
      <c r="F96" s="323"/>
      <c r="G96" s="1879" t="s">
        <v>486</v>
      </c>
      <c r="H96" s="1879"/>
      <c r="I96" s="1879"/>
      <c r="J96" s="311"/>
    </row>
    <row r="97" spans="1:10" s="301" customFormat="1" ht="12" customHeight="1" x14ac:dyDescent="0.25">
      <c r="A97" s="1943"/>
      <c r="B97" s="1943"/>
      <c r="C97" s="1943"/>
      <c r="D97" s="1943"/>
      <c r="E97" s="1943"/>
      <c r="F97" s="323"/>
      <c r="G97" s="1879"/>
      <c r="H97" s="1879"/>
      <c r="I97" s="1879"/>
      <c r="J97" s="311"/>
    </row>
    <row r="98" spans="1:10" s="301" customFormat="1" ht="12" customHeight="1" x14ac:dyDescent="0.25">
      <c r="A98" s="1943"/>
      <c r="B98" s="1943"/>
      <c r="C98" s="1943"/>
      <c r="D98" s="1943"/>
      <c r="E98" s="1943"/>
      <c r="F98" s="323"/>
      <c r="G98" s="1879"/>
      <c r="H98" s="1879"/>
      <c r="I98" s="1879"/>
      <c r="J98" s="311"/>
    </row>
    <row r="99" spans="1:10" s="301" customFormat="1" ht="12" customHeight="1" x14ac:dyDescent="0.25">
      <c r="A99" s="1943"/>
      <c r="B99" s="1943"/>
      <c r="C99" s="1943"/>
      <c r="D99" s="1943"/>
      <c r="E99" s="1943"/>
      <c r="F99" s="323"/>
      <c r="G99" s="1879"/>
      <c r="H99" s="1879"/>
      <c r="I99" s="1879"/>
      <c r="J99" s="311"/>
    </row>
    <row r="100" spans="1:10" s="301" customFormat="1" ht="12" customHeight="1" x14ac:dyDescent="0.25">
      <c r="A100" s="1943"/>
      <c r="B100" s="1943"/>
      <c r="C100" s="1943"/>
      <c r="D100" s="1943"/>
      <c r="E100" s="1943"/>
      <c r="F100" s="323"/>
      <c r="G100" s="1879"/>
      <c r="H100" s="1879"/>
      <c r="I100" s="1879"/>
      <c r="J100" s="311"/>
    </row>
    <row r="101" spans="1:10" s="301" customFormat="1" ht="12" customHeight="1" x14ac:dyDescent="0.25">
      <c r="A101" s="1943"/>
      <c r="B101" s="1943"/>
      <c r="C101" s="1943"/>
      <c r="D101" s="1943"/>
      <c r="E101" s="1943"/>
      <c r="F101" s="323"/>
      <c r="G101" s="514"/>
      <c r="H101" s="514"/>
      <c r="I101" s="514"/>
      <c r="J101" s="311"/>
    </row>
    <row r="102" spans="1:10" s="301" customFormat="1" ht="12" customHeight="1" x14ac:dyDescent="0.25">
      <c r="A102" s="1943"/>
      <c r="B102" s="1943"/>
      <c r="C102" s="1943"/>
      <c r="D102" s="1943"/>
      <c r="E102" s="1943"/>
      <c r="F102" s="323"/>
      <c r="G102" s="1879" t="s">
        <v>476</v>
      </c>
      <c r="H102" s="1879"/>
      <c r="I102" s="1879"/>
      <c r="J102" s="311"/>
    </row>
    <row r="103" spans="1:10" s="301" customFormat="1" ht="12" customHeight="1" x14ac:dyDescent="0.25">
      <c r="A103" s="1943"/>
      <c r="B103" s="1943"/>
      <c r="C103" s="1943"/>
      <c r="D103" s="1943"/>
      <c r="E103" s="1943"/>
      <c r="F103" s="323"/>
      <c r="G103" s="1879"/>
      <c r="H103" s="1879"/>
      <c r="I103" s="1879"/>
      <c r="J103" s="311"/>
    </row>
    <row r="104" spans="1:10" s="301" customFormat="1" ht="12" customHeight="1" x14ac:dyDescent="0.25">
      <c r="A104" s="1943" t="s">
        <v>498</v>
      </c>
      <c r="B104" s="1943"/>
      <c r="C104" s="1943"/>
      <c r="D104" s="1943"/>
      <c r="E104" s="1943"/>
      <c r="F104" s="323"/>
      <c r="G104" s="1879"/>
      <c r="H104" s="1879"/>
      <c r="I104" s="1879"/>
      <c r="J104" s="311"/>
    </row>
    <row r="105" spans="1:10" s="301" customFormat="1" ht="12" customHeight="1" x14ac:dyDescent="0.25">
      <c r="A105" s="1943"/>
      <c r="B105" s="1943"/>
      <c r="C105" s="1943"/>
      <c r="D105" s="1943"/>
      <c r="E105" s="1943"/>
      <c r="F105" s="323"/>
      <c r="H105" s="311"/>
      <c r="I105" s="311"/>
      <c r="J105" s="311"/>
    </row>
    <row r="106" spans="1:10" s="301" customFormat="1" ht="12" customHeight="1" x14ac:dyDescent="0.25">
      <c r="A106" s="1943"/>
      <c r="B106" s="1943"/>
      <c r="C106" s="1943"/>
      <c r="D106" s="1943"/>
      <c r="E106" s="1943"/>
      <c r="F106" s="323"/>
      <c r="G106" s="1879" t="s">
        <v>477</v>
      </c>
      <c r="H106" s="1879"/>
      <c r="I106" s="1879"/>
      <c r="J106" s="311"/>
    </row>
    <row r="107" spans="1:10" s="301" customFormat="1" ht="12" customHeight="1" x14ac:dyDescent="0.25">
      <c r="A107" s="1943"/>
      <c r="B107" s="1943"/>
      <c r="C107" s="1943"/>
      <c r="D107" s="1943"/>
      <c r="E107" s="1943"/>
      <c r="F107" s="323"/>
      <c r="G107" s="1879"/>
      <c r="H107" s="1879"/>
      <c r="I107" s="1879"/>
      <c r="J107" s="311"/>
    </row>
    <row r="108" spans="1:10" s="301" customFormat="1" ht="12" customHeight="1" x14ac:dyDescent="0.25">
      <c r="F108" s="323"/>
      <c r="G108" s="1879"/>
      <c r="H108" s="1879"/>
      <c r="I108" s="1879"/>
      <c r="J108" s="311"/>
    </row>
    <row r="109" spans="1:10" s="301" customFormat="1" ht="12" customHeight="1" x14ac:dyDescent="0.25">
      <c r="A109" s="1943" t="s">
        <v>493</v>
      </c>
      <c r="B109" s="1943"/>
      <c r="C109" s="1943"/>
      <c r="D109" s="1943"/>
      <c r="E109" s="1943"/>
      <c r="F109" s="323"/>
      <c r="H109" s="322"/>
      <c r="I109" s="322"/>
      <c r="J109" s="311"/>
    </row>
    <row r="110" spans="1:10" s="301" customFormat="1" ht="12.75" customHeight="1" x14ac:dyDescent="0.25">
      <c r="A110" s="1943"/>
      <c r="B110" s="1943"/>
      <c r="C110" s="1943"/>
      <c r="D110" s="1943"/>
      <c r="E110" s="1943"/>
      <c r="F110" s="323"/>
      <c r="G110" s="1879" t="s">
        <v>478</v>
      </c>
      <c r="H110" s="1879"/>
      <c r="I110" s="1879"/>
      <c r="J110" s="311"/>
    </row>
    <row r="111" spans="1:10" s="301" customFormat="1" ht="12.75" customHeight="1" x14ac:dyDescent="0.25">
      <c r="A111" s="1943"/>
      <c r="B111" s="1943"/>
      <c r="C111" s="1943"/>
      <c r="D111" s="1943"/>
      <c r="E111" s="1943"/>
      <c r="F111" s="323"/>
      <c r="G111" s="1879"/>
      <c r="H111" s="1879"/>
      <c r="I111" s="1879"/>
      <c r="J111" s="311"/>
    </row>
    <row r="112" spans="1:10" s="301" customFormat="1" ht="12.75" customHeight="1" x14ac:dyDescent="0.25">
      <c r="A112" s="323"/>
      <c r="B112" s="323"/>
      <c r="C112" s="323"/>
      <c r="D112" s="323"/>
      <c r="E112" s="323"/>
      <c r="F112" s="323"/>
      <c r="G112" s="1879"/>
      <c r="H112" s="1879"/>
      <c r="I112" s="1879"/>
      <c r="J112" s="311"/>
    </row>
    <row r="113" spans="1:10" s="301" customFormat="1" ht="12.75" customHeight="1" x14ac:dyDescent="0.25">
      <c r="A113" s="1943" t="s">
        <v>499</v>
      </c>
      <c r="B113" s="1943"/>
      <c r="C113" s="1943"/>
      <c r="D113" s="1943"/>
      <c r="E113" s="1943"/>
      <c r="F113" s="323"/>
      <c r="G113" s="311"/>
      <c r="H113" s="311"/>
      <c r="I113" s="311"/>
      <c r="J113" s="311"/>
    </row>
    <row r="114" spans="1:10" s="301" customFormat="1" x14ac:dyDescent="0.25">
      <c r="A114" s="1943"/>
      <c r="B114" s="1943"/>
      <c r="C114" s="1943"/>
      <c r="D114" s="1943"/>
      <c r="E114" s="1943"/>
      <c r="F114" s="323"/>
      <c r="G114" s="1879" t="s">
        <v>494</v>
      </c>
      <c r="H114" s="1879"/>
      <c r="I114" s="1879"/>
      <c r="J114" s="311"/>
    </row>
    <row r="115" spans="1:10" s="301" customFormat="1" ht="12.75" customHeight="1" x14ac:dyDescent="0.25">
      <c r="A115" s="1943"/>
      <c r="B115" s="1943"/>
      <c r="C115" s="1943"/>
      <c r="D115" s="1943"/>
      <c r="E115" s="1943"/>
      <c r="F115" s="323"/>
      <c r="G115" s="1879"/>
      <c r="H115" s="1879"/>
      <c r="I115" s="1879"/>
      <c r="J115" s="311"/>
    </row>
    <row r="116" spans="1:10" s="301" customFormat="1" ht="12.75" customHeight="1" x14ac:dyDescent="0.25">
      <c r="A116" s="1943"/>
      <c r="B116" s="1943"/>
      <c r="C116" s="1943"/>
      <c r="D116" s="1943"/>
      <c r="E116" s="1943"/>
      <c r="F116" s="323"/>
      <c r="G116" s="1879"/>
      <c r="H116" s="1879"/>
      <c r="I116" s="1879"/>
      <c r="J116" s="311"/>
    </row>
    <row r="117" spans="1:10" s="301" customFormat="1" x14ac:dyDescent="0.25">
      <c r="A117" s="1943"/>
      <c r="B117" s="1943"/>
      <c r="C117" s="1943"/>
      <c r="D117" s="1943"/>
      <c r="E117" s="1943"/>
      <c r="F117" s="323"/>
      <c r="G117" s="1879"/>
      <c r="H117" s="1879"/>
      <c r="I117" s="1879"/>
      <c r="J117" s="311"/>
    </row>
    <row r="118" spans="1:10" s="301" customFormat="1" ht="12.75" customHeight="1" x14ac:dyDescent="0.25">
      <c r="B118" s="514"/>
      <c r="C118" s="514"/>
      <c r="D118" s="514"/>
      <c r="E118" s="514"/>
      <c r="F118" s="325"/>
      <c r="G118" s="1879"/>
      <c r="H118" s="1879"/>
      <c r="I118" s="1879"/>
      <c r="J118" s="311"/>
    </row>
    <row r="119" spans="1:10" s="301" customFormat="1" ht="12.75" customHeight="1" x14ac:dyDescent="0.25">
      <c r="A119" s="1879" t="s">
        <v>469</v>
      </c>
      <c r="B119" s="1879"/>
      <c r="C119" s="1879"/>
      <c r="D119" s="1879"/>
      <c r="E119" s="1879"/>
      <c r="F119" s="325"/>
      <c r="G119" s="1879"/>
      <c r="H119" s="1879"/>
      <c r="I119" s="1879"/>
      <c r="J119" s="311"/>
    </row>
    <row r="120" spans="1:10" s="301" customFormat="1" ht="12.75" customHeight="1" x14ac:dyDescent="0.25">
      <c r="A120" s="1879"/>
      <c r="B120" s="1879"/>
      <c r="C120" s="1879"/>
      <c r="D120" s="1879"/>
      <c r="E120" s="1879"/>
      <c r="F120" s="311"/>
      <c r="G120" s="1879"/>
      <c r="H120" s="1879"/>
      <c r="I120" s="1879"/>
      <c r="J120" s="311"/>
    </row>
    <row r="121" spans="1:10" s="301" customFormat="1" x14ac:dyDescent="0.25">
      <c r="A121" s="1879"/>
      <c r="B121" s="1879"/>
      <c r="C121" s="1879"/>
      <c r="D121" s="1879"/>
      <c r="E121" s="1879"/>
      <c r="F121" s="311"/>
      <c r="G121" s="1879"/>
      <c r="H121" s="1879"/>
      <c r="I121" s="1879"/>
      <c r="J121" s="311"/>
    </row>
    <row r="122" spans="1:10" s="301" customFormat="1" ht="12.75" customHeight="1" x14ac:dyDescent="0.25">
      <c r="A122" s="324"/>
      <c r="B122" s="514"/>
      <c r="C122" s="514"/>
      <c r="D122" s="514"/>
      <c r="E122" s="514"/>
      <c r="F122" s="311"/>
      <c r="G122" s="1879"/>
      <c r="H122" s="1879"/>
      <c r="I122" s="1879"/>
      <c r="J122" s="311"/>
    </row>
    <row r="123" spans="1:10" s="301" customFormat="1" ht="12.75" customHeight="1" x14ac:dyDescent="0.25">
      <c r="A123" s="1879" t="s">
        <v>470</v>
      </c>
      <c r="B123" s="1879"/>
      <c r="C123" s="1879"/>
      <c r="D123" s="1879"/>
      <c r="E123" s="1879"/>
      <c r="F123" s="311"/>
      <c r="H123" s="311"/>
      <c r="I123" s="311"/>
      <c r="J123" s="311"/>
    </row>
    <row r="124" spans="1:10" s="301" customFormat="1" ht="12.75" customHeight="1" x14ac:dyDescent="0.25">
      <c r="A124" s="1879"/>
      <c r="B124" s="1879"/>
      <c r="C124" s="1879"/>
      <c r="D124" s="1879"/>
      <c r="E124" s="1879"/>
      <c r="F124" s="311"/>
      <c r="G124" s="1879" t="s">
        <v>497</v>
      </c>
      <c r="H124" s="1879"/>
      <c r="I124" s="1879"/>
      <c r="J124" s="311"/>
    </row>
    <row r="125" spans="1:10" s="301" customFormat="1" ht="12.75" customHeight="1" x14ac:dyDescent="0.25">
      <c r="A125" s="1879"/>
      <c r="B125" s="1879"/>
      <c r="C125" s="1879"/>
      <c r="D125" s="1879"/>
      <c r="E125" s="1879"/>
      <c r="F125" s="311"/>
      <c r="G125" s="1879"/>
      <c r="H125" s="1879"/>
      <c r="I125" s="1879"/>
      <c r="J125" s="311"/>
    </row>
    <row r="126" spans="1:10" s="301" customFormat="1" ht="12.75" customHeight="1" x14ac:dyDescent="0.25">
      <c r="B126" s="519"/>
      <c r="C126" s="519"/>
      <c r="D126" s="519"/>
      <c r="E126" s="519"/>
      <c r="F126" s="322"/>
      <c r="G126" s="1879"/>
      <c r="H126" s="1879"/>
      <c r="I126" s="1879"/>
      <c r="J126" s="311"/>
    </row>
    <row r="127" spans="1:10" s="301" customFormat="1" ht="12.75" customHeight="1" x14ac:dyDescent="0.25">
      <c r="A127" s="1884" t="s">
        <v>479</v>
      </c>
      <c r="B127" s="1884"/>
      <c r="C127" s="1884"/>
      <c r="D127" s="1884"/>
      <c r="E127" s="1884"/>
      <c r="F127" s="322"/>
      <c r="G127" s="1879"/>
      <c r="H127" s="1879"/>
      <c r="I127" s="1879"/>
      <c r="J127" s="311"/>
    </row>
    <row r="128" spans="1:10" s="301" customFormat="1" ht="12.75" customHeight="1" x14ac:dyDescent="0.25">
      <c r="A128" s="1884"/>
      <c r="B128" s="1884"/>
      <c r="C128" s="1884"/>
      <c r="D128" s="1884"/>
      <c r="E128" s="1884"/>
      <c r="F128" s="326"/>
      <c r="J128" s="311"/>
    </row>
    <row r="129" spans="1:10" s="301" customFormat="1" x14ac:dyDescent="0.25">
      <c r="A129" s="1884"/>
      <c r="B129" s="1884"/>
      <c r="C129" s="1884"/>
      <c r="D129" s="1884"/>
      <c r="E129" s="1884"/>
      <c r="F129" s="514"/>
      <c r="G129" s="1879" t="s">
        <v>501</v>
      </c>
      <c r="H129" s="1879"/>
      <c r="I129" s="1879"/>
      <c r="J129" s="311"/>
    </row>
    <row r="130" spans="1:10" s="301" customFormat="1" ht="12.75" customHeight="1" x14ac:dyDescent="0.25">
      <c r="A130" s="324"/>
      <c r="B130" s="514"/>
      <c r="C130" s="514"/>
      <c r="D130" s="514"/>
      <c r="E130" s="514"/>
      <c r="F130" s="514"/>
      <c r="G130" s="1879"/>
      <c r="H130" s="1879"/>
      <c r="I130" s="1879"/>
      <c r="J130" s="311"/>
    </row>
    <row r="131" spans="1:10" s="301" customFormat="1" x14ac:dyDescent="0.25">
      <c r="A131" s="1879" t="s">
        <v>471</v>
      </c>
      <c r="B131" s="1879"/>
      <c r="C131" s="1879"/>
      <c r="D131" s="1879"/>
      <c r="E131" s="1879"/>
      <c r="F131" s="514"/>
      <c r="G131" s="1879"/>
      <c r="H131" s="1879"/>
      <c r="I131" s="1879"/>
      <c r="J131" s="311"/>
    </row>
    <row r="132" spans="1:10" s="301" customFormat="1" ht="12.75" customHeight="1" x14ac:dyDescent="0.25">
      <c r="A132" s="1879"/>
      <c r="B132" s="1879"/>
      <c r="C132" s="1879"/>
      <c r="D132" s="1879"/>
      <c r="E132" s="1879"/>
      <c r="F132" s="514"/>
      <c r="G132" s="1879"/>
      <c r="H132" s="1879"/>
      <c r="I132" s="1879"/>
      <c r="J132" s="311"/>
    </row>
    <row r="133" spans="1:10" s="301" customFormat="1" ht="12.75" customHeight="1" x14ac:dyDescent="0.25">
      <c r="A133" s="1879"/>
      <c r="B133" s="1879"/>
      <c r="C133" s="1879"/>
      <c r="D133" s="1879"/>
      <c r="E133" s="1879"/>
      <c r="F133" s="311"/>
      <c r="G133" s="1879"/>
      <c r="H133" s="1879"/>
      <c r="I133" s="1879"/>
      <c r="J133" s="311"/>
    </row>
    <row r="134" spans="1:10" s="301" customFormat="1" ht="12.75" customHeight="1" x14ac:dyDescent="0.25">
      <c r="A134" s="326"/>
      <c r="B134" s="514"/>
      <c r="C134" s="514"/>
      <c r="D134" s="514"/>
      <c r="E134" s="514"/>
      <c r="F134" s="311"/>
      <c r="G134" s="1879"/>
      <c r="H134" s="1879"/>
      <c r="I134" s="1879"/>
      <c r="J134" s="311"/>
    </row>
    <row r="135" spans="1:10" s="301" customFormat="1" ht="12.75" customHeight="1" x14ac:dyDescent="0.25">
      <c r="A135" s="1879" t="s">
        <v>504</v>
      </c>
      <c r="B135" s="1879"/>
      <c r="C135" s="1879"/>
      <c r="D135" s="1879"/>
      <c r="E135" s="1879"/>
      <c r="F135" s="311"/>
      <c r="G135" s="1879"/>
      <c r="H135" s="1879"/>
      <c r="I135" s="1879"/>
      <c r="J135" s="311"/>
    </row>
    <row r="136" spans="1:10" s="301" customFormat="1" ht="12.75" customHeight="1" x14ac:dyDescent="0.25">
      <c r="A136" s="1879"/>
      <c r="B136" s="1879"/>
      <c r="C136" s="1879"/>
      <c r="D136" s="1879"/>
      <c r="E136" s="1879"/>
      <c r="F136" s="311"/>
      <c r="G136" s="514"/>
      <c r="H136" s="514"/>
      <c r="I136" s="514"/>
      <c r="J136" s="311"/>
    </row>
    <row r="137" spans="1:10" s="301" customFormat="1" ht="12.75" customHeight="1" x14ac:dyDescent="0.25">
      <c r="A137" s="1879"/>
      <c r="B137" s="1879"/>
      <c r="C137" s="1879"/>
      <c r="D137" s="1879"/>
      <c r="E137" s="1879"/>
      <c r="F137" s="311"/>
      <c r="G137" s="1879" t="s">
        <v>502</v>
      </c>
      <c r="H137" s="1879"/>
      <c r="I137" s="1879"/>
      <c r="J137" s="311"/>
    </row>
    <row r="138" spans="1:10" s="301" customFormat="1" x14ac:dyDescent="0.25">
      <c r="A138" s="1879"/>
      <c r="B138" s="1879"/>
      <c r="C138" s="1879"/>
      <c r="D138" s="1879"/>
      <c r="E138" s="1879"/>
      <c r="F138" s="311"/>
      <c r="G138" s="1879"/>
      <c r="H138" s="1879"/>
      <c r="I138" s="1879"/>
      <c r="J138" s="311"/>
    </row>
    <row r="139" spans="1:10" s="301" customFormat="1" ht="12.75" customHeight="1" x14ac:dyDescent="0.25">
      <c r="A139" s="1879"/>
      <c r="B139" s="1879"/>
      <c r="C139" s="1879"/>
      <c r="D139" s="1879"/>
      <c r="E139" s="1879"/>
      <c r="F139" s="311"/>
      <c r="G139" s="1879"/>
      <c r="H139" s="1879"/>
      <c r="I139" s="1879"/>
      <c r="J139" s="311"/>
    </row>
    <row r="140" spans="1:10" s="301" customFormat="1" x14ac:dyDescent="0.25">
      <c r="A140" s="1879"/>
      <c r="B140" s="1879"/>
      <c r="C140" s="1879"/>
      <c r="D140" s="1879"/>
      <c r="E140" s="1879"/>
      <c r="F140" s="311"/>
      <c r="G140" s="1879"/>
      <c r="H140" s="1879"/>
      <c r="I140" s="1879"/>
      <c r="J140" s="311"/>
    </row>
    <row r="141" spans="1:10" s="301" customFormat="1" ht="12.75" customHeight="1" x14ac:dyDescent="0.25">
      <c r="A141" s="1879"/>
      <c r="B141" s="1879"/>
      <c r="C141" s="1879"/>
      <c r="D141" s="1879"/>
      <c r="E141" s="1879"/>
      <c r="F141" s="311"/>
      <c r="G141" s="1879"/>
      <c r="H141" s="1879"/>
      <c r="I141" s="1879"/>
      <c r="J141" s="311"/>
    </row>
    <row r="142" spans="1:10" s="301" customFormat="1" ht="12.75" customHeight="1" x14ac:dyDescent="0.25">
      <c r="F142" s="311"/>
      <c r="J142" s="311"/>
    </row>
    <row r="143" spans="1:10" s="301" customFormat="1" x14ac:dyDescent="0.25">
      <c r="A143" s="1879" t="s">
        <v>500</v>
      </c>
      <c r="B143" s="1879"/>
      <c r="C143" s="1879"/>
      <c r="D143" s="1879"/>
      <c r="E143" s="1879"/>
      <c r="F143" s="311"/>
      <c r="G143" s="1879" t="s">
        <v>495</v>
      </c>
      <c r="H143" s="1879"/>
      <c r="I143" s="1879"/>
      <c r="J143" s="311"/>
    </row>
    <row r="144" spans="1:10" s="301" customFormat="1" x14ac:dyDescent="0.25">
      <c r="A144" s="1879"/>
      <c r="B144" s="1879"/>
      <c r="C144" s="1879"/>
      <c r="D144" s="1879"/>
      <c r="E144" s="1879"/>
      <c r="F144" s="311"/>
      <c r="G144" s="1879"/>
      <c r="H144" s="1879"/>
      <c r="I144" s="1879"/>
      <c r="J144" s="311"/>
    </row>
    <row r="145" spans="1:10" s="301" customFormat="1" ht="12.75" customHeight="1" x14ac:dyDescent="0.25">
      <c r="A145" s="1879"/>
      <c r="B145" s="1879"/>
      <c r="C145" s="1879"/>
      <c r="D145" s="1879"/>
      <c r="E145" s="1879"/>
      <c r="F145" s="311"/>
      <c r="G145" s="1879"/>
      <c r="H145" s="1879"/>
      <c r="I145" s="1879"/>
      <c r="J145" s="311"/>
    </row>
    <row r="146" spans="1:10" s="301" customFormat="1" ht="12.75" customHeight="1" x14ac:dyDescent="0.25">
      <c r="A146" s="1879"/>
      <c r="B146" s="1879"/>
      <c r="C146" s="1879"/>
      <c r="D146" s="1879"/>
      <c r="E146" s="1879"/>
      <c r="F146" s="311"/>
      <c r="G146" s="1879"/>
      <c r="H146" s="1879"/>
      <c r="I146" s="1879"/>
      <c r="J146" s="311"/>
    </row>
    <row r="147" spans="1:10" s="301" customFormat="1" ht="12.75" customHeight="1" x14ac:dyDescent="0.25">
      <c r="A147" s="1879" t="s">
        <v>472</v>
      </c>
      <c r="B147" s="1879"/>
      <c r="C147" s="1879"/>
      <c r="D147" s="1879"/>
      <c r="E147" s="1879"/>
      <c r="F147" s="311"/>
      <c r="H147" s="514"/>
      <c r="I147" s="514"/>
      <c r="J147" s="311"/>
    </row>
    <row r="148" spans="1:10" s="301" customFormat="1" ht="12.75" customHeight="1" x14ac:dyDescent="0.25">
      <c r="A148" s="1879"/>
      <c r="B148" s="1879"/>
      <c r="C148" s="1879"/>
      <c r="D148" s="1879"/>
      <c r="E148" s="1879"/>
      <c r="F148" s="311"/>
      <c r="G148" s="1879" t="s">
        <v>485</v>
      </c>
      <c r="H148" s="1879"/>
      <c r="I148" s="1879"/>
      <c r="J148" s="311"/>
    </row>
    <row r="149" spans="1:10" s="301" customFormat="1" ht="12.75" customHeight="1" x14ac:dyDescent="0.25">
      <c r="A149" s="1879"/>
      <c r="B149" s="1879"/>
      <c r="C149" s="1879"/>
      <c r="D149" s="1879"/>
      <c r="E149" s="1879"/>
      <c r="F149" s="311"/>
      <c r="G149" s="1879"/>
      <c r="H149" s="1879"/>
      <c r="I149" s="1879"/>
      <c r="J149" s="311"/>
    </row>
    <row r="150" spans="1:10" s="301" customFormat="1" x14ac:dyDescent="0.25">
      <c r="A150" s="1879"/>
      <c r="B150" s="1879"/>
      <c r="C150" s="1879"/>
      <c r="D150" s="1879"/>
      <c r="E150" s="1879"/>
      <c r="F150" s="311"/>
      <c r="J150" s="311"/>
    </row>
    <row r="151" spans="1:10" s="301" customFormat="1" x14ac:dyDescent="0.25">
      <c r="F151" s="311"/>
      <c r="J151" s="311"/>
    </row>
    <row r="152" spans="1:10" s="301" customFormat="1" x14ac:dyDescent="0.25">
      <c r="F152" s="311"/>
      <c r="G152" s="514"/>
      <c r="H152" s="514"/>
      <c r="I152" s="514"/>
      <c r="J152" s="311"/>
    </row>
    <row r="153" spans="1:10" s="301" customFormat="1" x14ac:dyDescent="0.25">
      <c r="D153" s="311"/>
      <c r="E153" s="311"/>
      <c r="F153" s="311"/>
      <c r="J153" s="311"/>
    </row>
    <row r="154" spans="1:10" s="301" customFormat="1" x14ac:dyDescent="0.25">
      <c r="D154" s="311"/>
      <c r="E154" s="311"/>
      <c r="F154" s="311"/>
      <c r="J154" s="311"/>
    </row>
    <row r="155" spans="1:10" s="301" customFormat="1" x14ac:dyDescent="0.25">
      <c r="D155" s="311"/>
      <c r="E155" s="311"/>
      <c r="F155" s="311"/>
      <c r="J155" s="311"/>
    </row>
    <row r="156" spans="1:10" s="301" customFormat="1" x14ac:dyDescent="0.25">
      <c r="D156" s="311"/>
      <c r="E156" s="311"/>
      <c r="F156" s="311"/>
      <c r="G156" s="311"/>
      <c r="H156" s="311"/>
      <c r="I156" s="311"/>
      <c r="J156" s="311"/>
    </row>
    <row r="157" spans="1:10" s="301" customFormat="1" x14ac:dyDescent="0.25">
      <c r="D157" s="311"/>
      <c r="E157" s="311"/>
      <c r="F157" s="311"/>
      <c r="G157" s="311"/>
      <c r="H157" s="311"/>
      <c r="I157" s="311"/>
      <c r="J157" s="311"/>
    </row>
    <row r="158" spans="1:10" s="301" customFormat="1" x14ac:dyDescent="0.25">
      <c r="D158" s="311"/>
      <c r="E158" s="311"/>
      <c r="F158" s="311"/>
      <c r="G158" s="311"/>
      <c r="H158" s="311"/>
      <c r="I158" s="311"/>
      <c r="J158" s="311"/>
    </row>
    <row r="159" spans="1:10" s="301" customFormat="1" x14ac:dyDescent="0.25">
      <c r="D159" s="311"/>
      <c r="E159" s="311"/>
      <c r="F159" s="311"/>
      <c r="G159" s="311"/>
      <c r="H159" s="311"/>
      <c r="I159" s="311"/>
      <c r="J159" s="311"/>
    </row>
    <row r="160" spans="1:10" s="301" customFormat="1" x14ac:dyDescent="0.25">
      <c r="D160" s="311"/>
      <c r="E160" s="311"/>
      <c r="F160" s="311"/>
      <c r="G160" s="311"/>
      <c r="H160" s="311"/>
      <c r="I160" s="311"/>
      <c r="J160" s="311"/>
    </row>
    <row r="161" spans="4:10" s="301" customFormat="1" x14ac:dyDescent="0.25">
      <c r="D161" s="311"/>
      <c r="E161" s="311"/>
      <c r="F161" s="311"/>
      <c r="G161" s="311"/>
      <c r="H161" s="311"/>
      <c r="I161" s="311"/>
      <c r="J161" s="311"/>
    </row>
    <row r="162" spans="4:10" s="301" customFormat="1" x14ac:dyDescent="0.25">
      <c r="D162" s="311"/>
      <c r="E162" s="311"/>
      <c r="F162" s="311"/>
      <c r="G162" s="311"/>
      <c r="H162" s="311"/>
      <c r="I162" s="311"/>
      <c r="J162" s="311"/>
    </row>
    <row r="163" spans="4:10" s="301" customFormat="1" x14ac:dyDescent="0.25">
      <c r="D163" s="311"/>
      <c r="E163" s="311"/>
      <c r="F163" s="311"/>
      <c r="G163" s="311"/>
      <c r="H163" s="311"/>
      <c r="I163" s="311"/>
      <c r="J163" s="311"/>
    </row>
    <row r="164" spans="4:10" s="301" customFormat="1" x14ac:dyDescent="0.25">
      <c r="D164" s="311"/>
      <c r="E164" s="311"/>
      <c r="F164" s="311"/>
      <c r="G164" s="311"/>
      <c r="H164" s="311"/>
      <c r="I164" s="311"/>
      <c r="J164" s="311"/>
    </row>
    <row r="165" spans="4:10" s="301" customFormat="1" x14ac:dyDescent="0.25">
      <c r="D165" s="311"/>
      <c r="E165" s="311"/>
      <c r="F165" s="311"/>
      <c r="G165" s="311"/>
      <c r="H165" s="311"/>
      <c r="I165" s="311"/>
      <c r="J165" s="311"/>
    </row>
    <row r="166" spans="4:10" s="301" customFormat="1" x14ac:dyDescent="0.25">
      <c r="D166" s="311"/>
      <c r="E166" s="311"/>
      <c r="F166" s="311"/>
      <c r="G166" s="311"/>
      <c r="H166" s="311"/>
      <c r="I166" s="311"/>
      <c r="J166" s="311"/>
    </row>
    <row r="167" spans="4:10" s="301" customFormat="1" x14ac:dyDescent="0.25">
      <c r="D167" s="311"/>
      <c r="E167" s="311"/>
      <c r="F167" s="311"/>
      <c r="G167" s="311"/>
      <c r="H167" s="311"/>
      <c r="I167" s="311"/>
      <c r="J167" s="311"/>
    </row>
    <row r="168" spans="4:10" s="301" customFormat="1" x14ac:dyDescent="0.25">
      <c r="D168" s="311"/>
      <c r="E168" s="311"/>
      <c r="F168" s="311"/>
      <c r="G168" s="311"/>
      <c r="H168" s="311"/>
      <c r="I168" s="311"/>
      <c r="J168" s="311"/>
    </row>
    <row r="169" spans="4:10" s="301" customFormat="1" x14ac:dyDescent="0.25">
      <c r="D169" s="311"/>
      <c r="E169" s="311"/>
      <c r="F169" s="311"/>
      <c r="G169" s="311"/>
      <c r="H169" s="311"/>
      <c r="I169" s="311"/>
      <c r="J169" s="311"/>
    </row>
    <row r="170" spans="4:10" s="301" customFormat="1" x14ac:dyDescent="0.25">
      <c r="D170" s="311"/>
      <c r="E170" s="311"/>
      <c r="F170" s="311"/>
      <c r="G170" s="311"/>
      <c r="H170" s="311"/>
      <c r="I170" s="311"/>
      <c r="J170" s="311"/>
    </row>
    <row r="171" spans="4:10" s="301" customFormat="1" x14ac:dyDescent="0.25">
      <c r="D171" s="311"/>
      <c r="E171" s="311"/>
      <c r="F171" s="311"/>
      <c r="G171" s="311"/>
      <c r="H171" s="311"/>
      <c r="I171" s="311"/>
      <c r="J171" s="311"/>
    </row>
    <row r="172" spans="4:10" s="301" customFormat="1" x14ac:dyDescent="0.25">
      <c r="D172" s="311"/>
      <c r="E172" s="311"/>
      <c r="F172" s="311"/>
      <c r="G172" s="311"/>
      <c r="H172" s="311"/>
      <c r="I172" s="311"/>
      <c r="J172" s="311"/>
    </row>
    <row r="173" spans="4:10" s="301" customFormat="1" x14ac:dyDescent="0.25">
      <c r="D173" s="311"/>
      <c r="E173" s="311"/>
      <c r="F173" s="311"/>
      <c r="G173" s="311"/>
      <c r="H173" s="311"/>
      <c r="I173" s="311"/>
      <c r="J173" s="311"/>
    </row>
    <row r="174" spans="4:10" s="301" customFormat="1" x14ac:dyDescent="0.25">
      <c r="D174" s="311"/>
      <c r="E174" s="311"/>
      <c r="F174" s="311"/>
      <c r="G174" s="311"/>
      <c r="H174" s="311"/>
      <c r="I174" s="311"/>
      <c r="J174" s="311"/>
    </row>
    <row r="175" spans="4:10" s="301" customFormat="1" x14ac:dyDescent="0.25">
      <c r="D175" s="311"/>
      <c r="E175" s="311"/>
      <c r="F175" s="311"/>
      <c r="G175" s="311"/>
      <c r="H175" s="311"/>
      <c r="I175" s="311"/>
      <c r="J175" s="311"/>
    </row>
    <row r="176" spans="4:10" s="301" customFormat="1" x14ac:dyDescent="0.25">
      <c r="D176" s="311"/>
      <c r="E176" s="311"/>
      <c r="F176" s="311"/>
      <c r="G176" s="311"/>
      <c r="H176" s="311"/>
      <c r="I176" s="311"/>
      <c r="J176" s="311"/>
    </row>
    <row r="177" spans="4:10" s="301" customFormat="1" x14ac:dyDescent="0.25">
      <c r="D177" s="311"/>
      <c r="E177" s="311"/>
      <c r="F177" s="311"/>
      <c r="G177" s="311"/>
      <c r="H177" s="311"/>
      <c r="I177" s="311"/>
      <c r="J177" s="311"/>
    </row>
    <row r="178" spans="4:10" s="301" customFormat="1" x14ac:dyDescent="0.25">
      <c r="D178" s="311"/>
      <c r="E178" s="311"/>
      <c r="F178" s="311"/>
      <c r="G178" s="311"/>
      <c r="H178" s="311"/>
      <c r="I178" s="311"/>
      <c r="J178" s="311"/>
    </row>
    <row r="179" spans="4:10" s="301" customFormat="1" x14ac:dyDescent="0.25">
      <c r="D179" s="311"/>
      <c r="E179" s="311"/>
      <c r="F179" s="311"/>
      <c r="G179" s="311"/>
      <c r="H179" s="311"/>
      <c r="I179" s="311"/>
      <c r="J179" s="311"/>
    </row>
    <row r="180" spans="4:10" s="301" customFormat="1" x14ac:dyDescent="0.25">
      <c r="D180" s="311"/>
      <c r="E180" s="311"/>
      <c r="F180" s="311"/>
      <c r="G180" s="311"/>
      <c r="H180" s="311"/>
      <c r="I180" s="311"/>
      <c r="J180" s="311"/>
    </row>
    <row r="181" spans="4:10" s="301" customFormat="1" x14ac:dyDescent="0.25">
      <c r="D181" s="311"/>
      <c r="E181" s="311"/>
      <c r="F181" s="311"/>
      <c r="G181" s="311"/>
      <c r="H181" s="311"/>
      <c r="I181" s="311"/>
      <c r="J181" s="311"/>
    </row>
    <row r="182" spans="4:10" s="301" customFormat="1" x14ac:dyDescent="0.25">
      <c r="D182" s="311"/>
      <c r="E182" s="311"/>
      <c r="F182" s="311"/>
      <c r="G182" s="311"/>
      <c r="H182" s="311"/>
      <c r="I182" s="311"/>
      <c r="J182" s="311"/>
    </row>
    <row r="183" spans="4:10" s="301" customFormat="1" x14ac:dyDescent="0.25">
      <c r="D183" s="311"/>
      <c r="E183" s="311"/>
      <c r="F183" s="311"/>
      <c r="G183" s="311"/>
      <c r="H183" s="311"/>
      <c r="I183" s="311"/>
      <c r="J183" s="311"/>
    </row>
    <row r="184" spans="4:10" s="301" customFormat="1" x14ac:dyDescent="0.25">
      <c r="D184" s="311"/>
      <c r="E184" s="311"/>
      <c r="F184" s="311"/>
      <c r="G184" s="311"/>
      <c r="H184" s="311"/>
      <c r="I184" s="311"/>
      <c r="J184" s="311"/>
    </row>
    <row r="185" spans="4:10" s="301" customFormat="1" x14ac:dyDescent="0.25">
      <c r="D185" s="311"/>
      <c r="E185" s="311"/>
      <c r="F185" s="311"/>
      <c r="G185" s="311"/>
      <c r="H185" s="311"/>
      <c r="I185" s="311"/>
      <c r="J185" s="311"/>
    </row>
    <row r="186" spans="4:10" s="301" customFormat="1" x14ac:dyDescent="0.25">
      <c r="D186" s="311"/>
      <c r="E186" s="311"/>
      <c r="F186" s="311"/>
      <c r="G186" s="311"/>
      <c r="H186" s="311"/>
      <c r="I186" s="311"/>
      <c r="J186" s="311"/>
    </row>
    <row r="187" spans="4:10" s="301" customFormat="1" x14ac:dyDescent="0.25">
      <c r="D187" s="311"/>
      <c r="E187" s="311"/>
      <c r="F187" s="311"/>
      <c r="G187" s="311"/>
      <c r="H187" s="311"/>
      <c r="I187" s="311"/>
      <c r="J187" s="311"/>
    </row>
    <row r="188" spans="4:10" s="301" customFormat="1" x14ac:dyDescent="0.25">
      <c r="D188" s="311"/>
      <c r="E188" s="311"/>
      <c r="F188" s="311"/>
      <c r="G188" s="311"/>
      <c r="H188" s="311"/>
      <c r="I188" s="311"/>
      <c r="J188" s="311"/>
    </row>
    <row r="189" spans="4:10" s="301" customFormat="1" x14ac:dyDescent="0.25">
      <c r="D189" s="311"/>
      <c r="E189" s="311"/>
      <c r="F189" s="311"/>
      <c r="G189" s="311"/>
      <c r="H189" s="311"/>
      <c r="I189" s="311"/>
      <c r="J189" s="311"/>
    </row>
    <row r="190" spans="4:10" s="301" customFormat="1" x14ac:dyDescent="0.25">
      <c r="D190" s="311"/>
      <c r="E190" s="311"/>
      <c r="F190" s="311"/>
      <c r="G190" s="311"/>
      <c r="H190" s="311"/>
      <c r="I190" s="311"/>
      <c r="J190" s="311"/>
    </row>
    <row r="191" spans="4:10" s="301" customFormat="1" x14ac:dyDescent="0.25">
      <c r="D191" s="311"/>
      <c r="E191" s="311"/>
      <c r="F191" s="311"/>
      <c r="G191" s="311"/>
      <c r="H191" s="311"/>
      <c r="I191" s="311"/>
      <c r="J191" s="311"/>
    </row>
    <row r="192" spans="4:10" s="301" customFormat="1" x14ac:dyDescent="0.25">
      <c r="D192" s="311"/>
      <c r="E192" s="311"/>
      <c r="F192" s="311"/>
      <c r="G192" s="311"/>
      <c r="H192" s="311"/>
      <c r="I192" s="311"/>
      <c r="J192" s="311"/>
    </row>
    <row r="193" spans="4:10" s="301" customFormat="1" x14ac:dyDescent="0.25">
      <c r="D193" s="311"/>
      <c r="E193" s="311"/>
      <c r="F193" s="311"/>
      <c r="G193" s="311"/>
      <c r="H193" s="311"/>
      <c r="I193" s="311"/>
      <c r="J193" s="311"/>
    </row>
    <row r="194" spans="4:10" s="301" customFormat="1" x14ac:dyDescent="0.25">
      <c r="D194" s="311"/>
      <c r="E194" s="311"/>
      <c r="F194" s="311"/>
      <c r="G194" s="311"/>
      <c r="H194" s="311"/>
      <c r="I194" s="311"/>
      <c r="J194" s="311"/>
    </row>
    <row r="195" spans="4:10" s="301" customFormat="1" x14ac:dyDescent="0.25">
      <c r="D195" s="311"/>
      <c r="E195" s="311"/>
      <c r="F195" s="311"/>
      <c r="G195" s="311"/>
      <c r="H195" s="311"/>
      <c r="I195" s="311"/>
      <c r="J195" s="311"/>
    </row>
    <row r="196" spans="4:10" s="301" customFormat="1" x14ac:dyDescent="0.25">
      <c r="D196" s="311"/>
      <c r="E196" s="311"/>
      <c r="F196" s="311"/>
      <c r="G196" s="311"/>
      <c r="H196" s="311"/>
      <c r="I196" s="311"/>
      <c r="J196" s="311"/>
    </row>
    <row r="197" spans="4:10" s="301" customFormat="1" x14ac:dyDescent="0.25">
      <c r="D197" s="311"/>
      <c r="E197" s="311"/>
      <c r="F197" s="311"/>
      <c r="G197" s="311"/>
      <c r="H197" s="311"/>
      <c r="I197" s="311"/>
      <c r="J197" s="311"/>
    </row>
    <row r="198" spans="4:10" s="301" customFormat="1" x14ac:dyDescent="0.25">
      <c r="D198" s="311"/>
      <c r="E198" s="311"/>
      <c r="F198" s="311"/>
      <c r="G198" s="311"/>
      <c r="H198" s="311"/>
      <c r="I198" s="311"/>
      <c r="J198" s="311"/>
    </row>
    <row r="199" spans="4:10" s="301" customFormat="1" x14ac:dyDescent="0.25">
      <c r="D199" s="311"/>
      <c r="E199" s="311"/>
      <c r="F199" s="311"/>
      <c r="G199" s="311"/>
      <c r="H199" s="311"/>
      <c r="I199" s="311"/>
      <c r="J199" s="311"/>
    </row>
    <row r="200" spans="4:10" s="301" customFormat="1" x14ac:dyDescent="0.25">
      <c r="D200" s="311"/>
      <c r="E200" s="311"/>
      <c r="F200" s="311"/>
      <c r="G200" s="311"/>
      <c r="H200" s="311"/>
      <c r="I200" s="311"/>
      <c r="J200" s="311"/>
    </row>
    <row r="201" spans="4:10" s="301" customFormat="1" x14ac:dyDescent="0.25">
      <c r="D201" s="311"/>
      <c r="E201" s="311"/>
      <c r="F201" s="311"/>
      <c r="G201" s="311"/>
      <c r="H201" s="311"/>
      <c r="I201" s="311"/>
      <c r="J201" s="311"/>
    </row>
    <row r="202" spans="4:10" s="301" customFormat="1" x14ac:dyDescent="0.25">
      <c r="D202" s="311"/>
      <c r="E202" s="311"/>
      <c r="F202" s="311"/>
      <c r="G202" s="311"/>
      <c r="H202" s="311"/>
      <c r="I202" s="311"/>
      <c r="J202" s="311"/>
    </row>
    <row r="203" spans="4:10" s="301" customFormat="1" x14ac:dyDescent="0.25">
      <c r="D203" s="311"/>
      <c r="E203" s="311"/>
      <c r="F203" s="311"/>
      <c r="G203" s="311"/>
      <c r="H203" s="311"/>
      <c r="I203" s="311"/>
      <c r="J203" s="311"/>
    </row>
    <row r="204" spans="4:10" s="301" customFormat="1" x14ac:dyDescent="0.25">
      <c r="D204" s="311"/>
      <c r="E204" s="311"/>
      <c r="F204" s="311"/>
      <c r="G204" s="311"/>
      <c r="H204" s="311"/>
      <c r="I204" s="311"/>
      <c r="J204" s="311"/>
    </row>
    <row r="205" spans="4:10" s="301" customFormat="1" x14ac:dyDescent="0.25">
      <c r="D205" s="311"/>
      <c r="E205" s="311"/>
      <c r="F205" s="311"/>
      <c r="G205" s="311"/>
      <c r="H205" s="311"/>
      <c r="I205" s="311"/>
      <c r="J205" s="311"/>
    </row>
    <row r="206" spans="4:10" s="301" customFormat="1" x14ac:dyDescent="0.25">
      <c r="D206" s="311"/>
      <c r="E206" s="311"/>
      <c r="F206" s="311"/>
      <c r="G206" s="311"/>
      <c r="H206" s="311"/>
      <c r="I206" s="311"/>
      <c r="J206" s="311"/>
    </row>
    <row r="207" spans="4:10" s="301" customFormat="1" x14ac:dyDescent="0.25">
      <c r="D207" s="311"/>
      <c r="E207" s="311"/>
      <c r="F207" s="311"/>
      <c r="G207" s="311"/>
      <c r="H207" s="311"/>
      <c r="I207" s="311"/>
      <c r="J207" s="311"/>
    </row>
    <row r="208" spans="4:10" s="301" customFormat="1" x14ac:dyDescent="0.25">
      <c r="D208" s="311"/>
      <c r="E208" s="311"/>
      <c r="F208" s="311"/>
      <c r="G208" s="311"/>
      <c r="H208" s="311"/>
      <c r="I208" s="311"/>
      <c r="J208" s="311"/>
    </row>
    <row r="209" spans="4:10" s="301" customFormat="1" x14ac:dyDescent="0.25">
      <c r="D209" s="311"/>
      <c r="E209" s="311"/>
      <c r="F209" s="311"/>
      <c r="G209" s="311"/>
      <c r="H209" s="311"/>
      <c r="I209" s="311"/>
      <c r="J209" s="311"/>
    </row>
    <row r="210" spans="4:10" s="301" customFormat="1" x14ac:dyDescent="0.25">
      <c r="D210" s="311"/>
      <c r="E210" s="311"/>
      <c r="F210" s="311"/>
      <c r="G210" s="311"/>
      <c r="H210" s="311"/>
      <c r="I210" s="311"/>
      <c r="J210" s="311"/>
    </row>
    <row r="211" spans="4:10" s="301" customFormat="1" x14ac:dyDescent="0.25">
      <c r="D211" s="311"/>
      <c r="E211" s="311"/>
      <c r="F211" s="311"/>
      <c r="G211" s="311"/>
      <c r="H211" s="311"/>
      <c r="I211" s="311"/>
      <c r="J211" s="311"/>
    </row>
    <row r="212" spans="4:10" s="301" customFormat="1" x14ac:dyDescent="0.25">
      <c r="D212" s="311"/>
      <c r="E212" s="311"/>
      <c r="F212" s="311"/>
      <c r="G212" s="311"/>
      <c r="H212" s="311"/>
      <c r="I212" s="311"/>
      <c r="J212" s="311"/>
    </row>
    <row r="213" spans="4:10" s="301" customFormat="1" x14ac:dyDescent="0.25">
      <c r="D213" s="311"/>
      <c r="E213" s="311"/>
      <c r="F213" s="311"/>
      <c r="G213" s="311"/>
      <c r="H213" s="311"/>
      <c r="I213" s="311"/>
      <c r="J213" s="311"/>
    </row>
    <row r="214" spans="4:10" s="301" customFormat="1" x14ac:dyDescent="0.25">
      <c r="D214" s="311"/>
      <c r="E214" s="311"/>
      <c r="F214" s="311"/>
      <c r="G214" s="311"/>
      <c r="H214" s="311"/>
      <c r="I214" s="311"/>
      <c r="J214" s="311"/>
    </row>
    <row r="215" spans="4:10" s="301" customFormat="1" x14ac:dyDescent="0.25">
      <c r="D215" s="311"/>
      <c r="E215" s="311"/>
      <c r="F215" s="311"/>
      <c r="G215" s="311"/>
      <c r="H215" s="311"/>
      <c r="I215" s="311"/>
      <c r="J215" s="311"/>
    </row>
    <row r="216" spans="4:10" s="301" customFormat="1" x14ac:dyDescent="0.25">
      <c r="D216" s="311"/>
      <c r="E216" s="311"/>
      <c r="F216" s="311"/>
      <c r="G216" s="311"/>
      <c r="H216" s="311"/>
      <c r="I216" s="311"/>
      <c r="J216" s="311"/>
    </row>
    <row r="217" spans="4:10" s="301" customFormat="1" x14ac:dyDescent="0.25">
      <c r="D217" s="311"/>
      <c r="E217" s="311"/>
      <c r="F217" s="311"/>
      <c r="G217" s="311"/>
      <c r="H217" s="311"/>
      <c r="I217" s="311"/>
      <c r="J217" s="311"/>
    </row>
    <row r="218" spans="4:10" s="301" customFormat="1" x14ac:dyDescent="0.25">
      <c r="D218" s="311"/>
      <c r="E218" s="311"/>
      <c r="F218" s="311"/>
      <c r="G218" s="311"/>
      <c r="H218" s="311"/>
      <c r="I218" s="311"/>
      <c r="J218" s="311"/>
    </row>
    <row r="219" spans="4:10" s="301" customFormat="1" x14ac:dyDescent="0.25">
      <c r="D219" s="311"/>
      <c r="E219" s="311"/>
      <c r="F219" s="311"/>
      <c r="G219" s="311"/>
      <c r="H219" s="311"/>
      <c r="I219" s="311"/>
      <c r="J219" s="311"/>
    </row>
    <row r="220" spans="4:10" s="301" customFormat="1" x14ac:dyDescent="0.25">
      <c r="D220" s="311"/>
      <c r="E220" s="311"/>
      <c r="F220" s="311"/>
      <c r="G220" s="311"/>
      <c r="H220" s="311"/>
      <c r="I220" s="311"/>
      <c r="J220" s="311"/>
    </row>
    <row r="221" spans="4:10" s="301" customFormat="1" x14ac:dyDescent="0.25">
      <c r="D221" s="311"/>
      <c r="E221" s="311"/>
      <c r="F221" s="311"/>
      <c r="G221" s="311"/>
      <c r="H221" s="311"/>
      <c r="I221" s="311"/>
      <c r="J221" s="311"/>
    </row>
    <row r="222" spans="4:10" s="301" customFormat="1" x14ac:dyDescent="0.25">
      <c r="D222" s="311"/>
      <c r="E222" s="311"/>
      <c r="F222" s="311"/>
      <c r="G222" s="311"/>
      <c r="H222" s="311"/>
      <c r="I222" s="311"/>
      <c r="J222" s="311"/>
    </row>
    <row r="223" spans="4:10" s="301" customFormat="1" x14ac:dyDescent="0.25">
      <c r="D223" s="311"/>
      <c r="E223" s="311"/>
      <c r="F223" s="311"/>
      <c r="G223" s="311"/>
      <c r="H223" s="311"/>
      <c r="I223" s="311"/>
      <c r="J223" s="311"/>
    </row>
    <row r="224" spans="4:10" s="301" customFormat="1" x14ac:dyDescent="0.25">
      <c r="D224" s="311"/>
      <c r="E224" s="311"/>
      <c r="F224" s="311"/>
      <c r="G224" s="311"/>
      <c r="H224" s="311"/>
      <c r="I224" s="311"/>
      <c r="J224" s="311"/>
    </row>
    <row r="225" spans="4:10" s="301" customFormat="1" x14ac:dyDescent="0.25">
      <c r="D225" s="311"/>
      <c r="E225" s="311"/>
      <c r="F225" s="311"/>
      <c r="G225" s="311"/>
      <c r="H225" s="311"/>
      <c r="I225" s="311"/>
      <c r="J225" s="311"/>
    </row>
    <row r="226" spans="4:10" s="301" customFormat="1" x14ac:dyDescent="0.25">
      <c r="D226" s="311"/>
      <c r="E226" s="311"/>
      <c r="F226" s="311"/>
      <c r="G226" s="311"/>
      <c r="H226" s="311"/>
      <c r="I226" s="311"/>
      <c r="J226" s="311"/>
    </row>
    <row r="227" spans="4:10" s="301" customFormat="1" x14ac:dyDescent="0.25">
      <c r="D227" s="311"/>
      <c r="E227" s="311"/>
      <c r="F227" s="311"/>
      <c r="G227" s="311"/>
      <c r="H227" s="311"/>
      <c r="I227" s="311"/>
      <c r="J227" s="311"/>
    </row>
    <row r="228" spans="4:10" s="301" customFormat="1" x14ac:dyDescent="0.25">
      <c r="D228" s="311"/>
      <c r="E228" s="311"/>
      <c r="F228" s="311"/>
      <c r="G228" s="311"/>
      <c r="H228" s="311"/>
      <c r="I228" s="311"/>
      <c r="J228" s="311"/>
    </row>
    <row r="229" spans="4:10" s="301" customFormat="1" x14ac:dyDescent="0.25">
      <c r="D229" s="311"/>
      <c r="E229" s="311"/>
      <c r="F229" s="311"/>
      <c r="G229" s="311"/>
      <c r="H229" s="311"/>
      <c r="I229" s="311"/>
      <c r="J229" s="311"/>
    </row>
    <row r="230" spans="4:10" s="301" customFormat="1" x14ac:dyDescent="0.25">
      <c r="D230" s="311"/>
      <c r="E230" s="311"/>
      <c r="F230" s="311"/>
      <c r="G230" s="311"/>
      <c r="H230" s="311"/>
      <c r="I230" s="311"/>
      <c r="J230" s="311"/>
    </row>
    <row r="231" spans="4:10" s="301" customFormat="1" x14ac:dyDescent="0.25">
      <c r="D231" s="311"/>
      <c r="E231" s="311"/>
      <c r="F231" s="311"/>
      <c r="G231" s="311"/>
      <c r="H231" s="311"/>
      <c r="I231" s="311"/>
      <c r="J231" s="311"/>
    </row>
    <row r="232" spans="4:10" s="301" customFormat="1" x14ac:dyDescent="0.25">
      <c r="D232" s="311"/>
      <c r="E232" s="311"/>
      <c r="F232" s="311"/>
      <c r="G232" s="311"/>
      <c r="H232" s="311"/>
      <c r="I232" s="311"/>
      <c r="J232" s="311"/>
    </row>
    <row r="233" spans="4:10" s="301" customFormat="1" x14ac:dyDescent="0.25">
      <c r="D233" s="311"/>
      <c r="E233" s="311"/>
      <c r="F233" s="311"/>
      <c r="G233" s="311"/>
      <c r="H233" s="311"/>
      <c r="I233" s="311"/>
      <c r="J233" s="311"/>
    </row>
    <row r="234" spans="4:10" s="301" customFormat="1" x14ac:dyDescent="0.25">
      <c r="D234" s="311"/>
      <c r="E234" s="311"/>
      <c r="F234" s="311"/>
      <c r="G234" s="311"/>
      <c r="H234" s="311"/>
      <c r="I234" s="311"/>
      <c r="J234" s="311"/>
    </row>
    <row r="235" spans="4:10" s="301" customFormat="1" x14ac:dyDescent="0.25">
      <c r="D235" s="311"/>
      <c r="E235" s="311"/>
      <c r="F235" s="311"/>
      <c r="G235" s="311"/>
      <c r="H235" s="311"/>
      <c r="I235" s="311"/>
      <c r="J235" s="311"/>
    </row>
    <row r="236" spans="4:10" s="301" customFormat="1" x14ac:dyDescent="0.25">
      <c r="D236" s="311"/>
      <c r="E236" s="311"/>
      <c r="F236" s="311"/>
      <c r="G236" s="311"/>
      <c r="H236" s="311"/>
      <c r="I236" s="311"/>
      <c r="J236" s="311"/>
    </row>
    <row r="237" spans="4:10" s="301" customFormat="1" x14ac:dyDescent="0.25">
      <c r="D237" s="311"/>
      <c r="E237" s="311"/>
      <c r="F237" s="311"/>
      <c r="G237" s="311"/>
      <c r="H237" s="311"/>
      <c r="I237" s="311"/>
      <c r="J237" s="311"/>
    </row>
    <row r="238" spans="4:10" s="301" customFormat="1" x14ac:dyDescent="0.25">
      <c r="D238" s="311"/>
      <c r="E238" s="311"/>
      <c r="F238" s="311"/>
      <c r="G238" s="311"/>
      <c r="H238" s="311"/>
      <c r="I238" s="311"/>
      <c r="J238" s="311"/>
    </row>
    <row r="239" spans="4:10" s="301" customFormat="1" x14ac:dyDescent="0.25">
      <c r="D239" s="311"/>
      <c r="E239" s="311"/>
      <c r="F239" s="311"/>
      <c r="G239" s="311"/>
      <c r="H239" s="311"/>
      <c r="I239" s="311"/>
      <c r="J239" s="311"/>
    </row>
    <row r="240" spans="4:10" s="301" customFormat="1" x14ac:dyDescent="0.25">
      <c r="D240" s="311"/>
      <c r="E240" s="311"/>
      <c r="F240" s="311"/>
      <c r="G240" s="311"/>
      <c r="H240" s="311"/>
      <c r="I240" s="311"/>
      <c r="J240" s="311"/>
    </row>
    <row r="241" spans="4:10" s="301" customFormat="1" x14ac:dyDescent="0.25">
      <c r="D241" s="311"/>
      <c r="E241" s="311"/>
      <c r="F241" s="311"/>
      <c r="G241" s="311"/>
      <c r="H241" s="311"/>
      <c r="I241" s="311"/>
      <c r="J241" s="311"/>
    </row>
    <row r="242" spans="4:10" s="301" customFormat="1" x14ac:dyDescent="0.25">
      <c r="D242" s="311"/>
      <c r="E242" s="311"/>
      <c r="F242" s="311"/>
      <c r="G242" s="311"/>
      <c r="H242" s="311"/>
      <c r="I242" s="311"/>
      <c r="J242" s="311"/>
    </row>
    <row r="243" spans="4:10" s="301" customFormat="1" x14ac:dyDescent="0.25">
      <c r="D243" s="311"/>
      <c r="E243" s="311"/>
      <c r="F243" s="311"/>
      <c r="G243" s="311"/>
      <c r="H243" s="311"/>
      <c r="I243" s="311"/>
      <c r="J243" s="311"/>
    </row>
    <row r="244" spans="4:10" s="301" customFormat="1" x14ac:dyDescent="0.25">
      <c r="D244" s="311"/>
      <c r="E244" s="311"/>
      <c r="F244" s="311"/>
      <c r="G244" s="311"/>
      <c r="H244" s="311"/>
      <c r="I244" s="311"/>
      <c r="J244" s="311"/>
    </row>
    <row r="245" spans="4:10" s="301" customFormat="1" x14ac:dyDescent="0.25">
      <c r="D245" s="311"/>
      <c r="E245" s="311"/>
      <c r="F245" s="311"/>
      <c r="G245" s="311"/>
      <c r="H245" s="311"/>
      <c r="I245" s="311"/>
      <c r="J245" s="311"/>
    </row>
    <row r="246" spans="4:10" s="301" customFormat="1" x14ac:dyDescent="0.25">
      <c r="D246" s="311"/>
      <c r="E246" s="311"/>
      <c r="F246" s="311"/>
      <c r="G246" s="311"/>
      <c r="H246" s="311"/>
      <c r="I246" s="311"/>
      <c r="J246" s="311"/>
    </row>
    <row r="247" spans="4:10" s="301" customFormat="1" x14ac:dyDescent="0.25">
      <c r="D247" s="311"/>
      <c r="E247" s="311"/>
      <c r="F247" s="311"/>
      <c r="G247" s="311"/>
      <c r="H247" s="311"/>
      <c r="I247" s="311"/>
      <c r="J247" s="311"/>
    </row>
    <row r="248" spans="4:10" s="301" customFormat="1" x14ac:dyDescent="0.25">
      <c r="D248" s="311"/>
      <c r="E248" s="311"/>
      <c r="F248" s="311"/>
      <c r="G248" s="311"/>
      <c r="H248" s="311"/>
      <c r="I248" s="311"/>
      <c r="J248" s="311"/>
    </row>
    <row r="249" spans="4:10" s="301" customFormat="1" x14ac:dyDescent="0.25">
      <c r="D249" s="311"/>
      <c r="E249" s="311"/>
      <c r="F249" s="311"/>
      <c r="G249" s="311"/>
      <c r="H249" s="311"/>
      <c r="I249" s="311"/>
      <c r="J249" s="311"/>
    </row>
    <row r="250" spans="4:10" s="301" customFormat="1" x14ac:dyDescent="0.25">
      <c r="D250" s="311"/>
      <c r="E250" s="311"/>
      <c r="F250" s="311"/>
      <c r="G250" s="311"/>
      <c r="H250" s="311"/>
      <c r="I250" s="311"/>
      <c r="J250" s="311"/>
    </row>
    <row r="251" spans="4:10" s="301" customFormat="1" x14ac:dyDescent="0.25">
      <c r="D251" s="311"/>
      <c r="E251" s="311"/>
      <c r="F251" s="311"/>
      <c r="G251" s="311"/>
      <c r="H251" s="311"/>
      <c r="I251" s="311"/>
      <c r="J251" s="311"/>
    </row>
    <row r="252" spans="4:10" s="301" customFormat="1" x14ac:dyDescent="0.25">
      <c r="D252" s="311"/>
      <c r="E252" s="311"/>
      <c r="F252" s="311"/>
      <c r="G252" s="311"/>
      <c r="H252" s="311"/>
      <c r="I252" s="311"/>
      <c r="J252" s="311"/>
    </row>
    <row r="253" spans="4:10" s="301" customFormat="1" x14ac:dyDescent="0.25">
      <c r="D253" s="311"/>
      <c r="E253" s="311"/>
      <c r="F253" s="311"/>
      <c r="G253" s="311"/>
      <c r="H253" s="311"/>
      <c r="I253" s="311"/>
      <c r="J253" s="311"/>
    </row>
    <row r="254" spans="4:10" s="301" customFormat="1" x14ac:dyDescent="0.25">
      <c r="D254" s="311"/>
      <c r="E254" s="311"/>
      <c r="F254" s="311"/>
      <c r="G254" s="311"/>
      <c r="H254" s="311"/>
      <c r="I254" s="311"/>
      <c r="J254" s="311"/>
    </row>
    <row r="255" spans="4:10" s="301" customFormat="1" x14ac:dyDescent="0.25">
      <c r="D255" s="311"/>
      <c r="E255" s="311"/>
      <c r="F255" s="311"/>
      <c r="G255" s="311"/>
      <c r="H255" s="311"/>
      <c r="I255" s="311"/>
      <c r="J255" s="311"/>
    </row>
    <row r="256" spans="4:10" s="301" customFormat="1" x14ac:dyDescent="0.25">
      <c r="D256" s="311"/>
      <c r="E256" s="311"/>
      <c r="F256" s="311"/>
      <c r="G256" s="311"/>
      <c r="H256" s="311"/>
      <c r="I256" s="311"/>
      <c r="J256" s="311"/>
    </row>
    <row r="257" spans="4:10" s="301" customFormat="1" x14ac:dyDescent="0.25">
      <c r="D257" s="311"/>
      <c r="E257" s="311"/>
      <c r="F257" s="311"/>
      <c r="G257" s="311"/>
      <c r="H257" s="311"/>
      <c r="I257" s="311"/>
      <c r="J257" s="311"/>
    </row>
    <row r="258" spans="4:10" s="301" customFormat="1" x14ac:dyDescent="0.25">
      <c r="D258" s="311"/>
      <c r="E258" s="311"/>
      <c r="F258" s="311"/>
      <c r="G258" s="311"/>
      <c r="H258" s="311"/>
      <c r="I258" s="311"/>
      <c r="J258" s="311"/>
    </row>
    <row r="259" spans="4:10" s="301" customFormat="1" x14ac:dyDescent="0.25">
      <c r="D259" s="311"/>
      <c r="E259" s="311"/>
      <c r="F259" s="311"/>
      <c r="G259" s="311"/>
      <c r="H259" s="311"/>
      <c r="I259" s="311"/>
      <c r="J259" s="311"/>
    </row>
    <row r="260" spans="4:10" s="301" customFormat="1" x14ac:dyDescent="0.25">
      <c r="D260" s="311"/>
      <c r="E260" s="311"/>
      <c r="F260" s="311"/>
      <c r="G260" s="311"/>
      <c r="H260" s="311"/>
      <c r="I260" s="311"/>
      <c r="J260" s="311"/>
    </row>
    <row r="261" spans="4:10" s="301" customFormat="1" x14ac:dyDescent="0.25">
      <c r="D261" s="311"/>
      <c r="E261" s="311"/>
      <c r="F261" s="311"/>
      <c r="G261" s="311"/>
      <c r="H261" s="311"/>
      <c r="I261" s="311"/>
      <c r="J261" s="311"/>
    </row>
    <row r="262" spans="4:10" s="301" customFormat="1" x14ac:dyDescent="0.25">
      <c r="D262" s="311"/>
      <c r="E262" s="311"/>
      <c r="F262" s="311"/>
      <c r="G262" s="311"/>
      <c r="H262" s="311"/>
      <c r="I262" s="311"/>
      <c r="J262" s="311"/>
    </row>
    <row r="263" spans="4:10" s="301" customFormat="1" x14ac:dyDescent="0.25">
      <c r="D263" s="311"/>
      <c r="E263" s="311"/>
      <c r="F263" s="311"/>
      <c r="G263" s="311"/>
      <c r="H263" s="311"/>
      <c r="I263" s="311"/>
      <c r="J263" s="311"/>
    </row>
    <row r="264" spans="4:10" s="301" customFormat="1" x14ac:dyDescent="0.25">
      <c r="D264" s="311"/>
      <c r="E264" s="311"/>
      <c r="F264" s="311"/>
      <c r="G264" s="311"/>
      <c r="H264" s="311"/>
      <c r="I264" s="311"/>
      <c r="J264" s="311"/>
    </row>
    <row r="265" spans="4:10" s="301" customFormat="1" x14ac:dyDescent="0.25">
      <c r="D265" s="311"/>
      <c r="E265" s="311"/>
      <c r="F265" s="311"/>
      <c r="G265" s="311"/>
      <c r="H265" s="311"/>
      <c r="I265" s="311"/>
      <c r="J265" s="311"/>
    </row>
    <row r="266" spans="4:10" s="301" customFormat="1" x14ac:dyDescent="0.25">
      <c r="D266" s="311"/>
      <c r="E266" s="311"/>
      <c r="F266" s="311"/>
      <c r="G266" s="311"/>
      <c r="H266" s="311"/>
      <c r="I266" s="311"/>
      <c r="J266" s="311"/>
    </row>
    <row r="267" spans="4:10" s="301" customFormat="1" x14ac:dyDescent="0.25">
      <c r="D267" s="311"/>
      <c r="E267" s="311"/>
      <c r="F267" s="311"/>
      <c r="G267" s="311"/>
      <c r="H267" s="311"/>
      <c r="I267" s="311"/>
      <c r="J267" s="311"/>
    </row>
    <row r="268" spans="4:10" s="301" customFormat="1" x14ac:dyDescent="0.25">
      <c r="D268" s="311"/>
      <c r="E268" s="311"/>
      <c r="F268" s="311"/>
      <c r="G268" s="311"/>
      <c r="H268" s="311"/>
      <c r="I268" s="311"/>
      <c r="J268" s="311"/>
    </row>
    <row r="269" spans="4:10" s="301" customFormat="1" x14ac:dyDescent="0.25">
      <c r="D269" s="311"/>
      <c r="E269" s="311"/>
      <c r="F269" s="311"/>
      <c r="G269" s="311"/>
      <c r="H269" s="311"/>
      <c r="I269" s="311"/>
      <c r="J269" s="311"/>
    </row>
    <row r="270" spans="4:10" s="301" customFormat="1" x14ac:dyDescent="0.25">
      <c r="D270" s="311"/>
      <c r="E270" s="311"/>
      <c r="F270" s="311"/>
      <c r="G270" s="311"/>
      <c r="H270" s="311"/>
      <c r="I270" s="311"/>
      <c r="J270" s="311"/>
    </row>
    <row r="271" spans="4:10" s="301" customFormat="1" x14ac:dyDescent="0.25">
      <c r="D271" s="311"/>
      <c r="E271" s="311"/>
      <c r="F271" s="311"/>
      <c r="G271" s="311"/>
      <c r="H271" s="311"/>
      <c r="I271" s="311"/>
      <c r="J271" s="311"/>
    </row>
    <row r="272" spans="4:10" s="301" customFormat="1" x14ac:dyDescent="0.25">
      <c r="D272" s="311"/>
      <c r="E272" s="311"/>
      <c r="F272" s="311"/>
      <c r="G272" s="311"/>
      <c r="H272" s="311"/>
      <c r="I272" s="311"/>
      <c r="J272" s="311"/>
    </row>
    <row r="273" spans="4:10" s="301" customFormat="1" x14ac:dyDescent="0.25">
      <c r="D273" s="311"/>
      <c r="E273" s="311"/>
      <c r="F273" s="311"/>
      <c r="G273" s="311"/>
      <c r="H273" s="311"/>
      <c r="I273" s="311"/>
      <c r="J273" s="311"/>
    </row>
    <row r="274" spans="4:10" s="301" customFormat="1" x14ac:dyDescent="0.25">
      <c r="D274" s="311"/>
      <c r="E274" s="311"/>
      <c r="F274" s="311"/>
      <c r="G274" s="311"/>
      <c r="H274" s="311"/>
      <c r="I274" s="311"/>
      <c r="J274" s="311"/>
    </row>
    <row r="275" spans="4:10" s="301" customFormat="1" x14ac:dyDescent="0.25">
      <c r="D275" s="311"/>
      <c r="E275" s="311"/>
      <c r="F275" s="311"/>
      <c r="G275" s="311"/>
      <c r="H275" s="311"/>
      <c r="I275" s="311"/>
      <c r="J275" s="311"/>
    </row>
    <row r="276" spans="4:10" s="301" customFormat="1" x14ac:dyDescent="0.25">
      <c r="D276" s="311"/>
      <c r="E276" s="311"/>
      <c r="F276" s="311"/>
      <c r="G276" s="311"/>
      <c r="H276" s="311"/>
      <c r="I276" s="311"/>
      <c r="J276" s="311"/>
    </row>
    <row r="277" spans="4:10" s="301" customFormat="1" x14ac:dyDescent="0.25">
      <c r="D277" s="311"/>
      <c r="E277" s="311"/>
      <c r="F277" s="311"/>
      <c r="G277" s="311"/>
      <c r="H277" s="311"/>
      <c r="I277" s="311"/>
      <c r="J277" s="311"/>
    </row>
    <row r="278" spans="4:10" s="301" customFormat="1" x14ac:dyDescent="0.25">
      <c r="D278" s="311"/>
      <c r="E278" s="311"/>
      <c r="F278" s="311"/>
      <c r="G278" s="311"/>
      <c r="H278" s="311"/>
      <c r="I278" s="311"/>
      <c r="J278" s="311"/>
    </row>
    <row r="279" spans="4:10" s="301" customFormat="1" x14ac:dyDescent="0.25">
      <c r="D279" s="311"/>
      <c r="E279" s="311"/>
      <c r="F279" s="311"/>
      <c r="G279" s="311"/>
      <c r="H279" s="311"/>
      <c r="I279" s="311"/>
      <c r="J279" s="311"/>
    </row>
    <row r="280" spans="4:10" s="301" customFormat="1" x14ac:dyDescent="0.25">
      <c r="D280" s="311"/>
      <c r="E280" s="311"/>
      <c r="F280" s="311"/>
      <c r="G280" s="311"/>
      <c r="H280" s="311"/>
      <c r="I280" s="311"/>
      <c r="J280" s="311"/>
    </row>
    <row r="281" spans="4:10" s="301" customFormat="1" x14ac:dyDescent="0.25">
      <c r="D281" s="311"/>
      <c r="E281" s="311"/>
      <c r="F281" s="311"/>
      <c r="G281" s="311"/>
      <c r="H281" s="311"/>
      <c r="I281" s="311"/>
      <c r="J281" s="311"/>
    </row>
    <row r="282" spans="4:10" s="301" customFormat="1" x14ac:dyDescent="0.25">
      <c r="D282" s="311"/>
      <c r="E282" s="311"/>
      <c r="F282" s="311"/>
      <c r="G282" s="311"/>
      <c r="H282" s="311"/>
      <c r="I282" s="311"/>
      <c r="J282" s="311"/>
    </row>
    <row r="283" spans="4:10" s="301" customFormat="1" x14ac:dyDescent="0.25">
      <c r="D283" s="311"/>
      <c r="E283" s="311"/>
      <c r="F283" s="311"/>
      <c r="G283" s="311"/>
      <c r="H283" s="311"/>
      <c r="I283" s="311"/>
      <c r="J283" s="311"/>
    </row>
    <row r="284" spans="4:10" s="301" customFormat="1" x14ac:dyDescent="0.25">
      <c r="D284" s="311"/>
      <c r="E284" s="311"/>
      <c r="F284" s="311"/>
      <c r="G284" s="311"/>
      <c r="H284" s="311"/>
      <c r="I284" s="311"/>
      <c r="J284" s="311"/>
    </row>
    <row r="285" spans="4:10" s="301" customFormat="1" x14ac:dyDescent="0.25">
      <c r="D285" s="311"/>
      <c r="E285" s="311"/>
      <c r="F285" s="311"/>
      <c r="G285" s="311"/>
      <c r="H285" s="311"/>
      <c r="I285" s="311"/>
      <c r="J285" s="311"/>
    </row>
    <row r="286" spans="4:10" s="301" customFormat="1" x14ac:dyDescent="0.25">
      <c r="D286" s="311"/>
      <c r="E286" s="311"/>
      <c r="F286" s="311"/>
      <c r="G286" s="311"/>
      <c r="H286" s="311"/>
      <c r="I286" s="311"/>
      <c r="J286" s="311"/>
    </row>
    <row r="287" spans="4:10" s="301" customFormat="1" x14ac:dyDescent="0.25">
      <c r="D287" s="311"/>
      <c r="E287" s="311"/>
      <c r="F287" s="311"/>
      <c r="G287" s="311"/>
      <c r="H287" s="311"/>
      <c r="I287" s="311"/>
      <c r="J287" s="311"/>
    </row>
    <row r="288" spans="4:10" s="301" customFormat="1" x14ac:dyDescent="0.25">
      <c r="D288" s="311"/>
      <c r="E288" s="311"/>
      <c r="F288" s="311"/>
      <c r="G288" s="311"/>
      <c r="H288" s="311"/>
      <c r="I288" s="311"/>
      <c r="J288" s="311"/>
    </row>
    <row r="289" spans="4:10" s="301" customFormat="1" x14ac:dyDescent="0.25">
      <c r="D289" s="311"/>
      <c r="E289" s="311"/>
      <c r="F289" s="311"/>
      <c r="G289" s="311"/>
      <c r="H289" s="311"/>
      <c r="I289" s="311"/>
      <c r="J289" s="311"/>
    </row>
    <row r="290" spans="4:10" s="301" customFormat="1" x14ac:dyDescent="0.25">
      <c r="D290" s="311"/>
      <c r="E290" s="311"/>
      <c r="F290" s="311"/>
      <c r="G290" s="311"/>
      <c r="H290" s="311"/>
      <c r="I290" s="311"/>
      <c r="J290" s="311"/>
    </row>
    <row r="291" spans="4:10" s="301" customFormat="1" x14ac:dyDescent="0.25">
      <c r="D291" s="311"/>
      <c r="E291" s="311"/>
      <c r="F291" s="311"/>
      <c r="G291" s="311"/>
      <c r="H291" s="311"/>
      <c r="I291" s="311"/>
      <c r="J291" s="311"/>
    </row>
  </sheetData>
  <sheetProtection password="C462" sheet="1" objects="1" scenarios="1"/>
  <mergeCells count="43">
    <mergeCell ref="A143:E146"/>
    <mergeCell ref="G143:I146"/>
    <mergeCell ref="A147:E150"/>
    <mergeCell ref="G148:I149"/>
    <mergeCell ref="A109:E111"/>
    <mergeCell ref="G110:I112"/>
    <mergeCell ref="A113:E117"/>
    <mergeCell ref="G114:I122"/>
    <mergeCell ref="A119:E121"/>
    <mergeCell ref="A123:E125"/>
    <mergeCell ref="G124:I127"/>
    <mergeCell ref="A127:E129"/>
    <mergeCell ref="G129:I135"/>
    <mergeCell ref="A131:E133"/>
    <mergeCell ref="A135:E141"/>
    <mergeCell ref="G137:I141"/>
    <mergeCell ref="A79:E103"/>
    <mergeCell ref="G79:I82"/>
    <mergeCell ref="G84:I90"/>
    <mergeCell ref="G92:I94"/>
    <mergeCell ref="G96:I100"/>
    <mergeCell ref="G102:I104"/>
    <mergeCell ref="A104:E107"/>
    <mergeCell ref="G106:I108"/>
    <mergeCell ref="A73:E77"/>
    <mergeCell ref="G73:I77"/>
    <mergeCell ref="E50:H50"/>
    <mergeCell ref="E51:H51"/>
    <mergeCell ref="E52:H52"/>
    <mergeCell ref="E53:H53"/>
    <mergeCell ref="E54:H54"/>
    <mergeCell ref="E55:H55"/>
    <mergeCell ref="E56:H56"/>
    <mergeCell ref="E57:H57"/>
    <mergeCell ref="E58:H58"/>
    <mergeCell ref="E59:H59"/>
    <mergeCell ref="E60:H60"/>
    <mergeCell ref="E49:H49"/>
    <mergeCell ref="B7:D7"/>
    <mergeCell ref="G7:H7"/>
    <mergeCell ref="B13:B15"/>
    <mergeCell ref="E47:H47"/>
    <mergeCell ref="E48:H4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J34"/>
  <sheetViews>
    <sheetView topLeftCell="I1" zoomScale="85" zoomScaleNormal="85" workbookViewId="0">
      <selection activeCell="U4" sqref="U4"/>
    </sheetView>
  </sheetViews>
  <sheetFormatPr defaultColWidth="10.26953125" defaultRowHeight="12.5" x14ac:dyDescent="0.25"/>
  <cols>
    <col min="1" max="1" width="10.26953125" style="526"/>
    <col min="2" max="2" width="31.54296875" style="526" customWidth="1"/>
    <col min="3" max="3" width="6.1796875" style="526" customWidth="1"/>
    <col min="4" max="8" width="15.7265625" style="528" customWidth="1"/>
    <col min="9" max="10" width="15.7265625" style="526" customWidth="1"/>
    <col min="11" max="12" width="15.7265625" style="529" customWidth="1"/>
    <col min="13" max="13" width="15.7265625" style="528" customWidth="1"/>
    <col min="14" max="14" width="17.26953125" style="526" customWidth="1"/>
    <col min="15" max="15" width="10.26953125" style="528" customWidth="1"/>
    <col min="16" max="16" width="0.81640625" style="526" customWidth="1"/>
    <col min="17" max="17" width="10.26953125" style="533" customWidth="1"/>
    <col min="18" max="18" width="11.81640625" style="528" bestFit="1" customWidth="1"/>
    <col min="19" max="19" width="10.26953125" style="528"/>
    <col min="20" max="21" width="10.26953125" style="526"/>
    <col min="22" max="22" width="9.54296875" style="528" customWidth="1"/>
    <col min="23" max="23" width="10.26953125" style="528"/>
    <col min="24" max="24" width="10.81640625" style="528" customWidth="1"/>
    <col min="25" max="25" width="10.26953125" style="526"/>
    <col min="26" max="26" width="11.26953125" style="526" bestFit="1" customWidth="1"/>
    <col min="27" max="34" width="10.26953125" style="526"/>
    <col min="35" max="35" width="11.26953125" style="526" bestFit="1" customWidth="1"/>
    <col min="36" max="16384" width="10.26953125" style="526"/>
  </cols>
  <sheetData>
    <row r="1" spans="1:36" ht="17.5" x14ac:dyDescent="0.35">
      <c r="B1" s="44" t="s">
        <v>384</v>
      </c>
      <c r="C1" s="527"/>
      <c r="Q1" s="530"/>
      <c r="T1" s="529"/>
    </row>
    <row r="2" spans="1:36" x14ac:dyDescent="0.25">
      <c r="B2" s="531"/>
      <c r="C2" s="531"/>
      <c r="O2" s="532"/>
      <c r="Y2" s="1944"/>
      <c r="Z2" s="1944"/>
      <c r="AA2" s="1944"/>
      <c r="AB2" s="54"/>
      <c r="AC2" s="54"/>
      <c r="AD2" s="54"/>
      <c r="AE2" s="54"/>
      <c r="AF2" s="54"/>
      <c r="AG2" s="54"/>
      <c r="AH2" s="54"/>
      <c r="AI2" s="54"/>
    </row>
    <row r="3" spans="1:36" ht="39" customHeight="1" x14ac:dyDescent="0.3">
      <c r="A3" s="534" t="s">
        <v>201</v>
      </c>
      <c r="B3" s="535" t="s">
        <v>66</v>
      </c>
      <c r="C3" s="536" t="s">
        <v>51</v>
      </c>
      <c r="D3" s="537" t="s">
        <v>20</v>
      </c>
      <c r="E3" s="538" t="s">
        <v>21</v>
      </c>
      <c r="F3" s="539" t="s">
        <v>64</v>
      </c>
      <c r="G3" s="539" t="s">
        <v>113</v>
      </c>
      <c r="H3" s="540" t="s">
        <v>449</v>
      </c>
      <c r="I3" s="540" t="s">
        <v>450</v>
      </c>
      <c r="J3" s="540" t="s">
        <v>400</v>
      </c>
      <c r="K3" s="541" t="s">
        <v>173</v>
      </c>
      <c r="L3" s="541" t="s">
        <v>194</v>
      </c>
      <c r="M3" s="539" t="s">
        <v>103</v>
      </c>
      <c r="N3" s="540" t="s">
        <v>297</v>
      </c>
      <c r="O3" s="540" t="s">
        <v>403</v>
      </c>
      <c r="Q3" s="540" t="s">
        <v>152</v>
      </c>
      <c r="R3" s="542" t="s">
        <v>151</v>
      </c>
      <c r="S3" s="542" t="s">
        <v>310</v>
      </c>
      <c r="T3" s="542" t="s">
        <v>311</v>
      </c>
      <c r="U3" s="542" t="s">
        <v>455</v>
      </c>
      <c r="V3" s="540" t="s">
        <v>238</v>
      </c>
      <c r="W3" s="540" t="s">
        <v>309</v>
      </c>
      <c r="X3" s="520" t="s">
        <v>196</v>
      </c>
      <c r="Y3" s="251" t="s">
        <v>302</v>
      </c>
      <c r="Z3" s="251" t="s">
        <v>303</v>
      </c>
      <c r="AA3" s="251" t="s">
        <v>304</v>
      </c>
      <c r="AB3" s="543"/>
      <c r="AC3" s="543"/>
      <c r="AD3" s="543"/>
      <c r="AE3" s="543"/>
      <c r="AF3" s="543"/>
      <c r="AG3" s="543"/>
      <c r="AH3" s="386"/>
      <c r="AI3" s="543"/>
    </row>
    <row r="4" spans="1:36" ht="13" x14ac:dyDescent="0.3">
      <c r="A4" s="544">
        <v>9257010</v>
      </c>
      <c r="B4" s="545" t="s">
        <v>67</v>
      </c>
      <c r="C4" s="536">
        <v>3</v>
      </c>
      <c r="D4" s="546">
        <f>'Funding Model'!D22</f>
        <v>314686.51772419503</v>
      </c>
      <c r="E4" s="546">
        <f>'Funding Model'!E22</f>
        <v>69201.680689977453</v>
      </c>
      <c r="F4" s="547"/>
      <c r="G4" s="547"/>
      <c r="H4" s="547">
        <v>0</v>
      </c>
      <c r="I4" s="547">
        <f>VLOOKUP(A4,'Band Calculations 1516'!$A$108:$W$125,13,FALSE)</f>
        <v>431326.5961502117</v>
      </c>
      <c r="J4" s="547">
        <f>VLOOKUP(A4,'Band Calculations 1516'!$A$108:$W$125,20,FALSE)</f>
        <v>8281.5790802392894</v>
      </c>
      <c r="K4" s="546">
        <f>VLOOKUP(A4,'FSM Calculation 1516'!$A$4:$D$21,4,FALSE)</f>
        <v>3572</v>
      </c>
      <c r="L4" s="546">
        <v>616.77824313180849</v>
      </c>
      <c r="M4" s="547">
        <f>SUM(D4:L4)</f>
        <v>827685.15188775538</v>
      </c>
      <c r="N4" s="547">
        <f>M4-F4</f>
        <v>827685.15188775538</v>
      </c>
      <c r="O4" s="548">
        <f>VLOOKUP(A4,'Band Calculations 1516'!$A$108:$W$125,22,FALSE)</f>
        <v>44</v>
      </c>
      <c r="Q4" s="542">
        <f>N4/O4</f>
        <v>18811.026179267166</v>
      </c>
      <c r="R4" s="542">
        <f>O4*10000</f>
        <v>440000</v>
      </c>
      <c r="S4" s="542">
        <f>Q4-10000</f>
        <v>8811.0261792671663</v>
      </c>
      <c r="T4" s="546">
        <f>VLOOKUP(A4,'2014-15 Funding Detail'!$A$4:$AK$23,37,FALSE)</f>
        <v>8588.5570283973102</v>
      </c>
      <c r="U4" s="546">
        <f>IF(S4&gt;T4,(S4),(T4))</f>
        <v>8811.0261792671663</v>
      </c>
      <c r="V4" s="547">
        <f>10000+U4</f>
        <v>18811.026179267166</v>
      </c>
      <c r="W4" s="547">
        <f t="shared" ref="W4:W15" si="0">(U4-S4)*O4</f>
        <v>0</v>
      </c>
      <c r="X4" s="156">
        <f t="shared" ref="X4:X15" si="1">N4+W4</f>
        <v>827685.15188775538</v>
      </c>
      <c r="Y4" s="521">
        <f>X4*98.5%</f>
        <v>815269.87460943905</v>
      </c>
      <c r="Z4" s="619">
        <f>Y4/O4</f>
        <v>18528.86078657816</v>
      </c>
      <c r="AA4" s="521">
        <f>Z4-10000</f>
        <v>8528.8607865781596</v>
      </c>
      <c r="AB4" s="549"/>
      <c r="AC4" s="549"/>
      <c r="AD4" s="549"/>
      <c r="AE4" s="549"/>
      <c r="AF4" s="549"/>
      <c r="AG4" s="549"/>
      <c r="AH4" s="387"/>
      <c r="AI4" s="549"/>
      <c r="AJ4" s="550"/>
    </row>
    <row r="5" spans="1:36" ht="13" x14ac:dyDescent="0.3">
      <c r="A5" s="544">
        <v>9257005</v>
      </c>
      <c r="B5" s="545" t="s">
        <v>68</v>
      </c>
      <c r="C5" s="536">
        <v>4</v>
      </c>
      <c r="D5" s="546">
        <f>'Funding Model'!D23</f>
        <v>405763.82046267512</v>
      </c>
      <c r="E5" s="546">
        <f>'Funding Model'!E23</f>
        <v>88790.687513148558</v>
      </c>
      <c r="F5" s="547"/>
      <c r="G5" s="547"/>
      <c r="H5" s="547">
        <v>0</v>
      </c>
      <c r="I5" s="547">
        <f>VLOOKUP(A5,'Band Calculations 1516'!$A$108:$W$125,13,FALSE)</f>
        <v>709752.55965533876</v>
      </c>
      <c r="J5" s="547">
        <f>VLOOKUP(A5,'Band Calculations 1516'!$A$108:$W$125,20,FALSE)</f>
        <v>40045.793578788667</v>
      </c>
      <c r="K5" s="546">
        <f>VLOOKUP(A5,'FSM Calculation 1516'!$A$4:$D$21,4,FALSE)</f>
        <v>10716</v>
      </c>
      <c r="L5" s="546">
        <v>675.74486784427756</v>
      </c>
      <c r="M5" s="547">
        <f t="shared" ref="M5:M15" si="2">SUM(D5:L5)</f>
        <v>1255744.6060777954</v>
      </c>
      <c r="N5" s="547">
        <f t="shared" ref="N5:N15" si="3">M5-F5</f>
        <v>1255744.6060777954</v>
      </c>
      <c r="O5" s="548">
        <f>VLOOKUP(A5,'Band Calculations 1516'!$A$108:$W$125,22,FALSE)</f>
        <v>77</v>
      </c>
      <c r="Q5" s="542">
        <f t="shared" ref="Q5:Q23" si="4">N5/O5</f>
        <v>16308.371507503836</v>
      </c>
      <c r="R5" s="542">
        <f t="shared" ref="R5:R23" si="5">O5*10000</f>
        <v>770000</v>
      </c>
      <c r="S5" s="542">
        <f t="shared" ref="S5:S23" si="6">Q5-10000</f>
        <v>6308.3715075038363</v>
      </c>
      <c r="T5" s="551">
        <f>VLOOKUP(A5,'2014-15 Funding Detail'!$A$4:$AK$23,37,FALSE)</f>
        <v>6567.7631067704133</v>
      </c>
      <c r="U5" s="547">
        <f>IF(S5&gt;T5,(S5),(T5))</f>
        <v>6567.7631067704133</v>
      </c>
      <c r="V5" s="547">
        <f t="shared" ref="V5:V23" si="7">10000+U5</f>
        <v>16567.763106770413</v>
      </c>
      <c r="W5" s="547">
        <f>(U5-S5)*O5</f>
        <v>19973.153143526433</v>
      </c>
      <c r="X5" s="156">
        <f t="shared" si="1"/>
        <v>1275717.7592213219</v>
      </c>
      <c r="Y5" s="521">
        <f t="shared" ref="Y5:Y23" si="8">X5*98.5%</f>
        <v>1256581.992833002</v>
      </c>
      <c r="Z5" s="619">
        <f>Y5/O5</f>
        <v>16319.246660168857</v>
      </c>
      <c r="AA5" s="521">
        <f t="shared" ref="AA5:AA23" si="9">Z5-10000</f>
        <v>6319.2466601688575</v>
      </c>
      <c r="AB5" s="549"/>
      <c r="AC5" s="549"/>
      <c r="AD5" s="549"/>
      <c r="AE5" s="549"/>
      <c r="AF5" s="549"/>
      <c r="AG5" s="549"/>
      <c r="AH5" s="387"/>
      <c r="AI5" s="549"/>
      <c r="AJ5" s="550"/>
    </row>
    <row r="6" spans="1:36" ht="13" x14ac:dyDescent="0.3">
      <c r="A6" s="544">
        <v>9257025</v>
      </c>
      <c r="B6" s="545" t="s">
        <v>69</v>
      </c>
      <c r="C6" s="536">
        <v>4</v>
      </c>
      <c r="D6" s="546">
        <f>'Funding Model'!D23</f>
        <v>405763.82046267512</v>
      </c>
      <c r="E6" s="546">
        <f>'Funding Model'!E23</f>
        <v>88790.687513148558</v>
      </c>
      <c r="F6" s="547"/>
      <c r="G6" s="547"/>
      <c r="H6" s="547">
        <v>95813.372486287553</v>
      </c>
      <c r="I6" s="547">
        <f>VLOOKUP(A6,'Band Calculations 1516'!$A$108:$W$125,13,FALSE)</f>
        <v>498229.53692869528</v>
      </c>
      <c r="J6" s="547">
        <f>VLOOKUP(A6,'Band Calculations 1516'!$A$108:$W$125,20,FALSE)</f>
        <v>33907.597366262751</v>
      </c>
      <c r="K6" s="546">
        <f>VLOOKUP(A6,'FSM Calculation 1516'!$A$4:$D$21,4,FALSE)</f>
        <v>7590.5</v>
      </c>
      <c r="L6" s="546">
        <v>646.26155548804309</v>
      </c>
      <c r="M6" s="547">
        <f t="shared" si="2"/>
        <v>1130741.7763125573</v>
      </c>
      <c r="N6" s="547">
        <f t="shared" si="3"/>
        <v>1130741.7763125573</v>
      </c>
      <c r="O6" s="548">
        <f>VLOOKUP(A6,'Band Calculations 1516'!$A$108:$W$125,22,FALSE)</f>
        <v>62</v>
      </c>
      <c r="Q6" s="542">
        <f t="shared" si="4"/>
        <v>18237.770585686409</v>
      </c>
      <c r="R6" s="542">
        <f t="shared" si="5"/>
        <v>620000</v>
      </c>
      <c r="S6" s="542">
        <f t="shared" si="6"/>
        <v>8237.7705856864086</v>
      </c>
      <c r="T6" s="551">
        <f>VLOOKUP(A6,'2014-15 Funding Detail'!$A$4:$AK$23,37,FALSE)</f>
        <v>8692.9948947299745</v>
      </c>
      <c r="U6" s="547">
        <f t="shared" ref="U6:U23" si="10">IF(S6&gt;T6,(S6),(T6))</f>
        <v>8692.9948947299745</v>
      </c>
      <c r="V6" s="547">
        <f t="shared" si="7"/>
        <v>18692.994894729974</v>
      </c>
      <c r="W6" s="547">
        <f t="shared" si="0"/>
        <v>28223.907160701085</v>
      </c>
      <c r="X6" s="156">
        <f t="shared" si="1"/>
        <v>1158965.6834732583</v>
      </c>
      <c r="Y6" s="521">
        <f t="shared" si="8"/>
        <v>1141581.1982211594</v>
      </c>
      <c r="Z6" s="521">
        <f t="shared" ref="Z6:Z23" si="11">Y6/O6</f>
        <v>18412.599971309024</v>
      </c>
      <c r="AA6" s="521">
        <f t="shared" si="9"/>
        <v>8412.5999713090241</v>
      </c>
      <c r="AB6" s="549"/>
      <c r="AC6" s="549"/>
      <c r="AD6" s="549"/>
      <c r="AE6" s="549"/>
      <c r="AF6" s="549"/>
      <c r="AG6" s="549"/>
      <c r="AH6" s="387"/>
      <c r="AI6" s="549"/>
      <c r="AJ6" s="550"/>
    </row>
    <row r="7" spans="1:36" ht="13" x14ac:dyDescent="0.3">
      <c r="A7" s="544">
        <v>9257011</v>
      </c>
      <c r="B7" s="545" t="s">
        <v>70</v>
      </c>
      <c r="C7" s="536">
        <v>3</v>
      </c>
      <c r="D7" s="546">
        <f>'Funding Model'!D22</f>
        <v>314686.51772419503</v>
      </c>
      <c r="E7" s="546">
        <f>'Funding Model'!$E$22</f>
        <v>69201.680689977453</v>
      </c>
      <c r="F7" s="547"/>
      <c r="G7" s="547"/>
      <c r="H7" s="547">
        <v>0</v>
      </c>
      <c r="I7" s="547">
        <f>VLOOKUP(A7,'Band Calculations 1516'!$A$108:$W$125,13,FALSE)</f>
        <v>443645.23358174152</v>
      </c>
      <c r="J7" s="547">
        <f>VLOOKUP(A7,'Band Calculations 1516'!$A$108:$W$125,20,FALSE)</f>
        <v>18445.335224169325</v>
      </c>
      <c r="K7" s="546">
        <f>VLOOKUP(A7,'FSM Calculation 1516'!$A$4:$D$21,4,FALSE)</f>
        <v>5358</v>
      </c>
      <c r="L7" s="546">
        <v>610.88158066056155</v>
      </c>
      <c r="M7" s="547">
        <f t="shared" si="2"/>
        <v>851947.64880074398</v>
      </c>
      <c r="N7" s="547">
        <f t="shared" si="3"/>
        <v>851947.64880074398</v>
      </c>
      <c r="O7" s="548">
        <f>VLOOKUP(A7,'Band Calculations 1516'!$A$108:$W$125,22,FALSE)</f>
        <v>45</v>
      </c>
      <c r="Q7" s="542">
        <f>N7/O7</f>
        <v>18932.169973349864</v>
      </c>
      <c r="R7" s="542">
        <f t="shared" si="5"/>
        <v>450000</v>
      </c>
      <c r="S7" s="542">
        <f t="shared" si="6"/>
        <v>8932.1699733498644</v>
      </c>
      <c r="T7" s="551">
        <f>VLOOKUP(A7,'2014-15 Funding Detail'!$A$4:$AK$23,37,FALSE)</f>
        <v>9422.2682394022158</v>
      </c>
      <c r="U7" s="547">
        <f t="shared" si="10"/>
        <v>9422.2682394022158</v>
      </c>
      <c r="V7" s="547">
        <f t="shared" si="7"/>
        <v>19422.268239402216</v>
      </c>
      <c r="W7" s="547">
        <f t="shared" si="0"/>
        <v>22054.421972355813</v>
      </c>
      <c r="X7" s="156">
        <f t="shared" si="1"/>
        <v>874002.07077309978</v>
      </c>
      <c r="Y7" s="521">
        <f t="shared" si="8"/>
        <v>860892.03971150331</v>
      </c>
      <c r="Z7" s="521">
        <f t="shared" si="11"/>
        <v>19130.934215811183</v>
      </c>
      <c r="AA7" s="521">
        <f t="shared" si="9"/>
        <v>9130.9342158111831</v>
      </c>
      <c r="AB7" s="549"/>
      <c r="AC7" s="549"/>
      <c r="AD7" s="549"/>
      <c r="AE7" s="549"/>
      <c r="AF7" s="549"/>
      <c r="AG7" s="549"/>
      <c r="AH7" s="387"/>
      <c r="AI7" s="549"/>
      <c r="AJ7" s="550"/>
    </row>
    <row r="8" spans="1:36" ht="13" x14ac:dyDescent="0.3">
      <c r="A8" s="544">
        <v>9257024</v>
      </c>
      <c r="B8" s="545" t="s">
        <v>71</v>
      </c>
      <c r="C8" s="536">
        <v>3</v>
      </c>
      <c r="D8" s="546">
        <f>'Funding Model'!D22</f>
        <v>314686.51772419503</v>
      </c>
      <c r="E8" s="546">
        <f>'Funding Model'!$E$22</f>
        <v>69201.680689977453</v>
      </c>
      <c r="F8" s="547"/>
      <c r="G8" s="547"/>
      <c r="H8" s="547">
        <v>45728.599956656348</v>
      </c>
      <c r="I8" s="547">
        <f>VLOOKUP(A8,'Band Calculations 1516'!$A$108:$W$125,13,FALSE)</f>
        <v>475577.43954922614</v>
      </c>
      <c r="J8" s="547">
        <f>VLOOKUP(A8,'Band Calculations 1516'!$A$108:$W$125,20,FALSE)</f>
        <v>8192.6034372284539</v>
      </c>
      <c r="K8" s="546">
        <f>VLOOKUP(A8,'FSM Calculation 1516'!$A$4:$D$21,4,FALSE)</f>
        <v>9823</v>
      </c>
      <c r="L8" s="546">
        <v>628.57156807430238</v>
      </c>
      <c r="M8" s="547">
        <f t="shared" si="2"/>
        <v>923838.4129253577</v>
      </c>
      <c r="N8" s="547">
        <f t="shared" si="3"/>
        <v>923838.4129253577</v>
      </c>
      <c r="O8" s="548">
        <f>VLOOKUP(A8,'Band Calculations 1516'!$A$108:$W$125,22,FALSE)</f>
        <v>57</v>
      </c>
      <c r="Q8" s="542">
        <f t="shared" si="4"/>
        <v>16207.691454830836</v>
      </c>
      <c r="R8" s="542">
        <f t="shared" si="5"/>
        <v>570000</v>
      </c>
      <c r="S8" s="542">
        <f t="shared" si="6"/>
        <v>6207.6914548308359</v>
      </c>
      <c r="T8" s="551">
        <f>VLOOKUP(A8,'2014-15 Funding Detail'!$A$4:$AK$23,37,FALSE)</f>
        <v>6649.9448005416598</v>
      </c>
      <c r="U8" s="547">
        <f t="shared" si="10"/>
        <v>6649.9448005416598</v>
      </c>
      <c r="V8" s="547">
        <f t="shared" si="7"/>
        <v>16649.94480054166</v>
      </c>
      <c r="W8" s="547">
        <f t="shared" si="0"/>
        <v>25208.440705516958</v>
      </c>
      <c r="X8" s="156">
        <f t="shared" si="1"/>
        <v>949046.85363087466</v>
      </c>
      <c r="Y8" s="521">
        <f t="shared" si="8"/>
        <v>934811.15082641155</v>
      </c>
      <c r="Z8" s="521">
        <f t="shared" si="11"/>
        <v>16400.195628533536</v>
      </c>
      <c r="AA8" s="521">
        <f t="shared" si="9"/>
        <v>6400.1956285335364</v>
      </c>
      <c r="AB8" s="549"/>
      <c r="AC8" s="549"/>
      <c r="AD8" s="549"/>
      <c r="AE8" s="549"/>
      <c r="AF8" s="549"/>
      <c r="AG8" s="549"/>
      <c r="AH8" s="387"/>
      <c r="AI8" s="549"/>
      <c r="AJ8" s="550"/>
    </row>
    <row r="9" spans="1:36" ht="13" x14ac:dyDescent="0.3">
      <c r="A9" s="544">
        <v>9257008</v>
      </c>
      <c r="B9" s="545" t="s">
        <v>73</v>
      </c>
      <c r="C9" s="536">
        <v>4</v>
      </c>
      <c r="D9" s="546">
        <f>'Funding Model'!D23</f>
        <v>405763.82046267512</v>
      </c>
      <c r="E9" s="546">
        <f>'Funding Model'!$E$23</f>
        <v>88790.687513148558</v>
      </c>
      <c r="F9" s="547"/>
      <c r="G9" s="547"/>
      <c r="H9" s="547">
        <v>80013.788688133034</v>
      </c>
      <c r="I9" s="547">
        <f>VLOOKUP(A9,'Band Calculations 1516'!$A$108:$W$125,13,FALSE)</f>
        <v>640110.30950506427</v>
      </c>
      <c r="J9" s="547">
        <f>VLOOKUP(A9,'Band Calculations 1516'!$A$108:$W$125,20,FALSE)</f>
        <v>66961.216948244939</v>
      </c>
      <c r="K9" s="546">
        <f>VLOOKUP(A9,'FSM Calculation 1516'!$A$4:$D$21,4,FALSE)</f>
        <v>17860</v>
      </c>
      <c r="L9" s="546">
        <v>737.65982379237016</v>
      </c>
      <c r="M9" s="547">
        <f t="shared" si="2"/>
        <v>1300237.4829410582</v>
      </c>
      <c r="N9" s="547">
        <f t="shared" si="3"/>
        <v>1300237.4829410582</v>
      </c>
      <c r="O9" s="548">
        <f>VLOOKUP(A9,'Band Calculations 1516'!$A$108:$W$125,22,FALSE)</f>
        <v>90</v>
      </c>
      <c r="Q9" s="542">
        <f t="shared" si="4"/>
        <v>14447.083143789536</v>
      </c>
      <c r="R9" s="542">
        <f t="shared" si="5"/>
        <v>900000</v>
      </c>
      <c r="S9" s="542">
        <f t="shared" si="6"/>
        <v>4447.0831437895358</v>
      </c>
      <c r="T9" s="546">
        <f>VLOOKUP(A9,'2014-15 Funding Detail'!$A$4:$AK$23,37,FALSE)</f>
        <v>3628.5980020526658</v>
      </c>
      <c r="U9" s="547">
        <f t="shared" si="10"/>
        <v>4447.0831437895358</v>
      </c>
      <c r="V9" s="547">
        <f t="shared" si="7"/>
        <v>14447.083143789536</v>
      </c>
      <c r="W9" s="547">
        <f t="shared" si="0"/>
        <v>0</v>
      </c>
      <c r="X9" s="156">
        <f t="shared" si="1"/>
        <v>1300237.4829410582</v>
      </c>
      <c r="Y9" s="521">
        <f t="shared" si="8"/>
        <v>1280733.9206969424</v>
      </c>
      <c r="Z9" s="521">
        <f t="shared" si="11"/>
        <v>14230.376896632693</v>
      </c>
      <c r="AA9" s="521">
        <f t="shared" si="9"/>
        <v>4230.3768966326934</v>
      </c>
      <c r="AB9" s="549"/>
      <c r="AC9" s="549"/>
      <c r="AD9" s="549"/>
      <c r="AE9" s="549"/>
      <c r="AF9" s="549"/>
      <c r="AG9" s="549"/>
      <c r="AH9" s="387"/>
      <c r="AI9" s="549"/>
      <c r="AJ9" s="550"/>
    </row>
    <row r="10" spans="1:36" ht="13" x14ac:dyDescent="0.3">
      <c r="A10" s="544">
        <v>9257002</v>
      </c>
      <c r="B10" s="545" t="s">
        <v>75</v>
      </c>
      <c r="C10" s="536">
        <v>4</v>
      </c>
      <c r="D10" s="546">
        <f>'Funding Model'!D23</f>
        <v>405763.82046267512</v>
      </c>
      <c r="E10" s="546">
        <f>'Funding Model'!$E$23</f>
        <v>88790.687513148558</v>
      </c>
      <c r="F10" s="547"/>
      <c r="G10" s="547"/>
      <c r="H10" s="547">
        <v>0</v>
      </c>
      <c r="I10" s="547">
        <f>VLOOKUP(A10,'Band Calculations 1516'!$A$108:$W$125,13,FALSE)</f>
        <v>882951.35128885927</v>
      </c>
      <c r="J10" s="547">
        <f>VLOOKUP(A10,'Band Calculations 1516'!$A$108:$W$125,20,FALSE)</f>
        <v>29716.254346740978</v>
      </c>
      <c r="K10" s="546">
        <f>VLOOKUP(A10,'FSM Calculation 1516'!$A$4:$D$21,4,FALSE)</f>
        <v>18306.5</v>
      </c>
      <c r="L10" s="546">
        <v>873.28306063104901</v>
      </c>
      <c r="M10" s="547">
        <f t="shared" si="2"/>
        <v>1426401.8966720549</v>
      </c>
      <c r="N10" s="547">
        <f t="shared" si="3"/>
        <v>1426401.8966720549</v>
      </c>
      <c r="O10" s="548">
        <f>VLOOKUP(A10,'Band Calculations 1516'!$A$108:$W$125,22,FALSE)</f>
        <v>122</v>
      </c>
      <c r="Q10" s="542">
        <f t="shared" si="4"/>
        <v>11691.818825180777</v>
      </c>
      <c r="R10" s="542">
        <f t="shared" si="5"/>
        <v>1220000</v>
      </c>
      <c r="S10" s="542">
        <f t="shared" si="6"/>
        <v>1691.8188251807769</v>
      </c>
      <c r="T10" s="546">
        <f>VLOOKUP(A10,'2014-15 Funding Detail'!$A$4:$AK$23,37,FALSE)</f>
        <v>1392.0961170158989</v>
      </c>
      <c r="U10" s="547">
        <f t="shared" si="10"/>
        <v>1691.8188251807769</v>
      </c>
      <c r="V10" s="547">
        <f t="shared" si="7"/>
        <v>11691.818825180777</v>
      </c>
      <c r="W10" s="547">
        <f t="shared" si="0"/>
        <v>0</v>
      </c>
      <c r="X10" s="156">
        <f t="shared" si="1"/>
        <v>1426401.8966720549</v>
      </c>
      <c r="Y10" s="521">
        <f t="shared" si="8"/>
        <v>1405005.868221974</v>
      </c>
      <c r="Z10" s="521">
        <f t="shared" si="11"/>
        <v>11516.441542803066</v>
      </c>
      <c r="AA10" s="521">
        <f t="shared" si="9"/>
        <v>1516.4415428030661</v>
      </c>
      <c r="AB10" s="549"/>
      <c r="AC10" s="549"/>
      <c r="AD10" s="549"/>
      <c r="AE10" s="549"/>
      <c r="AF10" s="549"/>
      <c r="AG10" s="549"/>
      <c r="AH10" s="387"/>
      <c r="AI10" s="549"/>
      <c r="AJ10" s="550"/>
    </row>
    <row r="11" spans="1:36" ht="13" x14ac:dyDescent="0.3">
      <c r="A11" s="544">
        <v>9257009</v>
      </c>
      <c r="B11" s="545" t="s">
        <v>76</v>
      </c>
      <c r="C11" s="536">
        <v>4</v>
      </c>
      <c r="D11" s="546">
        <f>'Funding Model'!$D$23</f>
        <v>405763.82046267512</v>
      </c>
      <c r="E11" s="546">
        <f>'Funding Model'!$E$23</f>
        <v>88790.687513148558</v>
      </c>
      <c r="F11" s="547"/>
      <c r="G11" s="547"/>
      <c r="H11" s="547">
        <v>0</v>
      </c>
      <c r="I11" s="547">
        <f>VLOOKUP(A11,'Band Calculations 1516'!$A$108:$W$125,13,FALSE)</f>
        <v>941672.03860613052</v>
      </c>
      <c r="J11" s="547">
        <f>VLOOKUP(A11,'Band Calculations 1516'!$A$108:$W$125,20,FALSE)</f>
        <v>47430.862005006842</v>
      </c>
      <c r="K11" s="546">
        <f>VLOOKUP(A11,'FSM Calculation 1516'!$A$4:$D$21,4,FALSE)</f>
        <v>15181</v>
      </c>
      <c r="L11" s="546">
        <v>876.23139186667242</v>
      </c>
      <c r="M11" s="547">
        <f t="shared" si="2"/>
        <v>1499714.6399788277</v>
      </c>
      <c r="N11" s="547">
        <f t="shared" si="3"/>
        <v>1499714.6399788277</v>
      </c>
      <c r="O11" s="548">
        <f>VLOOKUP(A11,'Band Calculations 1516'!$A$108:$W$125,22,FALSE)</f>
        <v>130</v>
      </c>
      <c r="Q11" s="542">
        <f t="shared" si="4"/>
        <v>11536.266461375597</v>
      </c>
      <c r="R11" s="542">
        <f t="shared" si="5"/>
        <v>1300000</v>
      </c>
      <c r="S11" s="542">
        <f t="shared" si="6"/>
        <v>1536.2664613755969</v>
      </c>
      <c r="T11" s="546">
        <f>VLOOKUP(A11,'2014-15 Funding Detail'!$A$4:$AK$23,37,FALSE)</f>
        <v>1509.8788165763963</v>
      </c>
      <c r="U11" s="547">
        <f t="shared" si="10"/>
        <v>1536.2664613755969</v>
      </c>
      <c r="V11" s="547">
        <f t="shared" si="7"/>
        <v>11536.266461375597</v>
      </c>
      <c r="W11" s="547">
        <f t="shared" si="0"/>
        <v>0</v>
      </c>
      <c r="X11" s="156">
        <f t="shared" si="1"/>
        <v>1499714.6399788277</v>
      </c>
      <c r="Y11" s="521">
        <f t="shared" si="8"/>
        <v>1477218.9203791453</v>
      </c>
      <c r="Z11" s="521">
        <f t="shared" si="11"/>
        <v>11363.222464454964</v>
      </c>
      <c r="AA11" s="521">
        <f t="shared" si="9"/>
        <v>1363.2224644549642</v>
      </c>
      <c r="AB11" s="549"/>
      <c r="AC11" s="549"/>
      <c r="AD11" s="549"/>
      <c r="AE11" s="549"/>
      <c r="AF11" s="549"/>
      <c r="AG11" s="549"/>
      <c r="AH11" s="387"/>
      <c r="AI11" s="549"/>
      <c r="AJ11" s="550"/>
    </row>
    <row r="12" spans="1:36" ht="13" x14ac:dyDescent="0.3">
      <c r="A12" s="544">
        <v>9257028</v>
      </c>
      <c r="B12" s="545" t="s">
        <v>77</v>
      </c>
      <c r="C12" s="536">
        <v>4</v>
      </c>
      <c r="D12" s="546">
        <f>'Funding Model'!$D$23</f>
        <v>405763.82046267512</v>
      </c>
      <c r="E12" s="546">
        <f>'Funding Model'!$E$23</f>
        <v>88790.687513148558</v>
      </c>
      <c r="F12" s="547"/>
      <c r="G12" s="547"/>
      <c r="H12" s="547">
        <v>51121.716670162452</v>
      </c>
      <c r="I12" s="547">
        <f>VLOOKUP(A12,'Band Calculations 1516'!$A$108:$W$125,13,FALSE)</f>
        <v>674806.66004614439</v>
      </c>
      <c r="J12" s="547">
        <f>VLOOKUP(A12,'Band Calculations 1516'!$A$108:$W$125,20,FALSE)</f>
        <v>44795.814115839785</v>
      </c>
      <c r="K12" s="546">
        <f>VLOOKUP(A12,'FSM Calculation 1516'!$A$4:$D$21,4,FALSE)</f>
        <v>9823</v>
      </c>
      <c r="L12" s="546">
        <v>705.22818020051216</v>
      </c>
      <c r="M12" s="547">
        <f t="shared" si="2"/>
        <v>1275806.9269881709</v>
      </c>
      <c r="N12" s="547">
        <f t="shared" si="3"/>
        <v>1275806.9269881709</v>
      </c>
      <c r="O12" s="548">
        <f>VLOOKUP(A12,'Band Calculations 1516'!$A$108:$W$125,22,FALSE)</f>
        <v>71</v>
      </c>
      <c r="Q12" s="542">
        <f t="shared" si="4"/>
        <v>17969.111647720718</v>
      </c>
      <c r="R12" s="542">
        <f t="shared" si="5"/>
        <v>710000</v>
      </c>
      <c r="S12" s="542">
        <f t="shared" si="6"/>
        <v>7969.1116477207179</v>
      </c>
      <c r="T12" s="551">
        <f>VLOOKUP(A12,'2014-15 Funding Detail'!$A$4:$AK$23,37,FALSE)</f>
        <v>8148.9698767445152</v>
      </c>
      <c r="U12" s="547">
        <f t="shared" si="10"/>
        <v>8148.9698767445152</v>
      </c>
      <c r="V12" s="547">
        <f t="shared" si="7"/>
        <v>18148.969876744515</v>
      </c>
      <c r="W12" s="547">
        <f t="shared" si="0"/>
        <v>12769.93426068961</v>
      </c>
      <c r="X12" s="156">
        <f t="shared" si="1"/>
        <v>1288576.8612488606</v>
      </c>
      <c r="Y12" s="521">
        <f t="shared" si="8"/>
        <v>1269248.2083301276</v>
      </c>
      <c r="Z12" s="521">
        <f t="shared" si="11"/>
        <v>17876.735328593346</v>
      </c>
      <c r="AA12" s="521">
        <f t="shared" si="9"/>
        <v>7876.7353285933459</v>
      </c>
      <c r="AB12" s="549"/>
      <c r="AC12" s="549"/>
      <c r="AD12" s="549"/>
      <c r="AE12" s="549"/>
      <c r="AF12" s="549"/>
      <c r="AG12" s="549"/>
      <c r="AH12" s="387"/>
      <c r="AI12" s="549"/>
      <c r="AJ12" s="550"/>
    </row>
    <row r="13" spans="1:36" ht="13" x14ac:dyDescent="0.3">
      <c r="A13" s="544">
        <v>9257021</v>
      </c>
      <c r="B13" s="545" t="s">
        <v>78</v>
      </c>
      <c r="C13" s="536">
        <v>4</v>
      </c>
      <c r="D13" s="546">
        <f>'Funding Model'!$D$23</f>
        <v>405763.82046267512</v>
      </c>
      <c r="E13" s="546">
        <f>'Funding Model'!$E$23</f>
        <v>88790.687513148558</v>
      </c>
      <c r="F13" s="547"/>
      <c r="G13" s="547"/>
      <c r="H13" s="547">
        <v>0</v>
      </c>
      <c r="I13" s="547">
        <f>VLOOKUP(A13,'Band Calculations 1516'!$A$108:$W$125,13,FALSE)</f>
        <v>1036404.0388675856</v>
      </c>
      <c r="J13" s="547">
        <f>VLOOKUP(A13,'Band Calculations 1516'!$A$108:$W$125,20,FALSE)</f>
        <v>52329.824277824446</v>
      </c>
      <c r="K13" s="546">
        <f>VLOOKUP(A13,'FSM Calculation 1516'!$A$4:$D$21,4,FALSE)</f>
        <v>25897</v>
      </c>
      <c r="L13" s="546">
        <v>908.66303545853043</v>
      </c>
      <c r="M13" s="547">
        <f t="shared" si="2"/>
        <v>1610094.0341566922</v>
      </c>
      <c r="N13" s="547">
        <f t="shared" si="3"/>
        <v>1610094.0341566922</v>
      </c>
      <c r="O13" s="548">
        <f>VLOOKUP(A13,'Band Calculations 1516'!$A$108:$W$125,22,FALSE)</f>
        <v>141</v>
      </c>
      <c r="Q13" s="542">
        <f t="shared" si="4"/>
        <v>11419.106625224767</v>
      </c>
      <c r="R13" s="542">
        <f t="shared" si="5"/>
        <v>1410000</v>
      </c>
      <c r="S13" s="542">
        <f t="shared" si="6"/>
        <v>1419.1066252247674</v>
      </c>
      <c r="T13" s="551">
        <f>VLOOKUP(A13,'2014-15 Funding Detail'!$A$4:$AK$23,37,FALSE)</f>
        <v>1530.2491253562857</v>
      </c>
      <c r="U13" s="547">
        <f t="shared" si="10"/>
        <v>1530.2491253562857</v>
      </c>
      <c r="V13" s="547">
        <f t="shared" si="7"/>
        <v>11530.249125356286</v>
      </c>
      <c r="W13" s="547">
        <f t="shared" si="0"/>
        <v>15671.092518544083</v>
      </c>
      <c r="X13" s="156">
        <f t="shared" si="1"/>
        <v>1625765.1266752363</v>
      </c>
      <c r="Y13" s="521">
        <f t="shared" si="8"/>
        <v>1601378.6497751076</v>
      </c>
      <c r="Z13" s="521">
        <f t="shared" si="11"/>
        <v>11357.295388475941</v>
      </c>
      <c r="AA13" s="521">
        <f t="shared" si="9"/>
        <v>1357.2953884759409</v>
      </c>
      <c r="AB13" s="549"/>
      <c r="AC13" s="549"/>
      <c r="AD13" s="549"/>
      <c r="AE13" s="549"/>
      <c r="AF13" s="549"/>
      <c r="AG13" s="549"/>
      <c r="AH13" s="387"/>
      <c r="AI13" s="549"/>
      <c r="AJ13" s="550"/>
    </row>
    <row r="14" spans="1:36" s="529" customFormat="1" ht="13" x14ac:dyDescent="0.3">
      <c r="A14" s="552">
        <v>9257015</v>
      </c>
      <c r="B14" s="545" t="s">
        <v>55</v>
      </c>
      <c r="C14" s="536">
        <v>6</v>
      </c>
      <c r="D14" s="546">
        <f>'Funding Model'!$D$25</f>
        <v>493762.11190507573</v>
      </c>
      <c r="E14" s="546">
        <f>'Funding Model'!$E$25</f>
        <v>131719.7894229154</v>
      </c>
      <c r="F14" s="546"/>
      <c r="G14" s="645">
        <v>29207</v>
      </c>
      <c r="H14" s="547">
        <v>71701.363496330887</v>
      </c>
      <c r="I14" s="547">
        <f>VLOOKUP(A14,'Band Calculations 1516'!$A$108:$W$125,13,FALSE)</f>
        <v>1792534.0874082721</v>
      </c>
      <c r="J14" s="547">
        <f>VLOOKUP(A14,'Band Calculations 1516'!$A$108:$W$125,20,FALSE)</f>
        <v>44200.803302156906</v>
      </c>
      <c r="K14" s="546">
        <f>VLOOKUP(A14,'FSM Calculation 1516'!$A$4:$D$21,4,FALSE)</f>
        <v>51794</v>
      </c>
      <c r="L14" s="546">
        <v>1056.0795972397032</v>
      </c>
      <c r="M14" s="546">
        <f t="shared" si="2"/>
        <v>2615975.2351319906</v>
      </c>
      <c r="N14" s="645">
        <f>M14-F14-G14</f>
        <v>2586768.2351319906</v>
      </c>
      <c r="O14" s="548">
        <f>VLOOKUP(A14,'Band Calculations 1516'!$A$108:$W$125,22,FALSE)</f>
        <v>260</v>
      </c>
      <c r="Q14" s="553">
        <f t="shared" si="4"/>
        <v>9949.1085966615028</v>
      </c>
      <c r="R14" s="553">
        <f>O14*10000</f>
        <v>2600000</v>
      </c>
      <c r="S14" s="553">
        <f>Q14-10000</f>
        <v>-50.891403338497184</v>
      </c>
      <c r="T14" s="646">
        <v>252.190298962616</v>
      </c>
      <c r="U14" s="645">
        <v>252.190298962616</v>
      </c>
      <c r="V14" s="645">
        <v>10252.190298962616</v>
      </c>
      <c r="W14" s="632">
        <v>49594.242598289748</v>
      </c>
      <c r="X14" s="156">
        <f>N14+W14</f>
        <v>2636362.4777302803</v>
      </c>
      <c r="Y14" s="521">
        <f t="shared" si="8"/>
        <v>2596817.0405643261</v>
      </c>
      <c r="Z14" s="521">
        <f t="shared" si="11"/>
        <v>9987.7578483243306</v>
      </c>
      <c r="AA14" s="521">
        <f t="shared" si="9"/>
        <v>-12.242151675669447</v>
      </c>
      <c r="AB14" s="549"/>
      <c r="AC14" s="1888" t="s">
        <v>602</v>
      </c>
      <c r="AD14" s="1888"/>
      <c r="AE14" s="1888"/>
      <c r="AF14" s="1888"/>
      <c r="AG14" s="1888"/>
      <c r="AH14" s="1888"/>
      <c r="AI14" s="1888"/>
      <c r="AJ14" s="550"/>
    </row>
    <row r="15" spans="1:36" ht="13" x14ac:dyDescent="0.3">
      <c r="A15" s="544">
        <v>9257016</v>
      </c>
      <c r="B15" s="545" t="s">
        <v>80</v>
      </c>
      <c r="C15" s="536">
        <v>7</v>
      </c>
      <c r="D15" s="546">
        <f>'Funding Model'!$D$25</f>
        <v>493762.11190507573</v>
      </c>
      <c r="E15" s="546">
        <f>'Funding Model'!$E$25</f>
        <v>131719.7894229154</v>
      </c>
      <c r="F15" s="547"/>
      <c r="G15" s="547"/>
      <c r="H15" s="547">
        <v>0</v>
      </c>
      <c r="I15" s="547">
        <f>VLOOKUP(A15,'Band Calculations 1516'!$A$108:$W$125,13,FALSE)</f>
        <v>1345703.0996432519</v>
      </c>
      <c r="J15" s="547">
        <f>VLOOKUP(A15,'Band Calculations 1516'!$A$108:$W$125,20,FALSE)</f>
        <v>0</v>
      </c>
      <c r="K15" s="546">
        <f>VLOOKUP(A15,'FSM Calculation 1516'!$A$4:$D$21,4,FALSE)</f>
        <v>12948.5</v>
      </c>
      <c r="L15" s="546">
        <v>832.00642333232065</v>
      </c>
      <c r="M15" s="547">
        <f t="shared" si="2"/>
        <v>1984965.5073945753</v>
      </c>
      <c r="N15" s="547">
        <f t="shared" si="3"/>
        <v>1984965.5073945753</v>
      </c>
      <c r="O15" s="548">
        <f>VLOOKUP(A15,'Band Calculations 1516'!$A$108:$W$125,22,FALSE)</f>
        <v>133</v>
      </c>
      <c r="Q15" s="542">
        <f t="shared" si="4"/>
        <v>14924.552687177258</v>
      </c>
      <c r="R15" s="542">
        <f t="shared" si="5"/>
        <v>1330000</v>
      </c>
      <c r="S15" s="542">
        <f t="shared" si="6"/>
        <v>4924.5526871772581</v>
      </c>
      <c r="T15" s="551">
        <f>VLOOKUP(A15,'2014-15 Funding Detail'!$A$4:$AK$23,37,FALSE)</f>
        <v>6606.0548349805213</v>
      </c>
      <c r="U15" s="547">
        <f t="shared" si="10"/>
        <v>6606.0548349805213</v>
      </c>
      <c r="V15" s="547">
        <f t="shared" si="7"/>
        <v>16606.054834980521</v>
      </c>
      <c r="W15" s="547">
        <f t="shared" si="0"/>
        <v>223639.785657834</v>
      </c>
      <c r="X15" s="156">
        <f t="shared" si="1"/>
        <v>2208605.2930524093</v>
      </c>
      <c r="Y15" s="521">
        <f t="shared" si="8"/>
        <v>2175476.2136566229</v>
      </c>
      <c r="Z15" s="521">
        <f t="shared" si="11"/>
        <v>16356.964012455812</v>
      </c>
      <c r="AA15" s="521">
        <f t="shared" si="9"/>
        <v>6356.9640124558118</v>
      </c>
      <c r="AB15" s="549"/>
      <c r="AC15" s="1888"/>
      <c r="AD15" s="1888"/>
      <c r="AE15" s="1888"/>
      <c r="AF15" s="1888"/>
      <c r="AG15" s="1888"/>
      <c r="AH15" s="1888"/>
      <c r="AI15" s="1888"/>
      <c r="AJ15" s="550"/>
    </row>
    <row r="16" spans="1:36" ht="13" x14ac:dyDescent="0.3">
      <c r="A16" s="544"/>
      <c r="B16" s="545"/>
      <c r="C16" s="536"/>
      <c r="D16" s="547"/>
      <c r="E16" s="547"/>
      <c r="F16" s="547"/>
      <c r="G16" s="547"/>
      <c r="H16" s="547"/>
      <c r="I16" s="547"/>
      <c r="J16" s="547"/>
      <c r="K16" s="546"/>
      <c r="L16" s="546"/>
      <c r="M16" s="547"/>
      <c r="N16" s="547"/>
      <c r="O16" s="548"/>
      <c r="Q16" s="542"/>
      <c r="R16" s="542"/>
      <c r="S16" s="542"/>
      <c r="T16" s="546"/>
      <c r="U16" s="547"/>
      <c r="V16" s="547"/>
      <c r="W16" s="547"/>
      <c r="X16" s="156"/>
      <c r="Y16" s="521"/>
      <c r="Z16" s="521"/>
      <c r="AA16" s="521"/>
      <c r="AB16" s="549"/>
      <c r="AC16" s="1888"/>
      <c r="AD16" s="1888"/>
      <c r="AE16" s="1888"/>
      <c r="AF16" s="1888"/>
      <c r="AG16" s="1888"/>
      <c r="AH16" s="1888"/>
      <c r="AI16" s="1888"/>
      <c r="AJ16" s="550"/>
    </row>
    <row r="17" spans="1:36" ht="13" x14ac:dyDescent="0.3">
      <c r="A17" s="544">
        <v>9257031</v>
      </c>
      <c r="B17" s="43" t="s">
        <v>81</v>
      </c>
      <c r="C17" s="536">
        <v>3</v>
      </c>
      <c r="D17" s="546">
        <f>'Funding Model'!$D$26</f>
        <v>280697.16623783787</v>
      </c>
      <c r="E17" s="546">
        <f>'Funding Model'!$E$26</f>
        <v>55663.058379368813</v>
      </c>
      <c r="F17" s="546">
        <v>163246</v>
      </c>
      <c r="G17" s="547"/>
      <c r="H17" s="547">
        <v>0</v>
      </c>
      <c r="I17" s="547">
        <f>VLOOKUP(A17,'Band Calculations 1516'!$A$108:$W$125,13,FALSE)</f>
        <v>724905.27956200088</v>
      </c>
      <c r="J17" s="547">
        <f>VLOOKUP(A17,'Band Calculations 1516'!$A$108:$W$125,20,FALSE)</f>
        <v>163372.9691283569</v>
      </c>
      <c r="K17" s="546">
        <f>VLOOKUP(A17,'FSM Calculation 1516'!$A$4:$D$21,4,FALSE)</f>
        <v>12055.5</v>
      </c>
      <c r="L17" s="546">
        <v>669.84820537303062</v>
      </c>
      <c r="M17" s="547">
        <f>SUM(D17:L17)</f>
        <v>1400609.8215129373</v>
      </c>
      <c r="N17" s="547">
        <f>M17-F17</f>
        <v>1237363.8215129373</v>
      </c>
      <c r="O17" s="548">
        <f>VLOOKUP(A17,'Band Calculations 1516'!$A$108:$W$125,22,FALSE)</f>
        <v>62.000000000000007</v>
      </c>
      <c r="Q17" s="542">
        <f t="shared" si="4"/>
        <v>19957.480992144148</v>
      </c>
      <c r="R17" s="542">
        <f t="shared" si="5"/>
        <v>620000.00000000012</v>
      </c>
      <c r="S17" s="542">
        <f t="shared" si="6"/>
        <v>9957.4809921441483</v>
      </c>
      <c r="T17" s="551">
        <f>VLOOKUP(A17,'2014-15 Funding Detail'!$A$4:$AK$23,37,FALSE)</f>
        <v>10072.743977286613</v>
      </c>
      <c r="U17" s="547">
        <f t="shared" si="10"/>
        <v>10072.743977286613</v>
      </c>
      <c r="V17" s="547">
        <f t="shared" si="7"/>
        <v>20072.743977286613</v>
      </c>
      <c r="W17" s="547">
        <f>(U17-S17)*O17</f>
        <v>7146.3050788327973</v>
      </c>
      <c r="X17" s="156">
        <f>N17+W17</f>
        <v>1244510.1265917702</v>
      </c>
      <c r="Y17" s="521">
        <f t="shared" si="8"/>
        <v>1225842.4746928937</v>
      </c>
      <c r="Z17" s="521">
        <f t="shared" si="11"/>
        <v>19771.652817627317</v>
      </c>
      <c r="AA17" s="521">
        <f t="shared" si="9"/>
        <v>9771.6528176273168</v>
      </c>
      <c r="AB17" s="549"/>
      <c r="AC17" s="1888"/>
      <c r="AD17" s="1888"/>
      <c r="AE17" s="1888"/>
      <c r="AF17" s="1888"/>
      <c r="AG17" s="1888"/>
      <c r="AH17" s="1888"/>
      <c r="AI17" s="1888"/>
      <c r="AJ17" s="550"/>
    </row>
    <row r="18" spans="1:36" ht="13" x14ac:dyDescent="0.3">
      <c r="A18" s="544">
        <v>9257029</v>
      </c>
      <c r="B18" s="43" t="s">
        <v>84</v>
      </c>
      <c r="C18" s="536">
        <v>3</v>
      </c>
      <c r="D18" s="546">
        <f>'Funding Model'!$D$26</f>
        <v>280697.16623783787</v>
      </c>
      <c r="E18" s="546">
        <f>'Funding Model'!$E$26</f>
        <v>55663.058379368813</v>
      </c>
      <c r="F18" s="546">
        <v>230912</v>
      </c>
      <c r="G18" s="547"/>
      <c r="H18" s="547">
        <v>0</v>
      </c>
      <c r="I18" s="547">
        <f>VLOOKUP(A18,'Band Calculations 1516'!$A$108:$W$125,13,FALSE)</f>
        <v>643061.1350953232</v>
      </c>
      <c r="J18" s="547">
        <f>VLOOKUP(A18,'Band Calculations 1516'!$A$108:$W$125,20,FALSE)</f>
        <v>144927.63390418759</v>
      </c>
      <c r="K18" s="546">
        <f>VLOOKUP(A18,'FSM Calculation 1516'!$A$4:$D$21,4,FALSE)</f>
        <v>7144</v>
      </c>
      <c r="L18" s="546">
        <v>672.79653660865415</v>
      </c>
      <c r="M18" s="547">
        <f>SUM(D18:L18)</f>
        <v>1363077.790153326</v>
      </c>
      <c r="N18" s="547">
        <f>M18-F18</f>
        <v>1132165.790153326</v>
      </c>
      <c r="O18" s="548">
        <f>VLOOKUP(A18,'Band Calculations 1516'!$A$108:$W$125,22,FALSE)</f>
        <v>55</v>
      </c>
      <c r="Q18" s="542">
        <f t="shared" si="4"/>
        <v>20584.832548242292</v>
      </c>
      <c r="R18" s="542">
        <f t="shared" si="5"/>
        <v>550000</v>
      </c>
      <c r="S18" s="542">
        <f t="shared" si="6"/>
        <v>10584.832548242292</v>
      </c>
      <c r="T18" s="551">
        <f>VLOOKUP(A18,'2014-15 Funding Detail'!$A$4:$AK$23,37,FALSE)</f>
        <v>11864.378270806235</v>
      </c>
      <c r="U18" s="547">
        <f t="shared" si="10"/>
        <v>11864.378270806235</v>
      </c>
      <c r="V18" s="547">
        <f t="shared" si="7"/>
        <v>21864.378270806235</v>
      </c>
      <c r="W18" s="547">
        <f>(U18-S18)*O18</f>
        <v>70375.014741016916</v>
      </c>
      <c r="X18" s="156">
        <f>N18+W18</f>
        <v>1202540.804894343</v>
      </c>
      <c r="Y18" s="521">
        <f t="shared" si="8"/>
        <v>1184502.6928209278</v>
      </c>
      <c r="Z18" s="521">
        <f t="shared" si="11"/>
        <v>21536.412596744143</v>
      </c>
      <c r="AA18" s="521">
        <f t="shared" si="9"/>
        <v>11536.412596744143</v>
      </c>
      <c r="AB18" s="549"/>
      <c r="AC18" s="1888"/>
      <c r="AD18" s="1888"/>
      <c r="AE18" s="1888"/>
      <c r="AF18" s="1888"/>
      <c r="AG18" s="1888"/>
      <c r="AH18" s="1888"/>
      <c r="AI18" s="1888"/>
      <c r="AJ18" s="550"/>
    </row>
    <row r="19" spans="1:36" ht="13" x14ac:dyDescent="0.3">
      <c r="A19" s="544">
        <v>9257032</v>
      </c>
      <c r="B19" s="43" t="s">
        <v>82</v>
      </c>
      <c r="C19" s="536">
        <v>4</v>
      </c>
      <c r="D19" s="546">
        <f>'Funding Model'!$D$27</f>
        <v>360067.26321081078</v>
      </c>
      <c r="E19" s="546">
        <f>'Funding Model'!$E$27</f>
        <v>58044.118057617408</v>
      </c>
      <c r="F19" s="546">
        <v>204976</v>
      </c>
      <c r="G19" s="547"/>
      <c r="H19" s="547">
        <v>0</v>
      </c>
      <c r="I19" s="547">
        <f>VLOOKUP(A19,'Band Calculations 1516'!$A$108:$W$125,13,FALSE)</f>
        <v>701521.23828580719</v>
      </c>
      <c r="J19" s="547">
        <f>VLOOKUP(A19,'Band Calculations 1516'!$A$108:$W$125,20,FALSE)</f>
        <v>158102.87335002277</v>
      </c>
      <c r="K19" s="546">
        <f>VLOOKUP(A19,'FSM Calculation 1516'!$A$4:$D$21,4,FALSE)</f>
        <v>4911.5</v>
      </c>
      <c r="L19" s="546">
        <v>663.9515429017838</v>
      </c>
      <c r="M19" s="547">
        <f>SUM(D19:L19)</f>
        <v>1488286.94444716</v>
      </c>
      <c r="N19" s="547">
        <f>M19-F19</f>
        <v>1283310.94444716</v>
      </c>
      <c r="O19" s="548">
        <f>VLOOKUP(A19,'Band Calculations 1516'!$A$108:$W$125,22,FALSE)</f>
        <v>60</v>
      </c>
      <c r="Q19" s="542">
        <f t="shared" si="4"/>
        <v>21388.515740785999</v>
      </c>
      <c r="R19" s="542">
        <f t="shared" si="5"/>
        <v>600000</v>
      </c>
      <c r="S19" s="542">
        <f t="shared" si="6"/>
        <v>11388.515740785999</v>
      </c>
      <c r="T19" s="551">
        <f>VLOOKUP(A19,'2014-15 Funding Detail'!$A$4:$AK$23,37,FALSE)</f>
        <v>11437.423680790733</v>
      </c>
      <c r="U19" s="547">
        <f t="shared" si="10"/>
        <v>11437.423680790733</v>
      </c>
      <c r="V19" s="547">
        <f t="shared" si="7"/>
        <v>21437.423680790733</v>
      </c>
      <c r="W19" s="547">
        <f>(U19-S19)*O19</f>
        <v>2934.4764002840384</v>
      </c>
      <c r="X19" s="156">
        <f>N19+W19</f>
        <v>1286245.4208474441</v>
      </c>
      <c r="Y19" s="521">
        <f t="shared" si="8"/>
        <v>1266951.7395347324</v>
      </c>
      <c r="Z19" s="521">
        <f t="shared" si="11"/>
        <v>21115.862325578873</v>
      </c>
      <c r="AA19" s="521">
        <f t="shared" si="9"/>
        <v>11115.862325578873</v>
      </c>
      <c r="AB19" s="549"/>
      <c r="AC19" s="549"/>
      <c r="AD19" s="549"/>
      <c r="AE19" s="549"/>
      <c r="AF19" s="549"/>
      <c r="AG19" s="549"/>
      <c r="AH19" s="387"/>
      <c r="AI19" s="549"/>
      <c r="AJ19" s="550"/>
    </row>
    <row r="20" spans="1:36" ht="13" x14ac:dyDescent="0.3">
      <c r="A20" s="544">
        <v>9257030</v>
      </c>
      <c r="B20" s="43" t="s">
        <v>83</v>
      </c>
      <c r="C20" s="536">
        <v>4</v>
      </c>
      <c r="D20" s="546">
        <f>'Funding Model'!$D$27</f>
        <v>360067.26321081078</v>
      </c>
      <c r="E20" s="546">
        <f>'Funding Model'!$E$27</f>
        <v>58044.118057617408</v>
      </c>
      <c r="F20" s="546">
        <v>251686</v>
      </c>
      <c r="G20" s="547"/>
      <c r="H20" s="547">
        <v>0</v>
      </c>
      <c r="I20" s="632">
        <f>VLOOKUP(A20,'Band Calculations 1516'!$A$108:$W$125,13,FALSE)</f>
        <v>677162.86195643886</v>
      </c>
      <c r="J20" s="632">
        <f>VLOOKUP(A20,'Band Calculations 1516'!$A$108:$W$125,20,FALSE)</f>
        <v>152613.19024759144</v>
      </c>
      <c r="K20" s="546">
        <f>VLOOKUP(A20,'FSM Calculation 1516'!$A$4:$D$21,4,FALSE)</f>
        <v>12948.5</v>
      </c>
      <c r="L20" s="546">
        <v>652.15821795928991</v>
      </c>
      <c r="M20" s="547">
        <f>SUM(D20:L20)</f>
        <v>1513174.0916904178</v>
      </c>
      <c r="N20" s="547">
        <f>M20-F20</f>
        <v>1261488.0916904178</v>
      </c>
      <c r="O20" s="630">
        <f>VLOOKUP(A20,'Band Calculations 1516'!$A$108:$W$125,22,FALSE)</f>
        <v>57.916666666666671</v>
      </c>
      <c r="Q20" s="542">
        <f t="shared" si="4"/>
        <v>21781.089352928077</v>
      </c>
      <c r="R20" s="542">
        <f t="shared" si="5"/>
        <v>579166.66666666674</v>
      </c>
      <c r="S20" s="542">
        <f t="shared" si="6"/>
        <v>11781.089352928077</v>
      </c>
      <c r="T20" s="546">
        <f>VLOOKUP(A20,'2014-15 Funding Detail'!$A$4:$AK$23,37,FALSE)</f>
        <v>11747.784706520179</v>
      </c>
      <c r="U20" s="547">
        <f t="shared" si="10"/>
        <v>11781.089352928077</v>
      </c>
      <c r="V20" s="547">
        <f t="shared" si="7"/>
        <v>21781.089352928077</v>
      </c>
      <c r="W20" s="547">
        <f>(U20-S20)*O20</f>
        <v>0</v>
      </c>
      <c r="X20" s="156">
        <f>N20+W20</f>
        <v>1261488.0916904178</v>
      </c>
      <c r="Y20" s="547">
        <f t="shared" si="8"/>
        <v>1242565.7703150616</v>
      </c>
      <c r="Z20" s="547">
        <f t="shared" si="11"/>
        <v>21454.373012634154</v>
      </c>
      <c r="AA20" s="547">
        <f t="shared" si="9"/>
        <v>11454.373012634154</v>
      </c>
      <c r="AB20" s="549"/>
      <c r="AC20" s="549"/>
      <c r="AD20" s="549"/>
      <c r="AE20" s="549"/>
      <c r="AF20" s="549"/>
      <c r="AG20" s="549"/>
      <c r="AH20" s="387"/>
      <c r="AI20" s="549"/>
      <c r="AJ20" s="550"/>
    </row>
    <row r="21" spans="1:36" ht="13" x14ac:dyDescent="0.3">
      <c r="A21" s="544"/>
      <c r="B21" s="43"/>
      <c r="C21" s="536"/>
      <c r="D21" s="546"/>
      <c r="E21" s="546"/>
      <c r="F21" s="547"/>
      <c r="G21" s="547"/>
      <c r="H21" s="547"/>
      <c r="I21" s="547"/>
      <c r="J21" s="547"/>
      <c r="K21" s="546"/>
      <c r="L21" s="546"/>
      <c r="M21" s="547"/>
      <c r="N21" s="547"/>
      <c r="O21" s="548"/>
      <c r="Q21" s="542"/>
      <c r="R21" s="542"/>
      <c r="S21" s="542"/>
      <c r="T21" s="546"/>
      <c r="U21" s="547"/>
      <c r="V21" s="547"/>
      <c r="W21" s="547"/>
      <c r="X21" s="156"/>
      <c r="Y21" s="521"/>
      <c r="Z21" s="521"/>
      <c r="AA21" s="521"/>
      <c r="AB21" s="549"/>
      <c r="AC21" s="549"/>
      <c r="AD21" s="549"/>
      <c r="AE21" s="549"/>
      <c r="AF21" s="549"/>
      <c r="AG21" s="549"/>
      <c r="AH21" s="387"/>
      <c r="AI21" s="549"/>
      <c r="AJ21" s="550"/>
    </row>
    <row r="22" spans="1:36" ht="13" x14ac:dyDescent="0.3">
      <c r="A22" s="544">
        <v>9257033</v>
      </c>
      <c r="B22" s="545" t="s">
        <v>72</v>
      </c>
      <c r="C22" s="536">
        <v>3</v>
      </c>
      <c r="D22" s="546">
        <f>'Funding Model'!$D$22</f>
        <v>314686.51772419503</v>
      </c>
      <c r="E22" s="546">
        <f>'Funding Model'!$E$22</f>
        <v>69201.680689977453</v>
      </c>
      <c r="F22" s="547"/>
      <c r="G22" s="547"/>
      <c r="H22" s="547">
        <v>89430.297065122693</v>
      </c>
      <c r="I22" s="547">
        <f>VLOOKUP(A22,'Band Calculations 1516'!$A$108:$W$125,13,FALSE)</f>
        <v>447151.48532561347</v>
      </c>
      <c r="J22" s="547">
        <f>VLOOKUP(A22,'Band Calculations 1516'!$A$108:$W$125,20,FALSE)</f>
        <v>54617.356248189695</v>
      </c>
      <c r="K22" s="546">
        <f>VLOOKUP(A22,'FSM Calculation 1516'!$A$4:$D$21,4,FALSE)</f>
        <v>11609</v>
      </c>
      <c r="L22" s="546">
        <v>666.89987413740721</v>
      </c>
      <c r="M22" s="547">
        <f>SUM(D22:L22)</f>
        <v>987363.23692723573</v>
      </c>
      <c r="N22" s="547">
        <f>M22-F22</f>
        <v>987363.23692723573</v>
      </c>
      <c r="O22" s="548">
        <f>VLOOKUP(A22,'Band Calculations 1516'!$A$108:$W$125,22,FALSE)</f>
        <v>60</v>
      </c>
      <c r="Q22" s="542">
        <f t="shared" si="4"/>
        <v>16456.053948787263</v>
      </c>
      <c r="R22" s="542">
        <f t="shared" si="5"/>
        <v>600000</v>
      </c>
      <c r="S22" s="542">
        <f t="shared" si="6"/>
        <v>6456.0539487872629</v>
      </c>
      <c r="T22" s="546">
        <f>VLOOKUP(A22,'2014-15 Funding Detail'!$A$4:$AK$23,37,FALSE)</f>
        <v>6128.5908895554512</v>
      </c>
      <c r="U22" s="547">
        <f t="shared" si="10"/>
        <v>6456.0539487872629</v>
      </c>
      <c r="V22" s="547">
        <f t="shared" si="7"/>
        <v>16456.053948787263</v>
      </c>
      <c r="W22" s="547">
        <f>(U22-S22)*O22</f>
        <v>0</v>
      </c>
      <c r="X22" s="156">
        <f>N22+W22</f>
        <v>987363.23692723573</v>
      </c>
      <c r="Y22" s="521">
        <f t="shared" si="8"/>
        <v>972552.78837332723</v>
      </c>
      <c r="Z22" s="521">
        <f t="shared" si="11"/>
        <v>16209.213139555453</v>
      </c>
      <c r="AA22" s="521">
        <f t="shared" si="9"/>
        <v>6209.2131395554534</v>
      </c>
      <c r="AB22" s="549"/>
      <c r="AC22" s="549"/>
      <c r="AD22" s="549"/>
      <c r="AE22" s="549"/>
      <c r="AF22" s="549"/>
      <c r="AG22" s="549"/>
      <c r="AH22" s="387"/>
      <c r="AI22" s="549"/>
      <c r="AJ22" s="550"/>
    </row>
    <row r="23" spans="1:36" ht="13" x14ac:dyDescent="0.3">
      <c r="A23" s="544">
        <v>9257034</v>
      </c>
      <c r="B23" s="545" t="s">
        <v>74</v>
      </c>
      <c r="C23" s="536">
        <v>5</v>
      </c>
      <c r="D23" s="546">
        <f>'Funding Model'!D24</f>
        <v>418723.18610831723</v>
      </c>
      <c r="E23" s="546">
        <f>'Funding Model'!E24</f>
        <v>117027.3922528728</v>
      </c>
      <c r="F23" s="547"/>
      <c r="G23" s="547"/>
      <c r="H23" s="547">
        <v>0</v>
      </c>
      <c r="I23" s="547">
        <f>VLOOKUP(A23,'Band Calculations 1516'!$A$108:$W$125,13,FALSE)</f>
        <v>1034119.6229396348</v>
      </c>
      <c r="J23" s="547">
        <f>VLOOKUP(A23,'Band Calculations 1516'!$A$108:$W$125,20,FALSE)</f>
        <v>68511.245118343213</v>
      </c>
      <c r="K23" s="546">
        <f>VLOOKUP(A23,'FSM Calculation 1516'!$A$4:$D$21,4,FALSE)</f>
        <v>18306.5</v>
      </c>
      <c r="L23" s="546">
        <v>811.36810468295653</v>
      </c>
      <c r="M23" s="547">
        <f>SUM(D23:L23)</f>
        <v>1657499.3145238513</v>
      </c>
      <c r="N23" s="547">
        <f>M23-F23</f>
        <v>1657499.3145238513</v>
      </c>
      <c r="O23" s="548">
        <f>VLOOKUP(A23,'Band Calculations 1516'!$A$108:$W$125,22,FALSE)</f>
        <v>127</v>
      </c>
      <c r="Q23" s="542">
        <f t="shared" si="4"/>
        <v>13051.175704912215</v>
      </c>
      <c r="R23" s="542">
        <f t="shared" si="5"/>
        <v>1270000</v>
      </c>
      <c r="S23" s="542">
        <f t="shared" si="6"/>
        <v>3051.1757049122152</v>
      </c>
      <c r="T23" s="551">
        <f>VLOOKUP(A23,'2014-15 Funding Detail'!$A$4:$AK$23,37,FALSE)</f>
        <v>3118.1460761758553</v>
      </c>
      <c r="U23" s="547">
        <f t="shared" si="10"/>
        <v>3118.1460761758553</v>
      </c>
      <c r="V23" s="547">
        <f t="shared" si="7"/>
        <v>13118.146076175855</v>
      </c>
      <c r="W23" s="547">
        <f>(U23-S23)*O23</f>
        <v>8505.237150482295</v>
      </c>
      <c r="X23" s="156">
        <f>N23+W23</f>
        <v>1666004.5516743336</v>
      </c>
      <c r="Y23" s="521">
        <f t="shared" si="8"/>
        <v>1641014.4833992186</v>
      </c>
      <c r="Z23" s="521">
        <f t="shared" si="11"/>
        <v>12921.373885033217</v>
      </c>
      <c r="AA23" s="521">
        <f t="shared" si="9"/>
        <v>2921.3738850332174</v>
      </c>
      <c r="AB23" s="549"/>
      <c r="AC23" s="549"/>
      <c r="AD23" s="549"/>
      <c r="AE23" s="549"/>
      <c r="AF23" s="549"/>
      <c r="AG23" s="549"/>
      <c r="AH23" s="387"/>
      <c r="AI23" s="549"/>
      <c r="AJ23" s="550"/>
    </row>
    <row r="24" spans="1:36" x14ac:dyDescent="0.25">
      <c r="A24" s="555"/>
      <c r="B24" s="556"/>
      <c r="C24" s="554"/>
      <c r="D24" s="533"/>
      <c r="E24" s="533"/>
      <c r="F24" s="533"/>
      <c r="G24" s="533"/>
      <c r="H24" s="533"/>
      <c r="I24" s="533"/>
      <c r="J24" s="533"/>
      <c r="K24" s="530"/>
      <c r="L24" s="530"/>
    </row>
    <row r="25" spans="1:36" ht="13.5" customHeight="1" thickBot="1" x14ac:dyDescent="0.3">
      <c r="A25" s="555"/>
      <c r="D25" s="557">
        <f t="shared" ref="D25:M25" si="12">SUM(D4:D23)</f>
        <v>6786869.0829512719</v>
      </c>
      <c r="E25" s="557">
        <f t="shared" si="12"/>
        <v>1506222.8593246257</v>
      </c>
      <c r="F25" s="557">
        <f t="shared" si="12"/>
        <v>850820</v>
      </c>
      <c r="G25" s="557">
        <f t="shared" si="12"/>
        <v>29207</v>
      </c>
      <c r="H25" s="557">
        <f t="shared" si="12"/>
        <v>433809.13836269296</v>
      </c>
      <c r="I25" s="557">
        <f t="shared" si="12"/>
        <v>14100634.57439534</v>
      </c>
      <c r="J25" s="557">
        <f t="shared" si="12"/>
        <v>1136452.9516791939</v>
      </c>
      <c r="K25" s="557">
        <f t="shared" si="12"/>
        <v>255844.5</v>
      </c>
      <c r="L25" s="557">
        <f t="shared" si="12"/>
        <v>13304.411809383275</v>
      </c>
      <c r="M25" s="557">
        <f t="shared" si="12"/>
        <v>25113164.518522505</v>
      </c>
      <c r="N25" s="557">
        <f>SUM(N4:N23)</f>
        <v>24233137.518522505</v>
      </c>
      <c r="O25" s="558">
        <f>SUM(O4:O23)</f>
        <v>1653.9166666666667</v>
      </c>
      <c r="P25" s="54"/>
      <c r="R25" s="549"/>
      <c r="S25" s="559"/>
      <c r="T25" s="54"/>
      <c r="U25" s="54"/>
      <c r="V25" s="532"/>
      <c r="W25" s="557">
        <f>SUM(W4:W23)</f>
        <v>486096.01138807379</v>
      </c>
      <c r="X25" s="557">
        <f>SUM(X4:X23)</f>
        <v>24719233.529910587</v>
      </c>
      <c r="AI25" s="533"/>
    </row>
    <row r="26" spans="1:36" x14ac:dyDescent="0.25">
      <c r="A26" s="555"/>
      <c r="B26" s="529"/>
      <c r="C26" s="529"/>
      <c r="D26" s="560"/>
      <c r="E26" s="560"/>
      <c r="F26" s="560"/>
      <c r="G26" s="560"/>
      <c r="H26" s="560"/>
      <c r="I26" s="529"/>
      <c r="J26" s="529"/>
      <c r="M26" s="560"/>
      <c r="N26" s="561"/>
      <c r="O26" s="631" t="s">
        <v>402</v>
      </c>
      <c r="P26" s="631"/>
      <c r="Q26" s="631" t="s">
        <v>402</v>
      </c>
      <c r="R26" s="631" t="s">
        <v>402</v>
      </c>
      <c r="S26" s="631" t="s">
        <v>402</v>
      </c>
      <c r="T26" s="54"/>
      <c r="U26" s="54"/>
      <c r="V26" s="532"/>
      <c r="AI26" s="533"/>
    </row>
    <row r="27" spans="1:36" x14ac:dyDescent="0.25">
      <c r="B27" s="528"/>
      <c r="C27" s="528" t="s">
        <v>402</v>
      </c>
      <c r="D27" s="533" t="s">
        <v>402</v>
      </c>
      <c r="E27" s="533" t="s">
        <v>402</v>
      </c>
      <c r="F27" s="533" t="s">
        <v>402</v>
      </c>
      <c r="G27" s="533" t="s">
        <v>402</v>
      </c>
      <c r="H27" s="533" t="s">
        <v>402</v>
      </c>
      <c r="I27" s="533" t="s">
        <v>402</v>
      </c>
      <c r="J27" s="533" t="s">
        <v>402</v>
      </c>
      <c r="K27" s="533" t="s">
        <v>402</v>
      </c>
      <c r="L27" s="533" t="s">
        <v>402</v>
      </c>
      <c r="M27" s="533" t="s">
        <v>402</v>
      </c>
      <c r="N27" s="533" t="s">
        <v>402</v>
      </c>
      <c r="O27" s="562" t="s">
        <v>402</v>
      </c>
      <c r="Q27" s="533" t="s">
        <v>402</v>
      </c>
      <c r="R27" s="528" t="s">
        <v>402</v>
      </c>
      <c r="S27" s="528" t="s">
        <v>402</v>
      </c>
      <c r="T27" s="528" t="s">
        <v>402</v>
      </c>
      <c r="U27" s="528" t="s">
        <v>402</v>
      </c>
      <c r="V27" s="528" t="s">
        <v>402</v>
      </c>
      <c r="X27" s="528" t="s">
        <v>402</v>
      </c>
      <c r="AI27" s="533"/>
    </row>
    <row r="28" spans="1:36" x14ac:dyDescent="0.25">
      <c r="B28" s="528"/>
      <c r="O28" s="562"/>
      <c r="S28" s="560"/>
      <c r="T28" s="560"/>
      <c r="U28" s="529"/>
      <c r="AI28" s="533"/>
    </row>
    <row r="29" spans="1:36" x14ac:dyDescent="0.25">
      <c r="B29" s="528"/>
      <c r="D29" s="533"/>
      <c r="E29" s="533"/>
      <c r="F29" s="533"/>
      <c r="G29" s="533"/>
      <c r="H29" s="533"/>
      <c r="I29" s="533"/>
      <c r="J29" s="533"/>
      <c r="K29" s="533"/>
      <c r="L29" s="533"/>
      <c r="M29" s="533"/>
      <c r="N29" s="533"/>
      <c r="O29" s="562"/>
      <c r="P29" s="533">
        <f>P25-P27</f>
        <v>0</v>
      </c>
      <c r="W29" s="533">
        <v>561033.36475520977</v>
      </c>
      <c r="AI29" s="533"/>
    </row>
    <row r="30" spans="1:36" x14ac:dyDescent="0.25">
      <c r="A30" s="560"/>
      <c r="B30" s="528"/>
      <c r="O30" s="562"/>
    </row>
    <row r="31" spans="1:36" x14ac:dyDescent="0.25">
      <c r="B31" s="528"/>
      <c r="I31" s="528"/>
      <c r="J31" s="528"/>
      <c r="K31" s="560"/>
      <c r="L31" s="560"/>
      <c r="N31" s="528"/>
      <c r="V31" s="528" t="s">
        <v>404</v>
      </c>
      <c r="W31" s="533">
        <f>W25-W29</f>
        <v>-74937.353367135976</v>
      </c>
      <c r="AI31" s="528"/>
    </row>
    <row r="32" spans="1:36" x14ac:dyDescent="0.25">
      <c r="B32" s="528"/>
      <c r="I32" s="528"/>
      <c r="J32" s="528"/>
      <c r="K32" s="560"/>
      <c r="L32" s="560"/>
      <c r="N32" s="528"/>
    </row>
    <row r="33" spans="4:23" s="526" customFormat="1" x14ac:dyDescent="0.25">
      <c r="D33" s="1945"/>
      <c r="E33" s="1945"/>
      <c r="F33" s="528"/>
      <c r="G33" s="528"/>
      <c r="H33" s="528"/>
      <c r="I33" s="1946"/>
      <c r="J33" s="563"/>
      <c r="K33" s="529"/>
      <c r="L33" s="560"/>
      <c r="M33" s="528"/>
      <c r="O33" s="528"/>
      <c r="Q33" s="533"/>
      <c r="R33" s="528"/>
      <c r="S33" s="528"/>
      <c r="V33" s="528"/>
      <c r="W33" s="528" t="s">
        <v>402</v>
      </c>
    </row>
    <row r="34" spans="4:23" s="526" customFormat="1" x14ac:dyDescent="0.25">
      <c r="D34" s="528"/>
      <c r="E34" s="528"/>
      <c r="F34" s="528"/>
      <c r="G34" s="528"/>
      <c r="H34" s="528"/>
      <c r="I34" s="1946"/>
      <c r="J34" s="563"/>
      <c r="K34" s="529"/>
      <c r="L34" s="529"/>
      <c r="M34" s="528"/>
      <c r="O34" s="528"/>
      <c r="Q34" s="533"/>
      <c r="R34" s="528"/>
      <c r="S34" s="528"/>
      <c r="V34" s="528"/>
      <c r="W34" s="528"/>
    </row>
  </sheetData>
  <mergeCells count="4">
    <mergeCell ref="Y2:AA2"/>
    <mergeCell ref="D33:E33"/>
    <mergeCell ref="I33:I34"/>
    <mergeCell ref="AC14:AI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72</vt:i4>
      </vt:variant>
      <vt:variant>
        <vt:lpstr>Named Ranges</vt:lpstr>
      </vt:variant>
      <vt:variant>
        <vt:i4>15</vt:i4>
      </vt:variant>
    </vt:vector>
  </HeadingPairs>
  <TitlesOfParts>
    <vt:vector size="87" baseType="lpstr">
      <vt:lpstr>Budget Req 1516</vt:lpstr>
      <vt:lpstr>Budget Req 1617</vt:lpstr>
      <vt:lpstr>Funding Model</vt:lpstr>
      <vt:lpstr>2016-17 Funding Summary</vt:lpstr>
      <vt:lpstr>2016-17 Funding Detail</vt:lpstr>
      <vt:lpstr>Band Calculations 1617</vt:lpstr>
      <vt:lpstr>2016-17 Other Funding</vt:lpstr>
      <vt:lpstr>2015-16 Funding Summary</vt:lpstr>
      <vt:lpstr>2015-16 Funding Detail</vt:lpstr>
      <vt:lpstr>Band Calculations 1516</vt:lpstr>
      <vt:lpstr>2014-15 Funding Detail</vt:lpstr>
      <vt:lpstr>2013-14 Funding (4)</vt:lpstr>
      <vt:lpstr>2012-13 Top-ups</vt:lpstr>
      <vt:lpstr>Band Calculations 1415</vt:lpstr>
      <vt:lpstr>Band Calculations</vt:lpstr>
      <vt:lpstr>2015-16 Other Funding</vt:lpstr>
      <vt:lpstr>Revised Band Returns</vt:lpstr>
      <vt:lpstr>FSM Calculation 1516</vt:lpstr>
      <vt:lpstr>DSG US 1415</vt:lpstr>
      <vt:lpstr>DSG US 1516</vt:lpstr>
      <vt:lpstr>Front Sheet - Please Read First</vt:lpstr>
      <vt:lpstr>ISB Weightings</vt:lpstr>
      <vt:lpstr>Budget Shares</vt:lpstr>
      <vt:lpstr>2017-18 Funding Summary</vt:lpstr>
      <vt:lpstr>2017-18 Funding Detail</vt:lpstr>
      <vt:lpstr>Band Calculations 1718</vt:lpstr>
      <vt:lpstr>2017-18 Other Funding</vt:lpstr>
      <vt:lpstr>FSM Calculation 1718</vt:lpstr>
      <vt:lpstr>Budget Requirement 1718</vt:lpstr>
      <vt:lpstr>Funding Summary</vt:lpstr>
      <vt:lpstr>Funding Detail - Rebase</vt:lpstr>
      <vt:lpstr>Band Calculations - Rebase</vt:lpstr>
      <vt:lpstr>Revised Bands - Rebase</vt:lpstr>
      <vt:lpstr>1819 Funding Detail</vt:lpstr>
      <vt:lpstr>1819 Band Calculations</vt:lpstr>
      <vt:lpstr>1819 Revised Bands</vt:lpstr>
      <vt:lpstr>FSM Calculation 1819</vt:lpstr>
      <vt:lpstr>2018-19 Other Funding</vt:lpstr>
      <vt:lpstr>1819 DSG 1718 Underspend</vt:lpstr>
      <vt:lpstr>1819 Budget Requirement</vt:lpstr>
      <vt:lpstr>1920 Budget Requirement</vt:lpstr>
      <vt:lpstr>1920 Funding Detail</vt:lpstr>
      <vt:lpstr>1920 Band Calculations</vt:lpstr>
      <vt:lpstr>1920 Band Moderations</vt:lpstr>
      <vt:lpstr>1920 Other Funding</vt:lpstr>
      <vt:lpstr>1920 FSM Calculation</vt:lpstr>
      <vt:lpstr>Band Values</vt:lpstr>
      <vt:lpstr>2021 Budget Requirement</vt:lpstr>
      <vt:lpstr>MFG</vt:lpstr>
      <vt:lpstr>2021 Band Calculations</vt:lpstr>
      <vt:lpstr>2021 FSM Calculation</vt:lpstr>
      <vt:lpstr>2021 Other Funding</vt:lpstr>
      <vt:lpstr>2021 Band Moderations</vt:lpstr>
      <vt:lpstr>MFG Tab</vt:lpstr>
      <vt:lpstr>2122 Budget Requirement</vt:lpstr>
      <vt:lpstr>2122 Funding Detail</vt:lpstr>
      <vt:lpstr>2122 Band Calculations</vt:lpstr>
      <vt:lpstr>2021 Funding Detail</vt:lpstr>
      <vt:lpstr>2122 MFG Protection</vt:lpstr>
      <vt:lpstr>202021 MFG Protection</vt:lpstr>
      <vt:lpstr>Group Sizes</vt:lpstr>
      <vt:lpstr>2122 FSM Calculation</vt:lpstr>
      <vt:lpstr>2122 Other Funding</vt:lpstr>
      <vt:lpstr>2122 Band Values</vt:lpstr>
      <vt:lpstr>2122 Teachers Pay Scales</vt:lpstr>
      <vt:lpstr>2122 TA Pay Scales</vt:lpstr>
      <vt:lpstr>2122 GLEA Pay Scales</vt:lpstr>
      <vt:lpstr>2122 Pay &amp; Pension Allocations</vt:lpstr>
      <vt:lpstr>Pay &amp; Pension Workings</vt:lpstr>
      <vt:lpstr>TA Workings</vt:lpstr>
      <vt:lpstr>2122 Band Moderations</vt:lpstr>
      <vt:lpstr>2122 OLEA Placements</vt:lpstr>
      <vt:lpstr>'2012-13 Top-ups'!Print_Area</vt:lpstr>
      <vt:lpstr>'2013-14 Funding (4)'!Print_Area</vt:lpstr>
      <vt:lpstr>'2014-15 Funding Detail'!Print_Area</vt:lpstr>
      <vt:lpstr>'2015-16 Other Funding'!Print_Area</vt:lpstr>
      <vt:lpstr>'2016-17 Funding Detail'!Print_Area</vt:lpstr>
      <vt:lpstr>'2016-17 Funding Summary'!Print_Area</vt:lpstr>
      <vt:lpstr>'Band Calculations 1415'!Print_Area</vt:lpstr>
      <vt:lpstr>'Band Calculations 1516'!Print_Area</vt:lpstr>
      <vt:lpstr>'Budget Shares'!Print_Area</vt:lpstr>
      <vt:lpstr>'Front Sheet - Please Read First'!Print_Area</vt:lpstr>
      <vt:lpstr>'Funding Model'!Print_Area</vt:lpstr>
      <vt:lpstr>'Funding Summary'!Print_Area</vt:lpstr>
      <vt:lpstr>'ISB Weightings'!Print_Area</vt:lpstr>
      <vt:lpstr>MFG!Print_Area</vt:lpstr>
      <vt:lpstr>'Revised Band Returns'!Print_Area</vt:lpstr>
    </vt:vector>
  </TitlesOfParts>
  <Company>Lincolnshire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mark.popplewell</dc:creator>
  <cp:lastModifiedBy>David Leonard</cp:lastModifiedBy>
  <cp:lastPrinted>2021-02-26T15:23:21Z</cp:lastPrinted>
  <dcterms:created xsi:type="dcterms:W3CDTF">2010-09-24T14:45:42Z</dcterms:created>
  <dcterms:modified xsi:type="dcterms:W3CDTF">2021-02-26T17:44:12Z</dcterms:modified>
</cp:coreProperties>
</file>