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https://lincolnshirecc.sharepoint.com/sites/FinancialServices/Childrens/Children's Education/Head of Service for Inclusion (Kate Capel)/Pilgrim School/"/>
    </mc:Choice>
  </mc:AlternateContent>
  <xr:revisionPtr revIDLastSave="0" documentId="8_{BB4D4E35-BEBE-4F7D-9DD0-6B61E38D182F}" xr6:coauthVersionLast="47" xr6:coauthVersionMax="47" xr10:uidLastSave="{00000000-0000-0000-0000-000000000000}"/>
  <workbookProtection workbookAlgorithmName="SHA-512" workbookHashValue="jxvQwPGHvJAzMOuh6zs0KfzScL5itqNg/QIzyX/0mOsPK4bBZ6ewqaXD/GQ3I4Qk17yrNEYfj8Nlel0kywRomA==" workbookSaltValue="HX0f1bXCFfVynLzq9DYP/w==" workbookSpinCount="100000" lockStructure="1"/>
  <bookViews>
    <workbookView xWindow="-28920" yWindow="-1740" windowWidth="29040" windowHeight="17640" tabRatio="922" firstSheet="1" activeTab="1" xr2:uid="{00000000-000D-0000-FFFF-FFFF00000000}"/>
  </bookViews>
  <sheets>
    <sheet name="Pilgrim Formula - 2021" sheetId="11" state="hidden" r:id="rId1"/>
    <sheet name="Pilgrim Formula - 202324" sheetId="10" r:id="rId2"/>
    <sheet name="Special Funding Summary" sheetId="2" state="hidden" r:id="rId3"/>
    <sheet name="ASD Unit" sheetId="15" state="hidden" r:id="rId4"/>
    <sheet name="TEACHING ASSISTANT 2023-24" sheetId="4" state="hidden" r:id="rId5"/>
    <sheet name="2122 Band Values" sheetId="5" state="hidden" r:id="rId6"/>
    <sheet name="2324 Band Values (2)"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[1]Detailed_Output!$A$4:$U$230</definedName>
    <definedName name="AAHel" localSheetId="5">#REF!</definedName>
    <definedName name="AAHel" localSheetId="6">#REF!</definedName>
    <definedName name="AAHel" localSheetId="0">#REF!</definedName>
    <definedName name="AAHel" localSheetId="1">#REF!</definedName>
    <definedName name="AAHel" localSheetId="2">#REF!</definedName>
    <definedName name="AAHel" localSheetId="4">#REF!</definedName>
    <definedName name="AAHel">#REF!</definedName>
    <definedName name="ABSG" localSheetId="5">#REF!</definedName>
    <definedName name="ABSG" localSheetId="6">#REF!</definedName>
    <definedName name="ABSG" localSheetId="0">#REF!</definedName>
    <definedName name="ABSG" localSheetId="1">#REF!</definedName>
    <definedName name="ABSG" localSheetId="2">#REF!</definedName>
    <definedName name="ABSG" localSheetId="4">#REF!</definedName>
    <definedName name="ABSG">#REF!</definedName>
    <definedName name="Acad_months">[2]Academies!$B$29:$B$40</definedName>
    <definedName name="AST" localSheetId="5">#REF!</definedName>
    <definedName name="AST" localSheetId="6">#REF!</definedName>
    <definedName name="AST" localSheetId="0">#REF!</definedName>
    <definedName name="AST" localSheetId="1">#REF!</definedName>
    <definedName name="AST" localSheetId="2">#REF!</definedName>
    <definedName name="AST" localSheetId="4">#REF!</definedName>
    <definedName name="AST">#REF!</definedName>
    <definedName name="BasketNo" localSheetId="5">#REF!</definedName>
    <definedName name="BasketNo" localSheetId="6">#REF!</definedName>
    <definedName name="BasketNo" localSheetId="0">#REF!</definedName>
    <definedName name="BasketNo" localSheetId="1">#REF!</definedName>
    <definedName name="BasketNo" localSheetId="2">#REF!</definedName>
    <definedName name="BasketNo" localSheetId="4">#REF!</definedName>
    <definedName name="BasketNo">#REF!</definedName>
    <definedName name="BasketUoF_UnAdj" localSheetId="5">#REF!</definedName>
    <definedName name="BasketUoF_UnAdj" localSheetId="6">#REF!</definedName>
    <definedName name="BasketUoF_UnAdj" localSheetId="0">#REF!</definedName>
    <definedName name="BasketUoF_UnAdj" localSheetId="1">#REF!</definedName>
    <definedName name="BasketUoF_UnAdj" localSheetId="2">#REF!</definedName>
    <definedName name="BasketUoF_UnAdj" localSheetId="4">#REF!</definedName>
    <definedName name="BasketUoF_UnAdj">#REF!</definedName>
    <definedName name="DATA1" localSheetId="5">#REF!</definedName>
    <definedName name="DATA1" localSheetId="6">#REF!</definedName>
    <definedName name="DATA1" localSheetId="0">#REF!</definedName>
    <definedName name="DATA1" localSheetId="1">#REF!</definedName>
    <definedName name="DATA1" localSheetId="2">#REF!</definedName>
    <definedName name="DATA1" localSheetId="4">#REF!</definedName>
    <definedName name="DATA1">#REF!</definedName>
    <definedName name="DATA10" localSheetId="5">#REF!</definedName>
    <definedName name="DATA10" localSheetId="6">#REF!</definedName>
    <definedName name="DATA10" localSheetId="0">#REF!</definedName>
    <definedName name="DATA10" localSheetId="1">#REF!</definedName>
    <definedName name="DATA10" localSheetId="2">#REF!</definedName>
    <definedName name="DATA10" localSheetId="4">#REF!</definedName>
    <definedName name="DATA10">#REF!</definedName>
    <definedName name="DATA11" localSheetId="5">#REF!</definedName>
    <definedName name="DATA11" localSheetId="6">#REF!</definedName>
    <definedName name="DATA11" localSheetId="0">#REF!</definedName>
    <definedName name="DATA11" localSheetId="1">#REF!</definedName>
    <definedName name="DATA11" localSheetId="2">#REF!</definedName>
    <definedName name="DATA11" localSheetId="4">#REF!</definedName>
    <definedName name="DATA11">#REF!</definedName>
    <definedName name="DATA12" localSheetId="5">#REF!</definedName>
    <definedName name="DATA12" localSheetId="6">#REF!</definedName>
    <definedName name="DATA12" localSheetId="0">#REF!</definedName>
    <definedName name="DATA12" localSheetId="1">#REF!</definedName>
    <definedName name="DATA12" localSheetId="2">#REF!</definedName>
    <definedName name="DATA12" localSheetId="4">#REF!</definedName>
    <definedName name="DATA12">#REF!</definedName>
    <definedName name="DATA13" localSheetId="5">#REF!</definedName>
    <definedName name="DATA13" localSheetId="6">#REF!</definedName>
    <definedName name="DATA13" localSheetId="0">#REF!</definedName>
    <definedName name="DATA13" localSheetId="1">#REF!</definedName>
    <definedName name="DATA13" localSheetId="2">#REF!</definedName>
    <definedName name="DATA13" localSheetId="4">#REF!</definedName>
    <definedName name="DATA13">#REF!</definedName>
    <definedName name="DATA14" localSheetId="5">'[3]Staffing Est.'!#REF!</definedName>
    <definedName name="DATA14" localSheetId="0">'[3]Staffing Est.'!#REF!</definedName>
    <definedName name="DATA14" localSheetId="1">'[3]Staffing Est.'!#REF!</definedName>
    <definedName name="DATA14" localSheetId="2">'[3]Staffing Est.'!#REF!</definedName>
    <definedName name="DATA14" localSheetId="4">'[3]Staffing Est.'!#REF!</definedName>
    <definedName name="DATA14">'[3]Staffing Est.'!#REF!</definedName>
    <definedName name="DATA2" localSheetId="5">#REF!</definedName>
    <definedName name="DATA2" localSheetId="6">#REF!</definedName>
    <definedName name="DATA2" localSheetId="0">#REF!</definedName>
    <definedName name="DATA2" localSheetId="1">#REF!</definedName>
    <definedName name="DATA2" localSheetId="2">#REF!</definedName>
    <definedName name="DATA2" localSheetId="4">#REF!</definedName>
    <definedName name="DATA2">#REF!</definedName>
    <definedName name="DATA3" localSheetId="5">#REF!</definedName>
    <definedName name="DATA3" localSheetId="6">#REF!</definedName>
    <definedName name="DATA3" localSheetId="0">#REF!</definedName>
    <definedName name="DATA3" localSheetId="1">#REF!</definedName>
    <definedName name="DATA3" localSheetId="2">#REF!</definedName>
    <definedName name="DATA3" localSheetId="4">#REF!</definedName>
    <definedName name="DATA3">#REF!</definedName>
    <definedName name="DATA4" localSheetId="5">#REF!</definedName>
    <definedName name="DATA4" localSheetId="6">#REF!</definedName>
    <definedName name="DATA4" localSheetId="0">#REF!</definedName>
    <definedName name="DATA4" localSheetId="1">#REF!</definedName>
    <definedName name="DATA4" localSheetId="2">#REF!</definedName>
    <definedName name="DATA4" localSheetId="4">#REF!</definedName>
    <definedName name="DATA4">#REF!</definedName>
    <definedName name="DATA5" localSheetId="5">#REF!</definedName>
    <definedName name="DATA5" localSheetId="6">#REF!</definedName>
    <definedName name="DATA5" localSheetId="0">#REF!</definedName>
    <definedName name="DATA5" localSheetId="1">#REF!</definedName>
    <definedName name="DATA5" localSheetId="2">#REF!</definedName>
    <definedName name="DATA5" localSheetId="4">#REF!</definedName>
    <definedName name="DATA5">#REF!</definedName>
    <definedName name="DATA6" localSheetId="5">#REF!</definedName>
    <definedName name="DATA6" localSheetId="6">#REF!</definedName>
    <definedName name="DATA6" localSheetId="0">#REF!</definedName>
    <definedName name="DATA6" localSheetId="1">#REF!</definedName>
    <definedName name="DATA6" localSheetId="2">#REF!</definedName>
    <definedName name="DATA6" localSheetId="4">#REF!</definedName>
    <definedName name="DATA6">#REF!</definedName>
    <definedName name="DATA7" localSheetId="5">#REF!</definedName>
    <definedName name="DATA7" localSheetId="6">#REF!</definedName>
    <definedName name="DATA7" localSheetId="0">#REF!</definedName>
    <definedName name="DATA7" localSheetId="1">#REF!</definedName>
    <definedName name="DATA7" localSheetId="2">#REF!</definedName>
    <definedName name="DATA7" localSheetId="4">#REF!</definedName>
    <definedName name="DATA7">#REF!</definedName>
    <definedName name="DATA8" localSheetId="5">#REF!</definedName>
    <definedName name="DATA8" localSheetId="6">#REF!</definedName>
    <definedName name="DATA8" localSheetId="0">#REF!</definedName>
    <definedName name="DATA8" localSheetId="1">#REF!</definedName>
    <definedName name="DATA8" localSheetId="2">#REF!</definedName>
    <definedName name="DATA8" localSheetId="4">#REF!</definedName>
    <definedName name="DATA8">#REF!</definedName>
    <definedName name="DATA9" localSheetId="5">#REF!</definedName>
    <definedName name="DATA9" localSheetId="6">#REF!</definedName>
    <definedName name="DATA9" localSheetId="0">#REF!</definedName>
    <definedName name="DATA9" localSheetId="1">#REF!</definedName>
    <definedName name="DATA9" localSheetId="2">#REF!</definedName>
    <definedName name="DATA9" localSheetId="4">#REF!</definedName>
    <definedName name="DATA9">#REF!</definedName>
    <definedName name="DDLIST" localSheetId="5">#REF!</definedName>
    <definedName name="DDLIST" localSheetId="6">#REF!</definedName>
    <definedName name="DDLIST" localSheetId="0">#REF!</definedName>
    <definedName name="DDLIST" localSheetId="1">#REF!</definedName>
    <definedName name="DDLIST" localSheetId="2">#REF!</definedName>
    <definedName name="DDLIST" localSheetId="4">#REF!</definedName>
    <definedName name="DDLIST">#REF!</definedName>
    <definedName name="FSM_uc" localSheetId="5">#REF!</definedName>
    <definedName name="FSM_uc" localSheetId="6">#REF!</definedName>
    <definedName name="FSM_uc" localSheetId="0">#REF!</definedName>
    <definedName name="FSM_uc" localSheetId="1">#REF!</definedName>
    <definedName name="FSM_uc" localSheetId="2">#REF!</definedName>
    <definedName name="FSM_uc" localSheetId="4">#REF!</definedName>
    <definedName name="FSM_uc">#REF!</definedName>
    <definedName name="FSM_UC_FUTURE" localSheetId="5">#REF!</definedName>
    <definedName name="FSM_UC_FUTURE" localSheetId="6">#REF!</definedName>
    <definedName name="FSM_UC_FUTURE" localSheetId="0">#REF!</definedName>
    <definedName name="FSM_UC_FUTURE" localSheetId="1">#REF!</definedName>
    <definedName name="FSM_UC_FUTURE" localSheetId="2">#REF!</definedName>
    <definedName name="FSM_UC_FUTURE" localSheetId="4">#REF!</definedName>
    <definedName name="FSM_UC_FUTURE">#REF!</definedName>
    <definedName name="FTEall">[4]FTEall!$B$11:$S$160</definedName>
    <definedName name="gg" localSheetId="5">[5]Section52!#REF!</definedName>
    <definedName name="gg" localSheetId="0">[5]Section52!#REF!</definedName>
    <definedName name="gg" localSheetId="1">[5]Section52!#REF!</definedName>
    <definedName name="gg" localSheetId="2">[5]Section52!#REF!</definedName>
    <definedName name="gg" localSheetId="4">[5]Section52!#REF!</definedName>
    <definedName name="gg">[5]Section52!#REF!</definedName>
    <definedName name="Gross_S52" localSheetId="5">#REF!</definedName>
    <definedName name="Gross_S52" localSheetId="6">#REF!</definedName>
    <definedName name="Gross_S52" localSheetId="0">#REF!</definedName>
    <definedName name="Gross_S52" localSheetId="1">#REF!</definedName>
    <definedName name="Gross_S52" localSheetId="2">#REF!</definedName>
    <definedName name="Gross_S52" localSheetId="4">#REF!</definedName>
    <definedName name="Gross_S52">#REF!</definedName>
    <definedName name="Indicator">[6]CodeSet!$A$1:$A$2</definedName>
    <definedName name="Indicator2">[6]CodeSet!$A$4:$A$6</definedName>
    <definedName name="LA_Choice">[7]Instructions!$E$20</definedName>
    <definedName name="LEA_Choice">[8]Instructions!$D$6</definedName>
    <definedName name="LEAcount" localSheetId="5">#REF!</definedName>
    <definedName name="LEAcount" localSheetId="6">#REF!</definedName>
    <definedName name="LEAcount" localSheetId="0">#REF!</definedName>
    <definedName name="LEAcount" localSheetId="1">#REF!</definedName>
    <definedName name="LEAcount" localSheetId="2">#REF!</definedName>
    <definedName name="LEAcount" localSheetId="4">#REF!</definedName>
    <definedName name="LEAcount">#REF!</definedName>
    <definedName name="LIG">[9]LIG!$A$5:$J$154</definedName>
    <definedName name="ListLAs">'[10]LACSEG All LAs'!$A$4:$A$153</definedName>
    <definedName name="Meals" localSheetId="5">#REF!</definedName>
    <definedName name="Meals" localSheetId="6">#REF!</definedName>
    <definedName name="Meals" localSheetId="0">#REF!</definedName>
    <definedName name="Meals" localSheetId="1">#REF!</definedName>
    <definedName name="Meals" localSheetId="2">#REF!</definedName>
    <definedName name="Meals" localSheetId="4">#REF!</definedName>
    <definedName name="Meals">#REF!</definedName>
    <definedName name="MealsHel" localSheetId="5">#REF!</definedName>
    <definedName name="MealsHel" localSheetId="6">#REF!</definedName>
    <definedName name="MealsHel" localSheetId="0">#REF!</definedName>
    <definedName name="MealsHel" localSheetId="1">#REF!</definedName>
    <definedName name="MealsHel" localSheetId="2">#REF!</definedName>
    <definedName name="MealsHel" localSheetId="4">#REF!</definedName>
    <definedName name="MealsHel">#REF!</definedName>
    <definedName name="Mealsold" localSheetId="5">[5]Section52!#REF!</definedName>
    <definedName name="Mealsold" localSheetId="0">[5]Section52!#REF!</definedName>
    <definedName name="Mealsold" localSheetId="1">[5]Section52!#REF!</definedName>
    <definedName name="Mealsold" localSheetId="2">[5]Section52!#REF!</definedName>
    <definedName name="Mealsold" localSheetId="4">[5]Section52!#REF!</definedName>
    <definedName name="Mealsold">[5]Section52!#REF!</definedName>
    <definedName name="Names_Lookup">'[7]Background data'!$A$6:$Q$155</definedName>
    <definedName name="OptionsHel" localSheetId="5">#REF!</definedName>
    <definedName name="OptionsHel" localSheetId="6">#REF!</definedName>
    <definedName name="OptionsHel" localSheetId="0">#REF!</definedName>
    <definedName name="OptionsHel" localSheetId="1">#REF!</definedName>
    <definedName name="OptionsHel" localSheetId="2">#REF!</definedName>
    <definedName name="OptionsHel" localSheetId="4">#REF!</definedName>
    <definedName name="OptionsHel">#REF!</definedName>
    <definedName name="p" localSheetId="5">#REF!</definedName>
    <definedName name="p" localSheetId="6">#REF!</definedName>
    <definedName name="p" localSheetId="0">#REF!</definedName>
    <definedName name="p" localSheetId="1">#REF!</definedName>
    <definedName name="p" localSheetId="2">#REF!</definedName>
    <definedName name="p" localSheetId="4">#REF!</definedName>
    <definedName name="p">#REF!</definedName>
    <definedName name="Phase_split">[9]all_asc!$A$12:$V$179</definedName>
    <definedName name="_xlnm.Print_Area" localSheetId="2">'Special Funding Summary'!$A$1:$H$125</definedName>
    <definedName name="_xlnm.Print_Area" localSheetId="4">'TEACHING ASSISTANT 2023-24'!$B$1:$U$40</definedName>
    <definedName name="PTR" localSheetId="5">#REF!</definedName>
    <definedName name="PTR" localSheetId="6">#REF!</definedName>
    <definedName name="PTR" localSheetId="0">#REF!</definedName>
    <definedName name="PTR" localSheetId="1">#REF!</definedName>
    <definedName name="PTR" localSheetId="2">#REF!</definedName>
    <definedName name="PTR" localSheetId="4">#REF!</definedName>
    <definedName name="PTR">#REF!</definedName>
    <definedName name="PYEAR">'[11]Basic Information'!$G$14</definedName>
    <definedName name="qry_nor_list_a3_and_a4_cohorts_joined" localSheetId="5">#REF!</definedName>
    <definedName name="qry_nor_list_a3_and_a4_cohorts_joined" localSheetId="6">#REF!</definedName>
    <definedName name="qry_nor_list_a3_and_a4_cohorts_joined" localSheetId="0">#REF!</definedName>
    <definedName name="qry_nor_list_a3_and_a4_cohorts_joined" localSheetId="1">#REF!</definedName>
    <definedName name="qry_nor_list_a3_and_a4_cohorts_joined" localSheetId="2">#REF!</definedName>
    <definedName name="qry_nor_list_a3_and_a4_cohorts_joined" localSheetId="4">#REF!</definedName>
    <definedName name="qry_nor_list_a3_and_a4_cohorts_joined">#REF!</definedName>
    <definedName name="Query2" localSheetId="5">#REF!</definedName>
    <definedName name="Query2" localSheetId="6">#REF!</definedName>
    <definedName name="Query2" localSheetId="0">#REF!</definedName>
    <definedName name="Query2" localSheetId="1">#REF!</definedName>
    <definedName name="Query2" localSheetId="2">#REF!</definedName>
    <definedName name="Query2" localSheetId="4">#REF!</definedName>
    <definedName name="Query2">#REF!</definedName>
    <definedName name="Query3" localSheetId="5">#REF!</definedName>
    <definedName name="Query3" localSheetId="6">#REF!</definedName>
    <definedName name="Query3" localSheetId="0">#REF!</definedName>
    <definedName name="Query3" localSheetId="1">#REF!</definedName>
    <definedName name="Query3" localSheetId="2">#REF!</definedName>
    <definedName name="Query3" localSheetId="4">#REF!</definedName>
    <definedName name="Query3">#REF!</definedName>
    <definedName name="Query4" localSheetId="5">#REF!</definedName>
    <definedName name="Query4" localSheetId="6">#REF!</definedName>
    <definedName name="Query4" localSheetId="0">#REF!</definedName>
    <definedName name="Query4" localSheetId="1">#REF!</definedName>
    <definedName name="Query4" localSheetId="2">#REF!</definedName>
    <definedName name="Query4" localSheetId="4">#REF!</definedName>
    <definedName name="Query4">#REF!</definedName>
    <definedName name="recoupamount">'[12]Academy Recoupment'!$D$39</definedName>
    <definedName name="SALARY">#N/A</definedName>
    <definedName name="school">'[13]FTE data'!$A$3:$BR$379</definedName>
    <definedName name="schools" localSheetId="5">#REF!</definedName>
    <definedName name="schools" localSheetId="6">#REF!</definedName>
    <definedName name="schools" localSheetId="0">#REF!</definedName>
    <definedName name="schools" localSheetId="1">#REF!</definedName>
    <definedName name="schools" localSheetId="2">#REF!</definedName>
    <definedName name="schools" localSheetId="4">#REF!</definedName>
    <definedName name="schools">#REF!</definedName>
    <definedName name="SchTypeList">[6]CodeSet!$C$1:$C$10</definedName>
    <definedName name="sec_asc" localSheetId="5">#REF!</definedName>
    <definedName name="sec_asc" localSheetId="6">#REF!</definedName>
    <definedName name="sec_asc" localSheetId="0">#REF!</definedName>
    <definedName name="sec_asc" localSheetId="1">#REF!</definedName>
    <definedName name="sec_asc" localSheetId="2">#REF!</definedName>
    <definedName name="sec_asc" localSheetId="4">#REF!</definedName>
    <definedName name="sec_asc">#REF!</definedName>
    <definedName name="SEC_S52" localSheetId="5">#REF!</definedName>
    <definedName name="SEC_S52" localSheetId="6">#REF!</definedName>
    <definedName name="SEC_S52" localSheetId="0">#REF!</definedName>
    <definedName name="SEC_S52" localSheetId="1">#REF!</definedName>
    <definedName name="SEC_S52" localSheetId="2">#REF!</definedName>
    <definedName name="SEC_S52" localSheetId="4">#REF!</definedName>
    <definedName name="SEC_S52">#REF!</definedName>
    <definedName name="SEN" localSheetId="5">#REF!</definedName>
    <definedName name="SEN" localSheetId="6">#REF!</definedName>
    <definedName name="SEN" localSheetId="0">#REF!</definedName>
    <definedName name="SEN" localSheetId="1">#REF!</definedName>
    <definedName name="SEN" localSheetId="2">#REF!</definedName>
    <definedName name="SEN" localSheetId="4">#REF!</definedName>
    <definedName name="SEN">#REF!</definedName>
    <definedName name="TableOne">'[9]S52 Sec'!$A$11:$CO$161</definedName>
    <definedName name="TableOneGross">'[4]S52 Gross'!$A$11:$CY$161</definedName>
    <definedName name="TableOneSec">'[4]S52 Sec'!$A$11:$CW$161</definedName>
    <definedName name="TEST1" localSheetId="5">#REF!</definedName>
    <definedName name="TEST1" localSheetId="6">#REF!</definedName>
    <definedName name="TEST1" localSheetId="0">#REF!</definedName>
    <definedName name="TEST1" localSheetId="1">#REF!</definedName>
    <definedName name="TEST1" localSheetId="2">#REF!</definedName>
    <definedName name="TEST1" localSheetId="4">#REF!</definedName>
    <definedName name="TEST1">#REF!</definedName>
    <definedName name="TESTHKEY" localSheetId="5">#REF!</definedName>
    <definedName name="TESTHKEY" localSheetId="6">#REF!</definedName>
    <definedName name="TESTHKEY" localSheetId="0">#REF!</definedName>
    <definedName name="TESTHKEY" localSheetId="1">#REF!</definedName>
    <definedName name="TESTHKEY" localSheetId="2">#REF!</definedName>
    <definedName name="TESTHKEY" localSheetId="4">#REF!</definedName>
    <definedName name="TESTHKEY">#REF!</definedName>
    <definedName name="TESTKEYS" localSheetId="5">#REF!</definedName>
    <definedName name="TESTKEYS" localSheetId="6">#REF!</definedName>
    <definedName name="TESTKEYS" localSheetId="0">#REF!</definedName>
    <definedName name="TESTKEYS" localSheetId="1">#REF!</definedName>
    <definedName name="TESTKEYS" localSheetId="2">#REF!</definedName>
    <definedName name="TESTKEYS" localSheetId="4">#REF!</definedName>
    <definedName name="TESTKEYS">#REF!</definedName>
    <definedName name="TESTVKEY" localSheetId="5">#REF!</definedName>
    <definedName name="TESTVKEY" localSheetId="6">#REF!</definedName>
    <definedName name="TESTVKEY" localSheetId="0">#REF!</definedName>
    <definedName name="TESTVKEY" localSheetId="1">#REF!</definedName>
    <definedName name="TESTVKEY" localSheetId="2">#REF!</definedName>
    <definedName name="TESTVKEY" localSheetId="4">#REF!</definedName>
    <definedName name="TESTVKEY">#REF!</definedName>
    <definedName name="UoF_Adj" localSheetId="5">#REF!</definedName>
    <definedName name="UoF_Adj" localSheetId="6">#REF!</definedName>
    <definedName name="UoF_Adj" localSheetId="0">#REF!</definedName>
    <definedName name="UoF_Adj" localSheetId="1">#REF!</definedName>
    <definedName name="UoF_Adj" localSheetId="2">#REF!</definedName>
    <definedName name="UoF_Adj" localSheetId="4">#REF!</definedName>
    <definedName name="UoF_Adj">#REF!</definedName>
    <definedName name="UoFHel" localSheetId="5">#REF!</definedName>
    <definedName name="UoFHel" localSheetId="6">#REF!</definedName>
    <definedName name="UoFHel" localSheetId="0">#REF!</definedName>
    <definedName name="UoFHel" localSheetId="1">#REF!</definedName>
    <definedName name="UoFHel" localSheetId="2">#REF!</definedName>
    <definedName name="UoFHel" localSheetId="4">#REF!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0" l="1"/>
  <c r="B48" i="10"/>
  <c r="B13" i="10"/>
  <c r="B6" i="10"/>
  <c r="B7" i="10"/>
  <c r="B48" i="11" l="1"/>
  <c r="B46" i="10"/>
  <c r="B28" i="10" l="1"/>
  <c r="BK26" i="14"/>
  <c r="L44" i="4"/>
  <c r="BI35" i="14"/>
  <c r="BI34" i="14"/>
  <c r="B19" i="10" l="1"/>
  <c r="D20" i="15" l="1"/>
  <c r="E18" i="15"/>
  <c r="E20" i="15" s="1"/>
  <c r="D18" i="15"/>
  <c r="C18" i="15"/>
  <c r="F20" i="15" s="1"/>
  <c r="D11" i="15" l="1"/>
  <c r="F22" i="15" s="1"/>
  <c r="E22" i="15" l="1"/>
  <c r="D22" i="15"/>
  <c r="B26" i="10"/>
  <c r="B20" i="10"/>
  <c r="B31" i="10" l="1"/>
  <c r="B33" i="10" s="1"/>
  <c r="B15" i="10"/>
  <c r="BK30" i="14"/>
  <c r="BB43" i="14"/>
  <c r="BB45" i="14"/>
  <c r="BB46" i="14" s="1"/>
  <c r="BB48" i="14" s="1"/>
  <c r="F42" i="4" l="1"/>
  <c r="V42" i="4" l="1"/>
  <c r="J42" i="4"/>
  <c r="H42" i="4"/>
  <c r="L42" i="4" s="1"/>
  <c r="B38" i="11"/>
  <c r="BI30" i="14" l="1"/>
  <c r="L30" i="14"/>
  <c r="AZ28" i="14"/>
  <c r="BI28" i="14" s="1"/>
  <c r="BS26" i="14"/>
  <c r="AZ26" i="14"/>
  <c r="BI26" i="14" s="1"/>
  <c r="AK25" i="14"/>
  <c r="BS24" i="14"/>
  <c r="BA24" i="14"/>
  <c r="AZ24" i="14"/>
  <c r="BI24" i="14" s="1"/>
  <c r="AV24" i="14"/>
  <c r="AK24" i="14"/>
  <c r="P24" i="14"/>
  <c r="N24" i="14"/>
  <c r="AV23" i="14"/>
  <c r="BS22" i="14"/>
  <c r="BI22" i="14"/>
  <c r="AZ22" i="14"/>
  <c r="BA22" i="14"/>
  <c r="AP22" i="14"/>
  <c r="AV22" i="14"/>
  <c r="AJ22" i="14"/>
  <c r="Q22" i="14"/>
  <c r="P22" i="14"/>
  <c r="AV21" i="14"/>
  <c r="BE20" i="14"/>
  <c r="AV20" i="14"/>
  <c r="AQ20" i="14"/>
  <c r="P20" i="14"/>
  <c r="N20" i="14"/>
  <c r="AV19" i="14"/>
  <c r="AV18" i="14"/>
  <c r="BI17" i="14"/>
  <c r="AZ17" i="14"/>
  <c r="BA17" i="14"/>
  <c r="AP17" i="14"/>
  <c r="AU17" i="14"/>
  <c r="AJ17" i="14"/>
  <c r="Q17" i="14"/>
  <c r="N17" i="14"/>
  <c r="AV16" i="14"/>
  <c r="AM16" i="14"/>
  <c r="AV15" i="14"/>
  <c r="AM15" i="14"/>
  <c r="BS14" i="14"/>
  <c r="BI14" i="14"/>
  <c r="AZ14" i="14"/>
  <c r="AP14" i="14"/>
  <c r="AM14" i="14"/>
  <c r="AJ14" i="14"/>
  <c r="AD14" i="14"/>
  <c r="AE14" i="14" s="1"/>
  <c r="Q14" i="14"/>
  <c r="AV13" i="14"/>
  <c r="AM13" i="14"/>
  <c r="AV12" i="14"/>
  <c r="AM12" i="14"/>
  <c r="BS11" i="14"/>
  <c r="BI11" i="14"/>
  <c r="BK11" i="14"/>
  <c r="AZ11" i="14"/>
  <c r="BE11" i="14"/>
  <c r="AP11" i="14"/>
  <c r="AV11" i="14"/>
  <c r="AM11" i="14"/>
  <c r="Q11" i="14"/>
  <c r="N11" i="14"/>
  <c r="P11" i="14"/>
  <c r="AV10" i="14"/>
  <c r="AM10" i="14"/>
  <c r="AV9" i="14"/>
  <c r="AM9" i="14"/>
  <c r="BS8" i="14"/>
  <c r="AZ8" i="14"/>
  <c r="AQ8" i="14"/>
  <c r="AR8" i="14" s="1"/>
  <c r="AS8" i="14" s="1"/>
  <c r="AP8" i="14"/>
  <c r="AU8" i="14"/>
  <c r="AM8" i="14"/>
  <c r="X8" i="14"/>
  <c r="Y8" i="14" s="1"/>
  <c r="Q8" i="14"/>
  <c r="P8" i="14"/>
  <c r="R8" i="14" s="1"/>
  <c r="AV7" i="14"/>
  <c r="AM7" i="14"/>
  <c r="AV6" i="14"/>
  <c r="AM6" i="14"/>
  <c r="BA5" i="14"/>
  <c r="AZ5" i="14"/>
  <c r="BI5" i="14" s="1"/>
  <c r="AV5" i="14"/>
  <c r="AP5" i="14"/>
  <c r="AT5" i="14"/>
  <c r="AJ5" i="14"/>
  <c r="X5" i="14"/>
  <c r="Y5" i="14" s="1"/>
  <c r="Q5" i="14"/>
  <c r="N5" i="14"/>
  <c r="P5" i="14"/>
  <c r="R5" i="14" s="1"/>
  <c r="BE26" i="14" l="1"/>
  <c r="BE30" i="14"/>
  <c r="F8" i="14"/>
  <c r="AT8" i="14"/>
  <c r="AD11" i="14"/>
  <c r="AE11" i="14" s="1"/>
  <c r="F14" i="14"/>
  <c r="AV17" i="14"/>
  <c r="BS17" i="14"/>
  <c r="AU5" i="14"/>
  <c r="BS5" i="14"/>
  <c r="AV8" i="14"/>
  <c r="AT11" i="14"/>
  <c r="N14" i="14"/>
  <c r="AD17" i="14"/>
  <c r="AE17" i="14" s="1"/>
  <c r="BE17" i="14"/>
  <c r="BK24" i="14"/>
  <c r="BB17" i="14"/>
  <c r="AD5" i="14"/>
  <c r="AE5" i="14" s="1"/>
  <c r="BB5" i="14"/>
  <c r="N8" i="14"/>
  <c r="AD8" i="14"/>
  <c r="AE8" i="14" s="1"/>
  <c r="BK22" i="14"/>
  <c r="AQ24" i="14"/>
  <c r="BE5" i="14"/>
  <c r="BA8" i="14"/>
  <c r="BB8" i="14" s="1"/>
  <c r="X11" i="14"/>
  <c r="Y11" i="14" s="1"/>
  <c r="X14" i="14"/>
  <c r="Y14" i="14" s="1"/>
  <c r="AU24" i="14"/>
  <c r="BE24" i="14"/>
  <c r="AL25" i="14"/>
  <c r="F5" i="14"/>
  <c r="AJ8" i="14"/>
  <c r="AJ11" i="14"/>
  <c r="AK11" i="14" s="1"/>
  <c r="P14" i="14"/>
  <c r="R14" i="14" s="1"/>
  <c r="BK14" i="14"/>
  <c r="X17" i="14"/>
  <c r="Y17" i="14" s="1"/>
  <c r="BE22" i="14"/>
  <c r="BS30" i="14"/>
  <c r="AL5" i="14"/>
  <c r="AK5" i="14"/>
  <c r="AQ5" i="14"/>
  <c r="AR5" i="14" s="1"/>
  <c r="AS5" i="14" s="1"/>
  <c r="AM5" i="14"/>
  <c r="AL14" i="14"/>
  <c r="BA14" i="14"/>
  <c r="BB14" i="14" s="1"/>
  <c r="BE14" i="14"/>
  <c r="N22" i="14"/>
  <c r="F22" i="14"/>
  <c r="AL22" i="14" s="1"/>
  <c r="AK22" i="14"/>
  <c r="AK8" i="14"/>
  <c r="BE8" i="14"/>
  <c r="BI8" i="14"/>
  <c r="BK8" i="14" s="1"/>
  <c r="BM11" i="14"/>
  <c r="AV14" i="14"/>
  <c r="AU14" i="14"/>
  <c r="AQ14" i="14"/>
  <c r="AR14" i="14" s="1"/>
  <c r="AS14" i="14" s="1"/>
  <c r="AT14" i="14"/>
  <c r="AK17" i="14"/>
  <c r="BM30" i="14"/>
  <c r="BK5" i="14"/>
  <c r="BM5" i="14" s="1"/>
  <c r="R11" i="14"/>
  <c r="BA11" i="14"/>
  <c r="BB11" i="14" s="1"/>
  <c r="AK14" i="14"/>
  <c r="F17" i="14"/>
  <c r="AL17" i="14" s="1"/>
  <c r="P17" i="14"/>
  <c r="R17" i="14" s="1"/>
  <c r="AQ17" i="14"/>
  <c r="AR17" i="14" s="1"/>
  <c r="AS17" i="14" s="1"/>
  <c r="AM17" i="14"/>
  <c r="R22" i="14"/>
  <c r="AU22" i="14"/>
  <c r="AQ22" i="14"/>
  <c r="AO32" i="14"/>
  <c r="AO34" i="14" s="1"/>
  <c r="AO36" i="14" s="1"/>
  <c r="F11" i="14"/>
  <c r="AL11" i="14" s="1"/>
  <c r="AQ11" i="14"/>
  <c r="AR11" i="14" s="1"/>
  <c r="AS11" i="14" s="1"/>
  <c r="AU11" i="14"/>
  <c r="AT17" i="14"/>
  <c r="F24" i="14"/>
  <c r="AL24" i="14"/>
  <c r="BM14" i="14" l="1"/>
  <c r="BM24" i="14"/>
  <c r="BO24" i="14" s="1"/>
  <c r="BM8" i="14"/>
  <c r="BO8" i="14" s="1"/>
  <c r="AL8" i="14"/>
  <c r="BL24" i="14"/>
  <c r="BM22" i="14"/>
  <c r="BM26" i="14"/>
  <c r="BL8" i="14"/>
  <c r="BL14" i="14"/>
  <c r="BO14" i="14"/>
  <c r="BO30" i="14"/>
  <c r="BL30" i="14"/>
  <c r="BS28" i="14"/>
  <c r="BK28" i="14"/>
  <c r="BE28" i="14"/>
  <c r="BL5" i="14"/>
  <c r="BO5" i="14"/>
  <c r="BO11" i="14"/>
  <c r="BL11" i="14"/>
  <c r="BO26" i="14" l="1"/>
  <c r="BL26" i="14"/>
  <c r="BL22" i="14"/>
  <c r="BO22" i="14"/>
  <c r="BM28" i="14"/>
  <c r="BL28" i="14"/>
  <c r="BO28" i="14"/>
  <c r="BL33" i="14" l="1"/>
  <c r="B81" i="11"/>
  <c r="B72" i="11"/>
  <c r="B63" i="11"/>
  <c r="B64" i="11" s="1"/>
  <c r="B47" i="11"/>
  <c r="B42" i="11"/>
  <c r="B31" i="11"/>
  <c r="B20" i="11"/>
  <c r="B18" i="11"/>
  <c r="B17" i="11"/>
  <c r="B13" i="11"/>
  <c r="B9" i="11"/>
  <c r="B8" i="11"/>
  <c r="B7" i="11"/>
  <c r="B6" i="11"/>
  <c r="B12" i="11" s="1"/>
  <c r="B14" i="11" s="1"/>
  <c r="B21" i="11" l="1"/>
  <c r="B28" i="11"/>
  <c r="B44" i="11" l="1"/>
  <c r="B34" i="11"/>
  <c r="B35" i="11" s="1"/>
  <c r="B83" i="11" l="1"/>
  <c r="B66" i="11"/>
  <c r="B74" i="11"/>
  <c r="B12" i="10" l="1"/>
  <c r="B14" i="10" s="1"/>
  <c r="B22" i="10" s="1"/>
  <c r="R29" i="5"/>
  <c r="Q29" i="5"/>
  <c r="N29" i="5"/>
  <c r="H29" i="5"/>
  <c r="B42" i="10" l="1"/>
  <c r="B43" i="10" s="1"/>
  <c r="B37" i="10"/>
  <c r="R11" i="5"/>
  <c r="M26" i="5"/>
  <c r="N26" i="5" s="1"/>
  <c r="R26" i="5"/>
  <c r="Q26" i="5"/>
  <c r="M24" i="5"/>
  <c r="N24" i="5" s="1"/>
  <c r="Q22" i="5"/>
  <c r="M22" i="5"/>
  <c r="N22" i="5" s="1"/>
  <c r="N20" i="5"/>
  <c r="R17" i="5"/>
  <c r="Q17" i="5"/>
  <c r="M17" i="5"/>
  <c r="N17" i="5" s="1"/>
  <c r="O17" i="5" s="1"/>
  <c r="Q14" i="5"/>
  <c r="M14" i="5"/>
  <c r="N14" i="5" s="1"/>
  <c r="O14" i="5" s="1"/>
  <c r="Q11" i="5"/>
  <c r="M11" i="5"/>
  <c r="N11" i="5" s="1"/>
  <c r="O11" i="5" s="1"/>
  <c r="Q8" i="5"/>
  <c r="M8" i="5"/>
  <c r="N8" i="5" s="1"/>
  <c r="Q5" i="5"/>
  <c r="M5" i="5"/>
  <c r="N5" i="5" s="1"/>
  <c r="O5" i="5" s="1"/>
  <c r="N39" i="4"/>
  <c r="R39" i="4" s="1"/>
  <c r="T39" i="4" s="1"/>
  <c r="J39" i="4"/>
  <c r="H39" i="4"/>
  <c r="N38" i="4"/>
  <c r="J38" i="4"/>
  <c r="L38" i="4" s="1"/>
  <c r="H38" i="4"/>
  <c r="N37" i="4"/>
  <c r="R37" i="4" s="1"/>
  <c r="T37" i="4" s="1"/>
  <c r="J37" i="4"/>
  <c r="H37" i="4"/>
  <c r="N36" i="4"/>
  <c r="J36" i="4"/>
  <c r="L36" i="4" s="1"/>
  <c r="H36" i="4"/>
  <c r="N35" i="4"/>
  <c r="R35" i="4" s="1"/>
  <c r="T35" i="4" s="1"/>
  <c r="J35" i="4"/>
  <c r="H35" i="4"/>
  <c r="N34" i="4"/>
  <c r="J34" i="4"/>
  <c r="L34" i="4" s="1"/>
  <c r="H34" i="4"/>
  <c r="N33" i="4"/>
  <c r="R33" i="4" s="1"/>
  <c r="T33" i="4" s="1"/>
  <c r="J33" i="4"/>
  <c r="H33" i="4"/>
  <c r="N32" i="4"/>
  <c r="J32" i="4"/>
  <c r="L32" i="4" s="1"/>
  <c r="H32" i="4"/>
  <c r="N31" i="4"/>
  <c r="R31" i="4" s="1"/>
  <c r="T31" i="4" s="1"/>
  <c r="J31" i="4"/>
  <c r="H31" i="4"/>
  <c r="N30" i="4"/>
  <c r="J30" i="4"/>
  <c r="L30" i="4" s="1"/>
  <c r="H30" i="4"/>
  <c r="N29" i="4"/>
  <c r="R29" i="4" s="1"/>
  <c r="T29" i="4" s="1"/>
  <c r="J29" i="4"/>
  <c r="H29" i="4"/>
  <c r="N28" i="4"/>
  <c r="J28" i="4"/>
  <c r="L28" i="4" s="1"/>
  <c r="H28" i="4"/>
  <c r="N27" i="4"/>
  <c r="R27" i="4" s="1"/>
  <c r="T27" i="4" s="1"/>
  <c r="J27" i="4"/>
  <c r="H27" i="4"/>
  <c r="N26" i="4"/>
  <c r="J26" i="4"/>
  <c r="L26" i="4" s="1"/>
  <c r="H26" i="4"/>
  <c r="N25" i="4"/>
  <c r="R25" i="4" s="1"/>
  <c r="T25" i="4" s="1"/>
  <c r="J25" i="4"/>
  <c r="H25" i="4"/>
  <c r="N24" i="4"/>
  <c r="J24" i="4"/>
  <c r="L24" i="4" s="1"/>
  <c r="H24" i="4"/>
  <c r="N23" i="4"/>
  <c r="R23" i="4" s="1"/>
  <c r="T23" i="4" s="1"/>
  <c r="J23" i="4"/>
  <c r="H23" i="4"/>
  <c r="N22" i="4"/>
  <c r="J22" i="4"/>
  <c r="L22" i="4" s="1"/>
  <c r="H22" i="4"/>
  <c r="N21" i="4"/>
  <c r="R21" i="4" s="1"/>
  <c r="T21" i="4" s="1"/>
  <c r="J21" i="4"/>
  <c r="H21" i="4"/>
  <c r="N20" i="4"/>
  <c r="J20" i="4"/>
  <c r="L20" i="4" s="1"/>
  <c r="H20" i="4"/>
  <c r="H11" i="4"/>
  <c r="C11" i="4"/>
  <c r="D10" i="4"/>
  <c r="C10" i="4"/>
  <c r="L21" i="4" l="1"/>
  <c r="L23" i="4"/>
  <c r="L25" i="4"/>
  <c r="L27" i="4"/>
  <c r="L29" i="4"/>
  <c r="L31" i="4"/>
  <c r="L33" i="4"/>
  <c r="L35" i="4"/>
  <c r="L37" i="4"/>
  <c r="L39" i="4"/>
  <c r="O8" i="5"/>
  <c r="T24" i="4"/>
  <c r="T26" i="4"/>
  <c r="R20" i="4"/>
  <c r="T20" i="4" s="1"/>
  <c r="R22" i="4"/>
  <c r="T22" i="4" s="1"/>
  <c r="R24" i="4"/>
  <c r="R26" i="4"/>
  <c r="R28" i="4"/>
  <c r="T28" i="4" s="1"/>
  <c r="R30" i="4"/>
  <c r="T30" i="4" s="1"/>
  <c r="R32" i="4"/>
  <c r="T32" i="4" s="1"/>
  <c r="R34" i="4"/>
  <c r="T34" i="4" s="1"/>
  <c r="R36" i="4"/>
  <c r="T36" i="4" s="1"/>
  <c r="R38" i="4"/>
  <c r="T38" i="4" s="1"/>
  <c r="B49"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0000000-0006-0000-0700-000001000000}">
      <text>
        <r>
          <rPr>
            <b/>
            <sz val="8"/>
            <color indexed="81"/>
            <rFont val="Tahoma"/>
            <family val="2"/>
          </rPr>
          <t>Author:</t>
        </r>
        <r>
          <rPr>
            <sz val="8"/>
            <color indexed="81"/>
            <rFont val="Tahoma"/>
            <family val="2"/>
          </rPr>
          <t xml:space="preserve">
Assumes M6</t>
        </r>
      </text>
    </comment>
    <comment ref="F3" authorId="0" shapeId="0" xr:uid="{00000000-0006-0000-0700-000002000000}">
      <text>
        <r>
          <rPr>
            <b/>
            <sz val="8"/>
            <color indexed="81"/>
            <rFont val="Tahoma"/>
            <family val="2"/>
          </rPr>
          <t>Author:</t>
        </r>
        <r>
          <rPr>
            <sz val="8"/>
            <color indexed="81"/>
            <rFont val="Tahoma"/>
            <family val="2"/>
          </rPr>
          <t xml:space="preserve">
Assumes SCP 12</t>
        </r>
      </text>
    </comment>
    <comment ref="G3" authorId="0" shapeId="0" xr:uid="{00000000-0006-0000-0700-000003000000}">
      <text>
        <r>
          <rPr>
            <b/>
            <sz val="8"/>
            <color indexed="81"/>
            <rFont val="Tahoma"/>
            <family val="2"/>
          </rPr>
          <t>Author:</t>
        </r>
        <r>
          <rPr>
            <sz val="8"/>
            <color indexed="81"/>
            <rFont val="Tahoma"/>
            <family val="2"/>
          </rPr>
          <t xml:space="preserve">
Assumes SCP 5 for 1h15 per day</t>
        </r>
      </text>
    </comment>
    <comment ref="B5" authorId="0" shapeId="0" xr:uid="{00000000-0006-0000-0700-000004000000}">
      <text>
        <r>
          <rPr>
            <b/>
            <sz val="9"/>
            <color indexed="81"/>
            <rFont val="Tahoma"/>
            <family val="2"/>
          </rPr>
          <t>Author:</t>
        </r>
        <r>
          <rPr>
            <sz val="9"/>
            <color indexed="81"/>
            <rFont val="Tahoma"/>
            <family val="2"/>
          </rPr>
          <t xml:space="preserve">
Reduced from 2.5:1</t>
        </r>
      </text>
    </comment>
    <comment ref="B11" authorId="0" shapeId="0" xr:uid="{00000000-0006-0000-0700-000005000000}">
      <text>
        <r>
          <rPr>
            <b/>
            <sz val="9"/>
            <color indexed="81"/>
            <rFont val="Tahoma"/>
            <family val="2"/>
          </rPr>
          <t>Author:</t>
        </r>
        <r>
          <rPr>
            <sz val="9"/>
            <color indexed="81"/>
            <rFont val="Tahoma"/>
            <family val="2"/>
          </rPr>
          <t xml:space="preserve">
Increased from 6:1</t>
        </r>
      </text>
    </comment>
    <comment ref="H20" authorId="0" shapeId="0" xr:uid="{00000000-0006-0000-0700-000006000000}">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david.leonard</author>
    <author>David Leonard</author>
  </authors>
  <commentList>
    <comment ref="C3" authorId="0" shapeId="0" xr:uid="{1C473272-6241-44B9-B6B4-E138E692F989}">
      <text>
        <r>
          <rPr>
            <b/>
            <sz val="8"/>
            <color indexed="81"/>
            <rFont val="Tahoma"/>
            <family val="2"/>
          </rPr>
          <t>david.leonard:</t>
        </r>
        <r>
          <rPr>
            <sz val="8"/>
            <color indexed="81"/>
            <rFont val="Tahoma"/>
            <family val="2"/>
          </rPr>
          <t xml:space="preserve">
Assumes M5 + £1100 TLR</t>
        </r>
      </text>
    </comment>
    <comment ref="D3" authorId="0" shapeId="0" xr:uid="{27F803E8-9B83-47AA-BA55-07DA312C6C45}">
      <text>
        <r>
          <rPr>
            <b/>
            <sz val="8"/>
            <color indexed="81"/>
            <rFont val="Tahoma"/>
            <family val="2"/>
          </rPr>
          <t>david.leonard:</t>
        </r>
        <r>
          <rPr>
            <sz val="8"/>
            <color indexed="81"/>
            <rFont val="Tahoma"/>
            <family val="2"/>
          </rPr>
          <t xml:space="preserve">
Assumes SCP12</t>
        </r>
      </text>
    </comment>
    <comment ref="E3" authorId="0" shapeId="0" xr:uid="{ECB3827A-46A3-4175-BB1C-E5F76992B207}">
      <text>
        <r>
          <rPr>
            <b/>
            <sz val="8"/>
            <color indexed="81"/>
            <rFont val="Tahoma"/>
            <family val="2"/>
          </rPr>
          <t>david.leonard:</t>
        </r>
        <r>
          <rPr>
            <sz val="8"/>
            <color indexed="81"/>
            <rFont val="Tahoma"/>
            <family val="2"/>
          </rPr>
          <t xml:space="preserve">
Assumes SCP 5 for 1h15 per day</t>
        </r>
      </text>
    </comment>
    <comment ref="I3" authorId="0" shapeId="0" xr:uid="{449E1345-D2AE-4B3E-8A10-5C0D586D74C6}">
      <text>
        <r>
          <rPr>
            <b/>
            <sz val="8"/>
            <color indexed="81"/>
            <rFont val="Tahoma"/>
            <family val="2"/>
          </rPr>
          <t>david.leonard:</t>
        </r>
        <r>
          <rPr>
            <sz val="8"/>
            <color indexed="81"/>
            <rFont val="Tahoma"/>
            <family val="2"/>
          </rPr>
          <t xml:space="preserve">
Assumes M6</t>
        </r>
      </text>
    </comment>
    <comment ref="J3" authorId="0" shapeId="0" xr:uid="{A395BE77-4042-45CA-9393-A62242C7336E}">
      <text>
        <r>
          <rPr>
            <b/>
            <sz val="8"/>
            <color indexed="81"/>
            <rFont val="Tahoma"/>
            <family val="2"/>
          </rPr>
          <t>david.leonard:</t>
        </r>
        <r>
          <rPr>
            <sz val="8"/>
            <color indexed="81"/>
            <rFont val="Tahoma"/>
            <family val="2"/>
          </rPr>
          <t xml:space="preserve">
Assumes SCP 12</t>
        </r>
      </text>
    </comment>
    <comment ref="K3" authorId="0" shapeId="0" xr:uid="{4510D6EE-261A-4926-A52E-AE862E287CD5}">
      <text>
        <r>
          <rPr>
            <b/>
            <sz val="8"/>
            <color indexed="81"/>
            <rFont val="Tahoma"/>
            <family val="2"/>
          </rPr>
          <t>david.leonard:</t>
        </r>
        <r>
          <rPr>
            <sz val="8"/>
            <color indexed="81"/>
            <rFont val="Tahoma"/>
            <family val="2"/>
          </rPr>
          <t xml:space="preserve">
Assumes SCP 5 for 1h15 per day</t>
        </r>
      </text>
    </comment>
    <comment ref="B5" authorId="1" shapeId="0" xr:uid="{BE6A4156-E73C-4603-B113-74EB8FF66CF4}">
      <text>
        <r>
          <rPr>
            <b/>
            <sz val="9"/>
            <color indexed="81"/>
            <rFont val="Tahoma"/>
            <family val="2"/>
          </rPr>
          <t>David Leonard:</t>
        </r>
        <r>
          <rPr>
            <sz val="9"/>
            <color indexed="81"/>
            <rFont val="Tahoma"/>
            <family val="2"/>
          </rPr>
          <t xml:space="preserve">
Reduced from 2.5:1</t>
        </r>
      </text>
    </comment>
    <comment ref="B11" authorId="1" shapeId="0" xr:uid="{AAABE836-DA78-4FE0-9C01-13B212D477C4}">
      <text>
        <r>
          <rPr>
            <b/>
            <sz val="9"/>
            <color indexed="81"/>
            <rFont val="Tahoma"/>
            <family val="2"/>
          </rPr>
          <t>David Leonard:</t>
        </r>
        <r>
          <rPr>
            <sz val="9"/>
            <color indexed="81"/>
            <rFont val="Tahoma"/>
            <family val="2"/>
          </rPr>
          <t xml:space="preserve">
Increased from 6:1</t>
        </r>
      </text>
    </comment>
    <comment ref="F20" authorId="0" shapeId="0" xr:uid="{6F1C7B23-C8BB-4E28-8BF1-73593CEABE68}">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 ref="L20" authorId="0" shapeId="0" xr:uid="{D497B5CD-F777-46E8-80F3-B2053EB0D84A}">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sharedStrings.xml><?xml version="1.0" encoding="utf-8"?>
<sst xmlns="http://schemas.openxmlformats.org/spreadsheetml/2006/main" count="483" uniqueCount="335">
  <si>
    <t>The Pilgrim School - Hospital Provision</t>
  </si>
  <si>
    <t>Special School Formula Factors</t>
  </si>
  <si>
    <t>2021/22 Funding</t>
  </si>
  <si>
    <t>Number of Places</t>
  </si>
  <si>
    <t>Medical Band 1</t>
  </si>
  <si>
    <t>Medical Band 2</t>
  </si>
  <si>
    <t>Classes can flex to 10 i.e. up to 100 FTE places</t>
  </si>
  <si>
    <t>Medical Band 1 Values</t>
  </si>
  <si>
    <t>A ratio of 4 to 1, requires for every 8 children, 1 Teacher &amp; 1 TA.</t>
  </si>
  <si>
    <t>This would represents 10 classrooms (as per the current setup), and could be considered more practical.</t>
  </si>
  <si>
    <t>Medical Band 2 Values</t>
  </si>
  <si>
    <t>A ratio of 2.7 to 1, requires for every 8 children, 1 Teacher &amp; 2 TA.</t>
  </si>
  <si>
    <t>Funding</t>
  </si>
  <si>
    <t>Medical Band Funding</t>
  </si>
  <si>
    <t>Reintegration Support Officers</t>
  </si>
  <si>
    <t>Minimum ratio of 13 ratio - 6 RSO (base)</t>
  </si>
  <si>
    <t>Banded Funding</t>
  </si>
  <si>
    <r>
      <rPr>
        <i/>
        <u/>
        <sz val="11"/>
        <rFont val="Arial"/>
        <family val="2"/>
      </rPr>
      <t>Incorporated into Banded Funding</t>
    </r>
    <r>
      <rPr>
        <i/>
        <sz val="11"/>
        <rFont val="Arial"/>
        <family val="2"/>
      </rPr>
      <t>:</t>
    </r>
  </si>
  <si>
    <t>* Teachers' Pay &amp; Pension Grant</t>
  </si>
  <si>
    <t>* Teaching Assistant cost increase</t>
  </si>
  <si>
    <t>Free School Meals factor</t>
  </si>
  <si>
    <t>Count of 28 pupils accessing Free School Meals</t>
  </si>
  <si>
    <t>Banded Funding for School Size threshold</t>
  </si>
  <si>
    <t>As per the 2020/21 School Size threshold</t>
  </si>
  <si>
    <t>School Size</t>
  </si>
  <si>
    <t>School Size 4 Transition</t>
  </si>
  <si>
    <t>Banded funding &gt;£1.100m</t>
  </si>
  <si>
    <t>Staffing Block</t>
  </si>
  <si>
    <t>Non-Staffing Block</t>
  </si>
  <si>
    <t>Total Indicative Place and Top up funding</t>
  </si>
  <si>
    <t>2021/22 Funding Amount</t>
  </si>
  <si>
    <t>2020/21 Funding level (before teachers' grants)</t>
  </si>
  <si>
    <t>2020/21 budget share publication</t>
  </si>
  <si>
    <t>2020/21 Funding level (after teachers' grants)</t>
  </si>
  <si>
    <t>Place Rate Funding</t>
  </si>
  <si>
    <t>Top up Funding</t>
  </si>
  <si>
    <t>Total Indicative Place &amp; Top up funding</t>
  </si>
  <si>
    <t>Additional Funding Mechanisms</t>
  </si>
  <si>
    <t>Split-site Funding</t>
  </si>
  <si>
    <t>Commissioned: ASD unit</t>
  </si>
  <si>
    <t>Medical Home Tuition - Fixed Cost</t>
  </si>
  <si>
    <r>
      <t xml:space="preserve">Medical Home Tuition - Delivery </t>
    </r>
    <r>
      <rPr>
        <sz val="11"/>
        <color rgb="FF0070C0"/>
        <rFont val="Arial"/>
        <family val="2"/>
      </rPr>
      <t xml:space="preserve">- </t>
    </r>
    <r>
      <rPr>
        <i/>
        <sz val="11"/>
        <color rgb="FF0070C0"/>
        <rFont val="Arial"/>
        <family val="2"/>
      </rPr>
      <t>funded on activity (est.)</t>
    </r>
  </si>
  <si>
    <t>£45 hourly rate for 2h30 of direct delivery</t>
  </si>
  <si>
    <t>Total Funding</t>
  </si>
  <si>
    <t>Teachers' Pay &amp; Pension Grant - Validation</t>
  </si>
  <si>
    <t>2020/21 allocation</t>
  </si>
  <si>
    <t>2021/22 allocation</t>
  </si>
  <si>
    <t>2021/22 allocation greater than 2020/21</t>
  </si>
  <si>
    <t>Agreed 2021/22 Place Numbers</t>
  </si>
  <si>
    <t>Places</t>
  </si>
  <si>
    <t>Pre-16: April 21 - August 21</t>
  </si>
  <si>
    <t>Pre-16: September 21 - March 22</t>
  </si>
  <si>
    <t>Post-16: April 21 - July 21</t>
  </si>
  <si>
    <t>Post-16: August 21 - March 22</t>
  </si>
  <si>
    <t>MP Notes:</t>
  </si>
  <si>
    <t>Hospital Schools funding</t>
  </si>
  <si>
    <t>Share of Pay &amp; pension (£557.86)</t>
  </si>
  <si>
    <t>Less than the government funding including additional funding mechanism</t>
  </si>
  <si>
    <t>2021/22</t>
  </si>
  <si>
    <t>This will assume pay growth</t>
  </si>
  <si>
    <t>Financial Plan - forecast</t>
  </si>
  <si>
    <t>Unrecorded income (similar to prior year)</t>
  </si>
  <si>
    <t>Difference</t>
  </si>
  <si>
    <t>2020/21</t>
  </si>
  <si>
    <t>£2,342,235 &amp; £2,348,316</t>
  </si>
  <si>
    <t>Teachers pay increase (5/12th)</t>
  </si>
  <si>
    <t>2023/24 Funding</t>
  </si>
  <si>
    <t>Based on 28 pupils accessing Free School Meals</t>
  </si>
  <si>
    <t>Banded funding up to £1.246m</t>
  </si>
  <si>
    <t>Total Indicative Funding (Place and Top up Funding)</t>
  </si>
  <si>
    <t>3% inflationary uplift</t>
  </si>
  <si>
    <r>
      <t xml:space="preserve">Medical Home Tuition - Delivery </t>
    </r>
    <r>
      <rPr>
        <sz val="11"/>
        <color rgb="FF0070C0"/>
        <rFont val="Arial"/>
        <family val="2"/>
      </rPr>
      <t xml:space="preserve">- </t>
    </r>
    <r>
      <rPr>
        <i/>
        <sz val="11"/>
        <color rgb="FF0070C0"/>
        <rFont val="Arial"/>
        <family val="2"/>
      </rPr>
      <t>funded on activity (illustrative.)</t>
    </r>
  </si>
  <si>
    <t>DfE Place and Top up Presentation (Indicative Funding)</t>
  </si>
  <si>
    <t>2023/24 allocation</t>
  </si>
  <si>
    <t>Agreed 2023/24 Place Numbers</t>
  </si>
  <si>
    <t>Pre-16: April 23 - August 23</t>
  </si>
  <si>
    <t>Pre-16: September 23 - March 24</t>
  </si>
  <si>
    <t>Post-16: April 23 - July 23</t>
  </si>
  <si>
    <t>Post-16: August 23 - March 24</t>
  </si>
  <si>
    <t xml:space="preserve">A 3% increase in band values has been applied for 2023/24, which reflects the 3% increase in funding made in-year (2022/23) to support specialist schools increasing costs. </t>
  </si>
  <si>
    <t xml:space="preserve">Staffing and non-staffing block cost refinements includes a 3% increase, which reflects the 3% increase in funding made in-year (2022/23) to support specialist schools increasing costs. </t>
  </si>
  <si>
    <t>A 3% increase has been applied to the split side funding in line with the inflationary increases applied to the band values and block funding.</t>
  </si>
  <si>
    <t>Lincolnshire Special Schools Funding Formula</t>
  </si>
  <si>
    <t>DfE No:</t>
  </si>
  <si>
    <t>2022/23 Funding</t>
  </si>
  <si>
    <t>Non-staffing Block</t>
  </si>
  <si>
    <t>Banded Funding (A - F)</t>
  </si>
  <si>
    <t>Banded Funding (G)</t>
  </si>
  <si>
    <t>Free School Meals</t>
  </si>
  <si>
    <t>Indicative Place and Top up Funding *</t>
  </si>
  <si>
    <t>Indicative Place and Top up Funding</t>
  </si>
  <si>
    <t>Average 2022/23</t>
  </si>
  <si>
    <t>Average 2023/24</t>
  </si>
  <si>
    <t>Number on Roll (Place Numbers)</t>
  </si>
  <si>
    <t>Other Special Schools Funding Arrangements</t>
  </si>
  <si>
    <t>Site Factor</t>
  </si>
  <si>
    <t>PFI Block Allocation</t>
  </si>
  <si>
    <t>Split Site Allocation</t>
  </si>
  <si>
    <t>Commissioned Arrangements</t>
  </si>
  <si>
    <t>Portage Funding</t>
  </si>
  <si>
    <t>Outreach Funding</t>
  </si>
  <si>
    <t>Residential Funding</t>
  </si>
  <si>
    <t>Total Other Special Schools Funding Arrangements</t>
  </si>
  <si>
    <t>Staffing and Non-staffing Block</t>
  </si>
  <si>
    <t>2023/24 Final Indicative Budget Share</t>
  </si>
  <si>
    <t>Band Descriptor Profile</t>
  </si>
  <si>
    <t>School Percentage Profile</t>
  </si>
  <si>
    <t>Band A</t>
  </si>
  <si>
    <t>Band B</t>
  </si>
  <si>
    <t>Band C</t>
  </si>
  <si>
    <t>Band D</t>
  </si>
  <si>
    <t>Band E</t>
  </si>
  <si>
    <t>Band F</t>
  </si>
  <si>
    <t>Band G</t>
  </si>
  <si>
    <t>Additional Pupils Placed</t>
  </si>
  <si>
    <t>Average Band Value</t>
  </si>
  <si>
    <t>Commissioned Place Value</t>
  </si>
  <si>
    <t>Staffing Ratio</t>
  </si>
  <si>
    <t>Band Values</t>
  </si>
  <si>
    <t>Description: further detail provided relating to the principles of the band values</t>
  </si>
  <si>
    <t>Band Descriptor</t>
  </si>
  <si>
    <t>6 to 1 Ratio</t>
  </si>
  <si>
    <t>A ratio of 6 to 1, requires for every 12 children, 1 Teacher &amp; 1 TA.</t>
  </si>
  <si>
    <t>5 to 1 Ratio</t>
  </si>
  <si>
    <t>A ratio of 5 to 1, requires for every 10 children, 1 Teacher &amp; 1 TA.</t>
  </si>
  <si>
    <t>Band C (New)</t>
  </si>
  <si>
    <t>2.06 to 1 Ratio</t>
  </si>
  <si>
    <t>A ratio of 2.06 to 1, requires for every 8 children, 1 Teacher &amp; 2.89 TAs.</t>
  </si>
  <si>
    <t>2 to 1 Ratio</t>
  </si>
  <si>
    <t>A ratio of 2 to 1, requires for every 8 children, 1 Teacher &amp; 3 TAs.</t>
  </si>
  <si>
    <t>A ratio of 2 to 1, requires for every 6 children, 1 Teacher &amp; 2 TAs.</t>
  </si>
  <si>
    <t>1 to 1 Ratio</t>
  </si>
  <si>
    <t>A ratio of 1 TA to 1 child.</t>
  </si>
  <si>
    <t>Categories - Staffing and Non-Staffing Blocks</t>
  </si>
  <si>
    <t>Banding Value Categorises (£ up to)</t>
  </si>
  <si>
    <t>School Size 3</t>
  </si>
  <si>
    <t>School Size 3 Transition Point</t>
  </si>
  <si>
    <t>School Size 4</t>
  </si>
  <si>
    <t>School Size 4 Transition Point</t>
  </si>
  <si>
    <t>School Size 5</t>
  </si>
  <si>
    <t>School Size 5 Transition Point</t>
  </si>
  <si>
    <t>School Size 6</t>
  </si>
  <si>
    <t>School Size 6 Transition Point</t>
  </si>
  <si>
    <t>School Size 7</t>
  </si>
  <si>
    <t>PFI School Size 3</t>
  </si>
  <si>
    <t>PFI School Size 3 Transition Point</t>
  </si>
  <si>
    <t>PFI School Size 4</t>
  </si>
  <si>
    <t>PFI School Size 4 Transition Point</t>
  </si>
  <si>
    <t>PFI School Size 5</t>
  </si>
  <si>
    <t xml:space="preserve">1. Lincolnshire's special schools 2022/23 funding formula allocations by each formula factor (based on the schools published indicative budget for 2022/23). </t>
  </si>
  <si>
    <t xml:space="preserve">4. Number on Roll: the Average Number / Places agreed across the financial year that have been agreed with the special school. The 2023/24 indicative funding uses the following place numbers: April 23 - August 23 (AY 2022/23 brought forward places) and September 23 - March 24 (AY 2023/24 agreed places). </t>
  </si>
  <si>
    <t>6. School Size category: the staffing and non-staffing block special school categories, which is determined by a schools overall banding monetary funding.</t>
  </si>
  <si>
    <t xml:space="preserve">7. School Band Descriptor Profile: the schools percentage banding profile across the seven band descriptors. Latest pupil data has been updated to ensure that every pupil who has had a place agreed for the 2023/24 AY, including having an associated band attributed to them. </t>
  </si>
  <si>
    <t>8. Commissioned Place Value: the average band value determined for the school based on the agreed school banding profile A - F. This commissioned place value will be used to determine the additional level of funding that a school will receive when they go above the determined funded places across a financial year. The commissioned place value is there to support the marginal costs of admitting an additional pupil. With the creation of the lagged place funding system for special schools, schools with rising levels of LA agreed places will need to build in commissioned funding into their current and future years financial planning to ensure the schools overall level of funding is understood. Funding will be allocated through a termly adjustment based on the schools termly return outlining weekly numbers. As the commissioned funding is based on an average band rate, if schools admit a considerably higher number of band G pupils mid-year, the authority is happy to review the funding arrangements to avoid being financial disadvantaged. The authority will not agree to fund individual additional funding requests for every band G child admitted mid-year.</t>
  </si>
  <si>
    <t xml:space="preserve">9. Indicative Place and Top up Funding: 2023/24 funding inclusive of the MFG allocation (where applicable) based on Lincolnshire's special schools funding formula. The section provides a clear audit trail of how Lincolnshire special schools are funded through the formula factors for 2023/24, before being presented through the DfE's place and top up arrangements (based on the agreed place numbers and overall monetary value). </t>
  </si>
  <si>
    <t>ASD Summary</t>
  </si>
  <si>
    <t>Role</t>
  </si>
  <si>
    <t>Grade</t>
  </si>
  <si>
    <t>Annual Cost</t>
  </si>
  <si>
    <t>Teacher</t>
  </si>
  <si>
    <t>M5</t>
  </si>
  <si>
    <t>HLTA</t>
  </si>
  <si>
    <t>TA SCP21</t>
  </si>
  <si>
    <t>Learning Mentor</t>
  </si>
  <si>
    <t>G8 SCP15</t>
  </si>
  <si>
    <t>Community Liaison Officer</t>
  </si>
  <si>
    <t>G9 SCP24</t>
  </si>
  <si>
    <t>Sundries</t>
  </si>
  <si>
    <t>Budget Requirements</t>
  </si>
  <si>
    <t>22/23</t>
  </si>
  <si>
    <t>23/24</t>
  </si>
  <si>
    <t>24/25</t>
  </si>
  <si>
    <t>25/26</t>
  </si>
  <si>
    <t>Pupils on Roll</t>
  </si>
  <si>
    <t>Months on Roll</t>
  </si>
  <si>
    <t>% Capacity</t>
  </si>
  <si>
    <t>Total Allocation</t>
  </si>
  <si>
    <t>TEACHING ASSISTANT SCALES - UNDER 5 YEARS SERVICE</t>
  </si>
  <si>
    <t>Box 1.</t>
  </si>
  <si>
    <t>LCC APT&amp;C SALARY SCALES 2021-22</t>
  </si>
  <si>
    <t>Box 2.</t>
  </si>
  <si>
    <t>THESE SALARY SCALES INCLUDE:</t>
  </si>
  <si>
    <t>NATIONAL INSURANCE RATES AS FROM 01/04/2021</t>
  </si>
  <si>
    <t xml:space="preserve"> </t>
  </si>
  <si>
    <t>SUPERANNUATION RATE 25.9% AS FROM 01/04/2021</t>
  </si>
  <si>
    <t>PAY INCREASES FROM 01/04/2020</t>
  </si>
  <si>
    <t>STANDARD EQUATION CODES FOR UNDER 5 YEARS SERVICE</t>
  </si>
  <si>
    <t>Box 3.</t>
  </si>
  <si>
    <t>SALARY RANGE</t>
  </si>
  <si>
    <t>NI RATES (W.E.F 01/04/21)</t>
  </si>
  <si>
    <t xml:space="preserve"> SUPER = 25.9% (W.E.F 01/04/21)</t>
  </si>
  <si>
    <t>Box 4.</t>
  </si>
  <si>
    <t>NI</t>
  </si>
  <si>
    <t>NIL</t>
  </si>
  <si>
    <t>AND ABOVE</t>
  </si>
  <si>
    <t>@</t>
  </si>
  <si>
    <t>%</t>
  </si>
  <si>
    <t>LEL</t>
  </si>
  <si>
    <t>ST</t>
  </si>
  <si>
    <t>UEL</t>
  </si>
  <si>
    <t>Box 5.</t>
  </si>
  <si>
    <t>Contracted Out</t>
  </si>
  <si>
    <t>Not Contracted Out</t>
  </si>
  <si>
    <t>SUPER</t>
  </si>
  <si>
    <t>GRADE</t>
  </si>
  <si>
    <t>S.C.P.</t>
  </si>
  <si>
    <t>SALARY</t>
  </si>
  <si>
    <t>N.I.</t>
  </si>
  <si>
    <t>TOTAL</t>
  </si>
  <si>
    <t xml:space="preserve">  I</t>
  </si>
  <si>
    <t>TA Grade G3</t>
  </si>
  <si>
    <t>LEL - The Lower Earning Limit</t>
  </si>
  <si>
    <t xml:space="preserve">  I  6 - 9</t>
  </si>
  <si>
    <t xml:space="preserve">If you earn between the Lower Earning Limit and the Primary Threshold you will get National Insurance ‘credits’ </t>
  </si>
  <si>
    <t>PT - The Primary Threshold (sometimes called the Primary Earnings Threshold)</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</si>
  <si>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(12%)</t>
    </r>
  </si>
  <si>
    <t>TA Grade G5</t>
  </si>
  <si>
    <t xml:space="preserve">  I  12 - 15</t>
  </si>
  <si>
    <t>ST - The Secondary Threshold (sometimes called the Secondary Earnings Threshold)</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</si>
  <si>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t>
    </r>
  </si>
  <si>
    <t>TA Grade G6</t>
  </si>
  <si>
    <t>UEL - The Upper Earnings Limit</t>
  </si>
  <si>
    <t xml:space="preserve">  I Advanced</t>
  </si>
  <si>
    <t>For high earners who are paid over the Upper Earnings Limit, the National Insurance rate falls.earnings.</t>
  </si>
  <si>
    <t xml:space="preserve">  I  14 - 18</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</si>
  <si>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 on these </t>
    </r>
  </si>
  <si>
    <t>TA Grade G7</t>
  </si>
  <si>
    <t xml:space="preserve">  I Management</t>
  </si>
  <si>
    <t xml:space="preserve">  I  17 - 21</t>
  </si>
  <si>
    <t>TA Grade G8</t>
  </si>
  <si>
    <t xml:space="preserve">  I HLTA</t>
  </si>
  <si>
    <t xml:space="preserve">  I  20 - 24</t>
  </si>
  <si>
    <t>Levy</t>
  </si>
  <si>
    <t>Band Descriptors</t>
  </si>
  <si>
    <t>Notes</t>
  </si>
  <si>
    <t>Teacher Costs per Pupil</t>
  </si>
  <si>
    <t>TA Costs per Pupil</t>
  </si>
  <si>
    <t>Midday Supervisor Per Pupil</t>
  </si>
  <si>
    <t>Original Band Value</t>
  </si>
  <si>
    <t>Main 5 (71%)</t>
  </si>
  <si>
    <t>TA12 (60%)</t>
  </si>
  <si>
    <t>MDS</t>
  </si>
  <si>
    <t>Total</t>
  </si>
  <si>
    <t>2020/21 comparison</t>
  </si>
  <si>
    <t>Teachers' Pay Grant Addition</t>
  </si>
  <si>
    <t>TA Increase</t>
  </si>
  <si>
    <t>A ratio of 5 to 1, requires for every 10 children, 1 Teacher &amp; 1 TA</t>
  </si>
  <si>
    <t>2.5 to 1 Ratio</t>
  </si>
  <si>
    <t>A ratio of 2.5 to 1, requires for every 10 children, 1 Teacher &amp; 3 TAs.</t>
  </si>
  <si>
    <t>Band C - Additionality</t>
  </si>
  <si>
    <t xml:space="preserve">Supplement factor to be applied to take into account the further access to programmes offered by schools </t>
  </si>
  <si>
    <t>A ratio of 1 to 1</t>
  </si>
  <si>
    <t>AP</t>
  </si>
  <si>
    <t>2.7 to 1 Ratio</t>
  </si>
  <si>
    <t>A ratio of 2.7 to 1, requires for every 8 children, 1 Teacher &amp; 2 TAs.</t>
  </si>
  <si>
    <t>Medical 2</t>
  </si>
  <si>
    <t>A ratio of 4 to 1, requires for every 8 children, 1 Teacher &amp; 1 TAs.</t>
  </si>
  <si>
    <t>Medical 1</t>
  </si>
  <si>
    <t>MDS: This was previously the cost applied over 10 children, however 8 was applied (amended)</t>
  </si>
  <si>
    <t>MFG - Band Increase (Excl. Teachers' Increase)</t>
  </si>
  <si>
    <t>Pension</t>
  </si>
  <si>
    <t>Pay</t>
  </si>
  <si>
    <t>Modelling using 2021/22 pay scales</t>
  </si>
  <si>
    <t>Health &amp; Social Care Levy Increase</t>
  </si>
  <si>
    <t>2020/21 Band Value</t>
  </si>
  <si>
    <t>Teacher Increase Per Place</t>
  </si>
  <si>
    <t>ESFA All</t>
  </si>
  <si>
    <t>Diff.</t>
  </si>
  <si>
    <t>Main 4</t>
  </si>
  <si>
    <t>TA12</t>
  </si>
  <si>
    <t>Main 5</t>
  </si>
  <si>
    <t>TA9</t>
  </si>
  <si>
    <t>Main 5 (80%)</t>
  </si>
  <si>
    <t>TA12 (80%)</t>
  </si>
  <si>
    <t>2021/22 Comparison</t>
  </si>
  <si>
    <t>Main 5 (60%)</t>
  </si>
  <si>
    <t>Overall Increase</t>
  </si>
  <si>
    <t>Excl. Teachers'</t>
  </si>
  <si>
    <t>TA12 (70%)</t>
  </si>
  <si>
    <t>Agreed 22/23 Baseline Band Values</t>
  </si>
  <si>
    <t>22/23 Revised TA Rate</t>
  </si>
  <si>
    <t>22/23 Revised Teacher Rate</t>
  </si>
  <si>
    <t>22/23 Revised MDS Rate</t>
  </si>
  <si>
    <t>22/23 Revised Band Values (Inc 2%)</t>
  </si>
  <si>
    <t>Increase in 22/23 Band Values</t>
  </si>
  <si>
    <t>Before Pension Change</t>
  </si>
  <si>
    <t>Diff. Pension Change</t>
  </si>
  <si>
    <t>Teachers'</t>
  </si>
  <si>
    <t>TAs</t>
  </si>
  <si>
    <t>Total Per Band</t>
  </si>
  <si>
    <t>Or we could mock up 80% of TA differential to be in the band.</t>
  </si>
  <si>
    <t>Or Band G</t>
  </si>
  <si>
    <t>AP / Medical Band 2</t>
  </si>
  <si>
    <t>TA Per Place</t>
  </si>
  <si>
    <t>Total - Class</t>
  </si>
  <si>
    <t>TA</t>
  </si>
  <si>
    <t>FTE</t>
  </si>
  <si>
    <t>Local Protection Funding Allocation</t>
  </si>
  <si>
    <t>3.4% Grant Allocation</t>
  </si>
  <si>
    <t>Total Indicative Place and Top-up Funding (Including 3.4%)</t>
  </si>
  <si>
    <t>Monetary Local Proection Funding adjustment for 2023/24</t>
  </si>
  <si>
    <t>Special Schools Funding Formula 2022/23</t>
  </si>
  <si>
    <t xml:space="preserve">2. The basis of how special schools are to be funded: 
• The current funding formula is robust and is underpinned by key cost drivers and their costs based on theoretical school models. The Local Authority (LA) believe the underlying principles of the formula remain strong and fit for purpose, and are adaptable to the changing landscape of pupil needs. Lincolnshire’s special schools funding formula has been updated for 2023/24 to incorporate 3% increase made in-year to support special schools increasing costs. This has been applied across the various formula factors (staffing block, non-staffing block, band values). These increases mirror the amounts schools received via the supplementary funding allocations in 2022/23. The formula has been derived as a result of extensive consultation with special school leaders and other parties over the years. The underlying principles and formula factors will remain in place for 2023/24, whilst also havingconsideration to inflationary cost rises facing the sector. The authority will continue to keep the formula under review to maintain fairness in its distribution to reflect current needs and practices, which will support the ambitions of the sector. Engagement with the sector including a survey and a sector working group has taken place during 2022, which has helped shape the final formula refinement outcomes.  
• The main factors for allocating funding to special schools continue to be based on a staffing block, non-staffing block and banding funding. 
• The approach for determining the staffing and non-staffing block allocations are based on the school's monetary published level of banding funding for that given financial year. No funding adjustments will be made mid-year to the staffing and non-staffing block allocations (unless agreed as part of the special schools re-organisation process). Staffing block and non-staffing block allocations have both been increased by 3% in 2023/24 from the original 2022/23 funding baseline to recognise the additional costs schools will be incurring through staff pay increases, and general cost of living.
• Banding funding covers seven band descriptors, which support a range of pupil needs. A monetary value is attached to each band representing the staffing to pupil ratios.  Band monetary values have been updated by 3% to recognise the additional cost impact of staff pay. 
• Free School Meal entitlements are based on the count of meals taken as per the census return completed on 6th October 2022. The FSM rate includes a 2.4% increase for 2023/24 i.e. £2.53 per meal. This is in line with the mainstream rate.
• The mainstreaming of the teachers' pay and pension grants remain within the band for 2023/24: Band A (£487); Band B (£584), Band C (£584); Band D (£730); Band E (£730), and Band F (£974). 
• The pupil band profiles have been updated and agreed with schools to reflect those pupils present at the school in November 2022, plus any additional intake due from planned re-organisations.  
• The ESFA process for agreeing place numbers is based on a lagged funding system due to ESFA timing requirements (namely, using Autumn 2022 data to influence 2023/24 academic year place numbers). The LA has undertaken this process for the 2023/24 academic year place numbers in line with the published DfE high needs guidance. </t>
  </si>
  <si>
    <t>3. Indicative 2023/24 place and top up funding based on Lincolnshire's special schools formula. The format is required to determine whether the school is entitled to a per pupil local funding protection.</t>
  </si>
  <si>
    <t xml:space="preserve">5. Monetary Local Proection Funding adjustment for 2023/24. This value has been adjusted to reflect the local protection entitlements for Bands A - F. This compares the level of local protection funding the school received per band in 2022/23 against what they will receive in 2023/24. The local protection continues to be established at 0%. For local proection arrangements, schools are protected by the MFG when numbers and complexity of pupil needs remains the same (i.e. comparing like with like), therefore comparisons have been made to each band to ensure schools subject to local protection are protected on the lower of the two years band pupil numbers between 2022/23 and 2023/24, e.g. protection of existing pupils with the same needs still within the school. The school supplementary funding allocated in-year in 2022/23 (3% increase in funding) to respond to the rising costs faced by the sector has been included within the formula factors (included the bands) for 2023/24. This has not been considered within the Band Value change for local protection purposes since it was allocated in response to economic factors. </t>
  </si>
  <si>
    <t>10. 3.4% Grant Allocation:</t>
  </si>
  <si>
    <t>11. Total Indicative Place &amp; Top-up Funding (including 3.4%): Indicative Place and Top-up Funding (9) plus the 3.4% Grant Allocation (10).</t>
  </si>
  <si>
    <t xml:space="preserve">12. Site Factor - PFI Block Allocation: the PFI Block formula factor is treated outside of the place and top up funding arrangements, due to the contractual relationship entered into by the Local Authority / school. This is an allowable exception. The charge applicable to the school is equal to the PFI Block value. The PFI charge is based on the school's share of the overall floor space of the seven PFI school buildings. </t>
  </si>
  <si>
    <t>13. Site Factor - Split Site allocation: where a single school operates over two or more locations and meets the split site policy criteria, schools are entitled to funding which represents the additional costs of operating compared to being on one site.</t>
  </si>
  <si>
    <t>14. Portage (commissioned arrangements): A Memorandum of Understanding is established between the commissioned schools and Local Authority outlining the desired outcomes from this funding. The current agreement runs up until August 2023 with a review of the service currently being undertaken by Lincolnshire's Commissioning Team, in order to determine the funding arrangements from September 2023. The indicative funding allocation detailed is for the period April 2023 to August 2023. Further allocations will be made mid-year pending the outcome of the review.</t>
  </si>
  <si>
    <t xml:space="preserve">15. Outreach (commissioned arrangements): The current outreach arrangements for Physical Difficulties and Autism and learning difficulties (ALD) are due to end in August 2025. Funding allocations are therefore in place for the period April 2023 - March 2024. </t>
  </si>
  <si>
    <t>16. Residential (commissioned arrangements): commissioned funding for residential provision.</t>
  </si>
  <si>
    <t>17. Total Other Special Schools Funding Arrangements: the total funding relating to site factor arrangements and commissioned functions (notes: 12 to 16).</t>
  </si>
  <si>
    <t>18. 2023/24 Final Indicative Budget Share: Indicative 2023/24 funding (9) relating to the main special school formula factors including local protection funding where applicable, plus 3.4% additional grant allocation (10), and Other Special School funding Arrangements (17).</t>
  </si>
  <si>
    <t xml:space="preserve">19. Pre-16 Places: agreed number of school places for pre-16 provision. The 2023/24 indicative funding uses the following place numbers: April 23 - August 23 (AY 2022/23 brought forward places) and September 23 - March 24 (AY 2023/24 agreed places). Such places have been used to calculate schools banding funding. In-year commissioned funding will be applicable for schools where the net FTE pupil numbers go above the agreed place level. Top up funding is however deducted where net FTE pupil numbers are below the agreed place level, in line with ESFA principle of top up funding following the child. </t>
  </si>
  <si>
    <t>20. Post-16 Places: agreed number of school places for post-16 provision. The periods of funding are as follow: April 23 - July 23 (AY 2022/23 brought forward places), and August 23 - March 24 (AY 2023/24 agreed places). The in-year adjustments process follows the same principle as pre-16 places (see note: 17).</t>
  </si>
  <si>
    <t>21. Special school band descriptors detailing the staffing ratio's and monetary sums that determine a school banding funding and commissioned place value. The band values are based on agreed staffing to pupil ratio's. Upward funding adjustments have been made to the band values in 2023/24 to include a 3% increase in costs.</t>
  </si>
  <si>
    <t xml:space="preserve">22. Staffing and non-staffing blocks: special school fixed block allocations have been determined by the value of the overall banding funding for the school. This approach recognises the increasing fixed costs of running a larger school by having higher place pupil numbers and complexity of pupils needs. The staffing and non-staffing blocks have been built up from key cost drivers and costed, and categorised by school size. Transition points between categories of school sizes have been built in to ensure smooth transition points. 
• for 2023/24, the staffing and non-staffing cost drivers have been increased by 3% compared to 2022/23 allocations based on recognised increases to staff pay and cost of living. 
• School size thresholds have been revised upwards for 2023/24 by 3% to reflect the monetary value increases of special school bands in 2023/24.  This is to ensure a like-for-like comparison can be applied, when determining a school size, which funds the fixed costs of a school through the staffing and non-staffing blocks. </t>
  </si>
  <si>
    <t>23. Staffing and non-staffing blocks: PFI special schools are treated consistently with other special schools, however a number of costs relating to the building (such as caretaking, cleaning, repairs &amp; maintenance) are included within the schools PFI Block, therefore to avoid schools being double funded, this funding is deducted from the staffing and non-staffing block by school size. For 2023/24, the key cost drivers for both staffing and non-staffing have been increased by 3%, along with the group size thresholds (see note 22).</t>
  </si>
  <si>
    <t>MFG % difference from 2021/22 to 2023/24</t>
  </si>
  <si>
    <t>Total Indicative Funding (including Support Mechanisms)</t>
  </si>
  <si>
    <t>The medical HT delivery rate of £45 per hour will be subject to review during the Summer Term in preparation for the first claim.</t>
  </si>
  <si>
    <t>£45 hourly rate for 2h30 of direct delivery - Pending review</t>
  </si>
  <si>
    <t>Teachers' pay and pension grant remains within the band funding rates and staffing block.</t>
  </si>
  <si>
    <t xml:space="preserve">Local Authorities are required to allocate an amount that is equivalent to 3.4% of the estimated total grant funding of the school. The determination of the total grant value is based on the 2023/24 agreed place numbers and average 2022/23 top up value (including in-year supplementary funding allocated). Split-site funding is also considered within the total grant funding. This is to support costs in 2023/24. Schools can forecast to see this funding in future years, for financial planning purposes. For 2023/24, Local Authorities must separately identify these allocations, i.e. outside the schools core funding (place and top up).  </t>
  </si>
  <si>
    <t xml:space="preserve">The DfE Minimum Funding Guarantee (MFG) is +3% comparing 2021/22 funding levels to 2023/24. This is to be based on a like-for-like comparison with a specialist school’s overall budget in 2021/22. Using the 2023/24 formula factor values and 2021/22 pupil data, the total budget is required to increase by +3%. The additional 3.4% grant allocation is treated outside of this MFG calculation. This test is passed. </t>
  </si>
  <si>
    <t>Above +3% MFG assessment (based on Places numbers and Type remaining the same as 2021/22)</t>
  </si>
  <si>
    <t>Prior funding adjustments from Staffing block to avoid double funding</t>
  </si>
  <si>
    <t>Fixed costs - Pending review</t>
  </si>
  <si>
    <t>Agreed funding level</t>
  </si>
  <si>
    <t>Total Indicative Funding (including 3.4% Grant Allocation)</t>
  </si>
  <si>
    <t>DfE Minimum Funding Guarantee (+3% assessment)</t>
  </si>
  <si>
    <t>Includes illustrative Medical Home Tuition Delivery hours</t>
  </si>
  <si>
    <t>Excludes the Teachers' Pay and Pension funding previously devolved (£1,618,883 - £67,118)</t>
  </si>
  <si>
    <t>Excludes the Teachers' Pay and Pension funding previously devolved (£1,718,200 - £67,118)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</si>
</sst>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00"/>
    <numFmt numFmtId="166" formatCode="0_)"/>
    <numFmt numFmtId="167" formatCode="_(&quot;$&quot;* #,##0.00_);_(&quot;$&quot;* \(#,##0.00\);_(&quot;$&quot;* &quot;-&quot;??_);_(@_)"/>
    <numFmt numFmtId="168" formatCode="0000"/>
    <numFmt numFmtId="169" formatCode="0.00_)"/>
    <numFmt numFmtId="170" formatCode="0.0000_)"/>
    <numFmt numFmtId="171" formatCode="0.0"/>
    <numFmt numFmtId="172" formatCode="General_)"/>
    <numFmt numFmtId="173" formatCode="0.0%"/>
  </numFmts>
  <fonts count="68" x14ac:knownFonts="1">
    <font>
      <sz val="11"/>
      <color theme="1"/>
      <name val="Calibri"/>
      <family val="2"/>
      <scheme val="minor"/>
    </font>
    <font>
      <sz val="11"/>
      <color theme="1"/>
      <name val="Calibri"/>
      <family val="2"/>
      <scheme val="minor"/>
    </font>
    <font>
      <sz val="10"/>
      <name val="MS Sans Serif"/>
      <family val="2"/>
    </font>
    <font>
      <u/>
      <sz val="11"/>
      <name val="Arial"/>
      <family val="2"/>
    </font>
    <font>
      <b/>
      <sz val="11"/>
      <name val="Arial"/>
      <family val="2"/>
    </font>
    <font>
      <sz val="11"/>
      <name val="Arial"/>
      <family val="2"/>
    </font>
    <font>
      <i/>
      <sz val="11"/>
      <name val="Arial"/>
      <family val="2"/>
    </font>
    <font>
      <sz val="10"/>
      <name val="Arial"/>
      <family val="2"/>
    </font>
    <font>
      <sz val="11"/>
      <color indexed="8"/>
      <name val="Calibri"/>
      <family val="2"/>
    </font>
    <font>
      <sz val="10"/>
      <color indexed="21"/>
      <name val="System"/>
      <family val="2"/>
    </font>
    <font>
      <sz val="9"/>
      <color indexed="18"/>
      <name val="Arial"/>
      <family val="2"/>
    </font>
    <font>
      <b/>
      <sz val="10"/>
      <name val="Arial"/>
      <family val="2"/>
    </font>
    <font>
      <b/>
      <sz val="8"/>
      <name val="Arial"/>
      <family val="2"/>
    </font>
    <font>
      <sz val="8"/>
      <name val="Arial"/>
      <family val="2"/>
    </font>
    <font>
      <sz val="10"/>
      <color indexed="18"/>
      <name val="System"/>
      <family val="2"/>
    </font>
    <font>
      <i/>
      <sz val="10"/>
      <color indexed="17"/>
      <name val="System"/>
      <family val="2"/>
    </font>
    <font>
      <sz val="10"/>
      <name val="Arial"/>
      <family val="2"/>
    </font>
    <font>
      <sz val="10"/>
      <color theme="1"/>
      <name val="Arial"/>
      <family val="2"/>
    </font>
    <font>
      <sz val="10"/>
      <name val="Courier"/>
      <family val="3"/>
    </font>
    <font>
      <sz val="11"/>
      <name val="Calibri"/>
      <family val="2"/>
    </font>
    <font>
      <sz val="10"/>
      <color indexed="14"/>
      <name val="System"/>
      <family val="2"/>
    </font>
    <font>
      <b/>
      <sz val="10"/>
      <color indexed="8"/>
      <name val="Times New Roman"/>
      <family val="1"/>
    </font>
    <font>
      <b/>
      <sz val="10"/>
      <name val="Times New Roman"/>
      <family val="1"/>
    </font>
    <font>
      <i/>
      <sz val="10"/>
      <name val="Times New Roman"/>
      <family val="1"/>
    </font>
    <font>
      <sz val="10"/>
      <color indexed="8"/>
      <name val="Arial"/>
      <family val="2"/>
    </font>
    <font>
      <sz val="19"/>
      <name val="Times New Roman"/>
      <family val="1"/>
    </font>
    <font>
      <sz val="9"/>
      <name val="Arial"/>
      <family val="2"/>
    </font>
    <font>
      <sz val="10"/>
      <color indexed="17"/>
      <name val="System"/>
      <family val="2"/>
    </font>
    <font>
      <b/>
      <sz val="11"/>
      <color theme="1"/>
      <name val="Arial"/>
      <family val="2"/>
    </font>
    <font>
      <sz val="11"/>
      <color theme="1"/>
      <name val="Arial"/>
      <family val="2"/>
    </font>
    <font>
      <i/>
      <sz val="11"/>
      <color theme="1"/>
      <name val="Arial"/>
      <family val="2"/>
    </font>
    <font>
      <u/>
      <sz val="11"/>
      <color theme="1"/>
      <name val="Arial"/>
      <family val="2"/>
    </font>
    <font>
      <i/>
      <u/>
      <sz val="11"/>
      <name val="Arial"/>
      <family val="2"/>
    </font>
    <font>
      <i/>
      <sz val="11"/>
      <color rgb="FFFF0000"/>
      <name val="Arial"/>
      <family val="2"/>
    </font>
    <font>
      <sz val="11"/>
      <color rgb="FFFF0000"/>
      <name val="Arial"/>
      <family val="2"/>
    </font>
    <font>
      <i/>
      <sz val="11"/>
      <color rgb="FF0070C0"/>
      <name val="Arial"/>
      <family val="2"/>
    </font>
    <font>
      <sz val="11"/>
      <color rgb="FF0070C0"/>
      <name val="Arial"/>
      <family val="2"/>
    </font>
    <font>
      <b/>
      <sz val="12"/>
      <name val="Calibri"/>
      <family val="2"/>
      <scheme val="minor"/>
    </font>
    <font>
      <sz val="12"/>
      <name val="Calibri"/>
      <family val="2"/>
      <scheme val="minor"/>
    </font>
    <font>
      <b/>
      <sz val="12"/>
      <color indexed="12"/>
      <name val="Calibri"/>
      <family val="2"/>
      <scheme val="minor"/>
    </font>
    <font>
      <u/>
      <sz val="12"/>
      <name val="Calibri"/>
      <family val="2"/>
      <scheme val="minor"/>
    </font>
    <font>
      <i/>
      <sz val="12"/>
      <name val="Calibri"/>
      <family val="2"/>
      <scheme val="minor"/>
    </font>
    <font>
      <sz val="12"/>
      <color rgb="FFFF0000"/>
      <name val="Calibri"/>
      <family val="2"/>
      <scheme val="minor"/>
    </font>
    <font>
      <i/>
      <u/>
      <sz val="12"/>
      <name val="Calibri"/>
      <family val="2"/>
      <scheme val="minor"/>
    </font>
    <font>
      <i/>
      <sz val="12"/>
      <color rgb="FFFF0000"/>
      <name val="Calibri"/>
      <family val="2"/>
      <scheme val="minor"/>
    </font>
    <font>
      <i/>
      <sz val="12"/>
      <color theme="1"/>
      <name val="Calibri"/>
      <family val="2"/>
      <scheme val="minor"/>
    </font>
    <font>
      <b/>
      <u/>
      <sz val="12"/>
      <name val="Calibri"/>
      <family val="2"/>
      <scheme val="minor"/>
    </font>
    <font>
      <sz val="12"/>
      <color theme="1"/>
      <name val="Calibri"/>
      <family val="2"/>
      <scheme val="minor"/>
    </font>
    <font>
      <b/>
      <i/>
      <sz val="12"/>
      <color rgb="FFFF0000"/>
      <name val="Calibri"/>
      <family val="2"/>
      <scheme val="minor"/>
    </font>
    <font>
      <sz val="10"/>
      <name val="Times New Roman"/>
      <family val="1"/>
    </font>
    <font>
      <sz val="12"/>
      <name val="Arial"/>
      <family val="2"/>
    </font>
    <font>
      <b/>
      <sz val="16"/>
      <name val="Arial"/>
      <family val="2"/>
    </font>
    <font>
      <b/>
      <sz val="12"/>
      <name val="Arial"/>
      <family val="2"/>
    </font>
    <font>
      <sz val="12"/>
      <name val="Arial Black"/>
      <family val="2"/>
    </font>
    <font>
      <sz val="10"/>
      <name val="Arial Black"/>
      <family val="2"/>
    </font>
    <font>
      <sz val="14"/>
      <name val="Arial"/>
      <family val="2"/>
    </font>
    <font>
      <sz val="12"/>
      <color rgb="FFFF0000"/>
      <name val="Arial"/>
      <family val="2"/>
    </font>
    <font>
      <u/>
      <sz val="10"/>
      <name val="Arial"/>
      <family val="2"/>
    </font>
    <font>
      <b/>
      <sz val="10"/>
      <color theme="1"/>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10"/>
      <color rgb="FFFF0000"/>
      <name val="Arial"/>
      <family val="2"/>
    </font>
    <font>
      <sz val="10"/>
      <name val="Arial"/>
      <family val="2"/>
    </font>
    <font>
      <b/>
      <sz val="11"/>
      <color theme="1"/>
      <name val="Calibri"/>
      <family val="2"/>
      <scheme val="minor"/>
    </font>
    <font>
      <b/>
      <u/>
      <sz val="11"/>
      <color theme="1"/>
      <name val="Calibri"/>
      <family val="2"/>
      <scheme val="minor"/>
    </font>
    <font>
      <sz val="11"/>
      <color rgb="FF0B0C0C"/>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s>
  <borders count="63">
    <border>
      <left/>
      <right/>
      <top/>
      <bottom/>
      <diagonal/>
    </border>
    <border>
      <left/>
      <right/>
      <top style="thin">
        <color indexed="64"/>
      </top>
      <bottom style="thin">
        <color indexed="64"/>
      </bottom>
      <diagonal/>
    </border>
    <border>
      <left/>
      <right/>
      <top style="thin">
        <color indexed="13"/>
      </top>
      <bottom style="thin">
        <color indexed="13"/>
      </bottom>
      <diagonal/>
    </border>
    <border>
      <left/>
      <right style="medium">
        <color indexed="33"/>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medium">
        <color indexed="64"/>
      </bottom>
      <diagonal/>
    </border>
    <border>
      <left style="thick">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ck">
        <color indexed="64"/>
      </bottom>
      <diagonal/>
    </border>
    <border>
      <left style="medium">
        <color indexed="64"/>
      </left>
      <right/>
      <top style="thick">
        <color indexed="64"/>
      </top>
      <bottom/>
      <diagonal/>
    </border>
    <border>
      <left style="medium">
        <color indexed="64"/>
      </left>
      <right style="medium">
        <color indexed="64"/>
      </right>
      <top/>
      <bottom/>
      <diagonal/>
    </border>
    <border>
      <left style="medium">
        <color indexed="64"/>
      </left>
      <right/>
      <top/>
      <bottom style="thin">
        <color indexed="64"/>
      </bottom>
      <diagonal/>
    </border>
  </borders>
  <cellStyleXfs count="68">
    <xf numFmtId="0" fontId="0"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protection locked="0"/>
    </xf>
    <xf numFmtId="1" fontId="10" fillId="0" borderId="0" applyNumberFormat="0" applyFill="0" applyBorder="0" applyAlignment="0" applyProtection="0"/>
    <xf numFmtId="0" fontId="11" fillId="0" borderId="0">
      <alignment horizontal="right" vertical="top"/>
    </xf>
    <xf numFmtId="0" fontId="12" fillId="0" borderId="0">
      <alignment horizontal="center" vertical="center" wrapText="1"/>
    </xf>
    <xf numFmtId="0" fontId="13" fillId="0" borderId="1">
      <alignment horizontal="center" vertical="center" wrapText="1"/>
    </xf>
    <xf numFmtId="0" fontId="13" fillId="0" borderId="1">
      <alignment horizontal="center" vertical="center" wrapText="1"/>
    </xf>
    <xf numFmtId="0" fontId="12" fillId="0" borderId="0">
      <alignment horizontal="left" wrapText="1"/>
    </xf>
    <xf numFmtId="1" fontId="14" fillId="0" borderId="0" applyNumberFormat="0" applyFill="0" applyBorder="0" applyAlignment="0" applyProtection="0"/>
    <xf numFmtId="0" fontId="13" fillId="0" borderId="0">
      <alignment horizontal="left" vertical="center"/>
    </xf>
    <xf numFmtId="0" fontId="13" fillId="0" borderId="0">
      <alignment horizontal="left" vertical="center"/>
    </xf>
    <xf numFmtId="0" fontId="13" fillId="0" borderId="0">
      <alignment horizontal="center" vertical="center"/>
    </xf>
    <xf numFmtId="0" fontId="13" fillId="0" borderId="0">
      <alignment horizontal="center" vertical="center"/>
    </xf>
    <xf numFmtId="10" fontId="15" fillId="0" borderId="2" applyFill="0" applyAlignment="0" applyProtection="0">
      <protection locked="0"/>
    </xf>
    <xf numFmtId="0" fontId="16" fillId="0" borderId="0"/>
    <xf numFmtId="0" fontId="17" fillId="0" borderId="0"/>
    <xf numFmtId="0" fontId="7" fillId="0" borderId="0"/>
    <xf numFmtId="0" fontId="7" fillId="0" borderId="0"/>
    <xf numFmtId="0" fontId="7" fillId="0" borderId="0" applyNumberFormat="0" applyFill="0" applyBorder="0" applyAlignment="0" applyProtection="0"/>
    <xf numFmtId="0" fontId="7" fillId="0" borderId="0"/>
    <xf numFmtId="0" fontId="1" fillId="0" borderId="0"/>
    <xf numFmtId="0" fontId="7" fillId="0" borderId="0"/>
    <xf numFmtId="166" fontId="18" fillId="0" borderId="0"/>
    <xf numFmtId="0" fontId="1" fillId="0" borderId="0"/>
    <xf numFmtId="0" fontId="19" fillId="0" borderId="0"/>
    <xf numFmtId="0" fontId="7" fillId="0" borderId="0"/>
    <xf numFmtId="166" fontId="18" fillId="0" borderId="0"/>
    <xf numFmtId="0" fontId="1" fillId="0" borderId="0"/>
    <xf numFmtId="0" fontId="1" fillId="0" borderId="0"/>
    <xf numFmtId="0" fontId="7" fillId="0" borderId="0"/>
    <xf numFmtId="0" fontId="5" fillId="0" borderId="0"/>
    <xf numFmtId="3" fontId="13" fillId="0" borderId="0">
      <alignment horizontal="right"/>
    </xf>
    <xf numFmtId="3" fontId="13" fillId="0" borderId="0">
      <alignment horizontal="right"/>
    </xf>
    <xf numFmtId="1" fontId="20" fillId="0" borderId="3" applyNumberFormat="0" applyFill="0" applyBorder="0" applyAlignment="0" applyProtection="0"/>
    <xf numFmtId="4" fontId="21" fillId="0" borderId="4" applyNumberFormat="0" applyProtection="0">
      <alignment vertical="center"/>
    </xf>
    <xf numFmtId="4" fontId="21" fillId="0" borderId="5" applyNumberFormat="0" applyProtection="0">
      <alignment horizontal="centerContinuous" vertical="center"/>
    </xf>
    <xf numFmtId="0" fontId="22" fillId="0" borderId="6" applyNumberFormat="0" applyProtection="0">
      <alignment vertical="center"/>
    </xf>
    <xf numFmtId="0" fontId="22" fillId="0" borderId="7" applyNumberFormat="0" applyProtection="0">
      <alignment horizontal="left" vertical="center" indent="1"/>
    </xf>
    <xf numFmtId="0" fontId="23" fillId="0" borderId="7" applyNumberFormat="0" applyProtection="0">
      <alignment horizontal="left" vertical="center" indent="1"/>
    </xf>
    <xf numFmtId="4" fontId="24" fillId="0" borderId="0" applyNumberFormat="0" applyProtection="0">
      <alignment horizontal="left" vertical="center" indent="1"/>
    </xf>
    <xf numFmtId="0" fontId="21" fillId="0" borderId="8" applyNumberFormat="0" applyProtection="0">
      <alignment horizontal="right" vertical="top" wrapText="1"/>
    </xf>
    <xf numFmtId="4" fontId="25" fillId="0" borderId="9" applyNumberFormat="0" applyProtection="0">
      <alignment horizontal="left" vertical="center" indent="1"/>
    </xf>
    <xf numFmtId="0" fontId="7" fillId="0" borderId="0"/>
    <xf numFmtId="0" fontId="13" fillId="0" borderId="10" applyBorder="0">
      <alignment horizontal="right"/>
    </xf>
    <xf numFmtId="167" fontId="7" fillId="0" borderId="0"/>
    <xf numFmtId="167" fontId="7" fillId="0" borderId="0"/>
    <xf numFmtId="167" fontId="7" fillId="0" borderId="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49" fillId="0" borderId="0"/>
    <xf numFmtId="9" fontId="7" fillId="0" borderId="0" applyFont="0" applyFill="0" applyBorder="0" applyAlignment="0" applyProtection="0"/>
    <xf numFmtId="9" fontId="1" fillId="0" borderId="0" applyFont="0" applyFill="0" applyBorder="0" applyAlignment="0" applyProtection="0"/>
    <xf numFmtId="0" fontId="64" fillId="0" borderId="0"/>
  </cellStyleXfs>
  <cellXfs count="391">
    <xf numFmtId="0" fontId="0" fillId="0" borderId="0" xfId="0"/>
    <xf numFmtId="0" fontId="3" fillId="0" borderId="0" xfId="1" applyFont="1" applyProtection="1">
      <protection hidden="1"/>
    </xf>
    <xf numFmtId="0" fontId="4" fillId="0" borderId="0" xfId="1" applyFont="1" applyAlignment="1" applyProtection="1">
      <alignment horizontal="center"/>
      <protection hidden="1"/>
    </xf>
    <xf numFmtId="0" fontId="5" fillId="0" borderId="0" xfId="1" applyFont="1" applyProtection="1">
      <protection hidden="1"/>
    </xf>
    <xf numFmtId="0" fontId="5" fillId="0" borderId="0" xfId="1" applyFont="1" applyAlignment="1" applyProtection="1">
      <alignment horizontal="center"/>
      <protection hidden="1"/>
    </xf>
    <xf numFmtId="0" fontId="4" fillId="0" borderId="0" xfId="1" applyFont="1" applyProtection="1">
      <protection hidden="1"/>
    </xf>
    <xf numFmtId="0" fontId="5" fillId="0" borderId="0" xfId="1" applyFont="1" applyAlignment="1" applyProtection="1">
      <alignment horizontal="left"/>
      <protection hidden="1"/>
    </xf>
    <xf numFmtId="0" fontId="6" fillId="0" borderId="0" xfId="1" applyFont="1" applyProtection="1">
      <protection hidden="1"/>
    </xf>
    <xf numFmtId="0" fontId="28" fillId="0" borderId="0" xfId="0" applyFont="1"/>
    <xf numFmtId="0" fontId="29" fillId="0" borderId="0" xfId="0" applyFont="1"/>
    <xf numFmtId="0" fontId="29" fillId="0" borderId="0" xfId="0" applyFont="1" applyAlignment="1">
      <alignment horizontal="center"/>
    </xf>
    <xf numFmtId="164" fontId="29" fillId="0" borderId="0" xfId="0" applyNumberFormat="1" applyFont="1" applyAlignment="1">
      <alignment horizontal="center"/>
    </xf>
    <xf numFmtId="164" fontId="29" fillId="0" borderId="0" xfId="0" applyNumberFormat="1" applyFont="1" applyAlignment="1" applyProtection="1">
      <alignment horizontal="center"/>
      <protection hidden="1"/>
    </xf>
    <xf numFmtId="164" fontId="28" fillId="0" borderId="0" xfId="0" applyNumberFormat="1" applyFont="1" applyAlignment="1">
      <alignment horizontal="center"/>
    </xf>
    <xf numFmtId="165" fontId="29" fillId="0" borderId="0" xfId="0" applyNumberFormat="1" applyFont="1"/>
    <xf numFmtId="164" fontId="29" fillId="0" borderId="0" xfId="0" applyNumberFormat="1" applyFont="1"/>
    <xf numFmtId="164" fontId="28" fillId="0" borderId="1" xfId="0" applyNumberFormat="1" applyFont="1" applyBorder="1" applyAlignment="1">
      <alignment horizontal="center"/>
    </xf>
    <xf numFmtId="0" fontId="29" fillId="0" borderId="0" xfId="0" applyFont="1" applyAlignment="1">
      <alignment horizontal="left"/>
    </xf>
    <xf numFmtId="164" fontId="30" fillId="0" borderId="0" xfId="0" applyNumberFormat="1" applyFont="1" applyAlignment="1">
      <alignment horizontal="center"/>
    </xf>
    <xf numFmtId="0" fontId="31" fillId="0" borderId="0" xfId="0" applyFont="1"/>
    <xf numFmtId="164" fontId="29" fillId="0" borderId="0" xfId="0" applyNumberFormat="1" applyFont="1" applyAlignment="1">
      <alignment horizontal="center" wrapText="1"/>
    </xf>
    <xf numFmtId="0" fontId="6" fillId="0" borderId="11" xfId="1" applyFont="1" applyBorder="1" applyProtection="1">
      <protection hidden="1"/>
    </xf>
    <xf numFmtId="164" fontId="30" fillId="0" borderId="12" xfId="0" applyNumberFormat="1" applyFont="1" applyBorder="1" applyAlignment="1">
      <alignment horizontal="center"/>
    </xf>
    <xf numFmtId="0" fontId="6" fillId="0" borderId="13" xfId="1" applyFont="1" applyBorder="1" applyProtection="1">
      <protection hidden="1"/>
    </xf>
    <xf numFmtId="164" fontId="6" fillId="0" borderId="14" xfId="41" applyNumberFormat="1" applyFont="1" applyBorder="1" applyAlignment="1">
      <alignment horizontal="center"/>
    </xf>
    <xf numFmtId="0" fontId="6" fillId="0" borderId="15" xfId="1" applyFont="1" applyBorder="1" applyProtection="1">
      <protection hidden="1"/>
    </xf>
    <xf numFmtId="3" fontId="29" fillId="0" borderId="0" xfId="0" applyNumberFormat="1" applyFont="1" applyAlignment="1">
      <alignment horizontal="center"/>
    </xf>
    <xf numFmtId="0" fontId="4" fillId="0" borderId="17" xfId="1" applyFont="1" applyBorder="1" applyAlignment="1" applyProtection="1">
      <alignment horizontal="left"/>
      <protection hidden="1"/>
    </xf>
    <xf numFmtId="0" fontId="4" fillId="0" borderId="18" xfId="0" applyFont="1" applyBorder="1" applyAlignment="1" applyProtection="1">
      <alignment horizontal="center"/>
      <protection hidden="1"/>
    </xf>
    <xf numFmtId="0" fontId="5" fillId="0" borderId="19" xfId="0" applyFont="1" applyBorder="1" applyProtection="1">
      <protection hidden="1"/>
    </xf>
    <xf numFmtId="0" fontId="1" fillId="0" borderId="20" xfId="0" applyFont="1" applyBorder="1" applyAlignment="1" applyProtection="1">
      <alignment horizontal="center"/>
      <protection hidden="1"/>
    </xf>
    <xf numFmtId="0" fontId="5" fillId="0" borderId="19" xfId="1" applyFont="1" applyBorder="1" applyAlignment="1" applyProtection="1">
      <alignment horizontal="left"/>
      <protection hidden="1"/>
    </xf>
    <xf numFmtId="3" fontId="5" fillId="0" borderId="20" xfId="1" applyNumberFormat="1" applyFont="1" applyBorder="1" applyAlignment="1" applyProtection="1">
      <alignment horizontal="center"/>
      <protection hidden="1"/>
    </xf>
    <xf numFmtId="0" fontId="5" fillId="0" borderId="21" xfId="1" applyFont="1" applyBorder="1" applyAlignment="1" applyProtection="1">
      <alignment horizontal="left"/>
      <protection hidden="1"/>
    </xf>
    <xf numFmtId="3" fontId="5" fillId="0" borderId="22" xfId="1" applyNumberFormat="1" applyFont="1" applyBorder="1" applyAlignment="1" applyProtection="1">
      <alignment horizontal="center"/>
      <protection hidden="1"/>
    </xf>
    <xf numFmtId="0" fontId="5" fillId="2" borderId="0" xfId="1" applyFont="1" applyFill="1" applyProtection="1">
      <protection hidden="1"/>
    </xf>
    <xf numFmtId="164" fontId="29" fillId="2" borderId="0" xfId="0" applyNumberFormat="1" applyFont="1" applyFill="1" applyAlignment="1">
      <alignment horizontal="center"/>
    </xf>
    <xf numFmtId="164" fontId="29" fillId="2" borderId="0" xfId="0" applyNumberFormat="1" applyFont="1" applyFill="1" applyAlignment="1" applyProtection="1">
      <alignment horizontal="center"/>
      <protection hidden="1"/>
    </xf>
    <xf numFmtId="164" fontId="29" fillId="0" borderId="23" xfId="0" applyNumberFormat="1" applyFont="1" applyBorder="1" applyAlignment="1">
      <alignment horizontal="center"/>
    </xf>
    <xf numFmtId="164" fontId="33" fillId="0" borderId="0" xfId="0" applyNumberFormat="1" applyFont="1" applyAlignment="1">
      <alignment horizontal="center"/>
    </xf>
    <xf numFmtId="164" fontId="34" fillId="0" borderId="0" xfId="0" applyNumberFormat="1" applyFont="1" applyAlignment="1">
      <alignment horizontal="center"/>
    </xf>
    <xf numFmtId="164" fontId="5" fillId="0" borderId="0" xfId="0" applyNumberFormat="1" applyFont="1" applyAlignment="1">
      <alignment horizontal="center"/>
    </xf>
    <xf numFmtId="164" fontId="35" fillId="0" borderId="0" xfId="0" applyNumberFormat="1" applyFont="1" applyAlignment="1">
      <alignment horizontal="center"/>
    </xf>
    <xf numFmtId="0" fontId="38" fillId="0" borderId="0" xfId="1" applyFont="1" applyAlignment="1" applyProtection="1">
      <alignment horizontal="left"/>
      <protection hidden="1"/>
    </xf>
    <xf numFmtId="168" fontId="37" fillId="0" borderId="0" xfId="1" applyNumberFormat="1" applyFont="1" applyAlignment="1" applyProtection="1">
      <alignment horizontal="left"/>
      <protection hidden="1"/>
    </xf>
    <xf numFmtId="0" fontId="38" fillId="3" borderId="0" xfId="1" applyFont="1" applyFill="1" applyAlignment="1" applyProtection="1">
      <alignment horizontal="left"/>
      <protection locked="0" hidden="1"/>
    </xf>
    <xf numFmtId="0" fontId="37" fillId="0" borderId="0" xfId="1" applyFont="1" applyProtection="1">
      <protection hidden="1"/>
    </xf>
    <xf numFmtId="3" fontId="38" fillId="0" borderId="0" xfId="1" applyNumberFormat="1" applyFont="1" applyAlignment="1" applyProtection="1">
      <alignment horizontal="left"/>
      <protection hidden="1"/>
    </xf>
    <xf numFmtId="0" fontId="40" fillId="0" borderId="0" xfId="1" applyFont="1" applyAlignment="1" applyProtection="1">
      <alignment horizontal="left"/>
      <protection hidden="1"/>
    </xf>
    <xf numFmtId="164" fontId="38" fillId="0" borderId="0" xfId="1" applyNumberFormat="1" applyFont="1" applyAlignment="1" applyProtection="1">
      <alignment horizontal="left"/>
      <protection hidden="1"/>
    </xf>
    <xf numFmtId="6" fontId="38" fillId="0" borderId="0" xfId="1" applyNumberFormat="1" applyFont="1" applyAlignment="1" applyProtection="1">
      <alignment horizontal="left"/>
      <protection hidden="1"/>
    </xf>
    <xf numFmtId="164" fontId="38" fillId="4" borderId="0" xfId="1" applyNumberFormat="1" applyFont="1" applyFill="1" applyAlignment="1" applyProtection="1">
      <alignment horizontal="left"/>
      <protection hidden="1"/>
    </xf>
    <xf numFmtId="164" fontId="38" fillId="0" borderId="1" xfId="1" applyNumberFormat="1" applyFont="1" applyBorder="1" applyAlignment="1" applyProtection="1">
      <alignment horizontal="left"/>
      <protection hidden="1"/>
    </xf>
    <xf numFmtId="164" fontId="37" fillId="0" borderId="0" xfId="1" applyNumberFormat="1" applyFont="1" applyAlignment="1" applyProtection="1">
      <alignment horizontal="left"/>
      <protection hidden="1"/>
    </xf>
    <xf numFmtId="165" fontId="38" fillId="0" borderId="0" xfId="1" applyNumberFormat="1" applyFont="1" applyAlignment="1" applyProtection="1">
      <alignment horizontal="left"/>
      <protection hidden="1"/>
    </xf>
    <xf numFmtId="1" fontId="38" fillId="0" borderId="0" xfId="1" applyNumberFormat="1" applyFont="1" applyAlignment="1" applyProtection="1">
      <alignment horizontal="left"/>
      <protection hidden="1"/>
    </xf>
    <xf numFmtId="0" fontId="42" fillId="0" borderId="0" xfId="1" applyFont="1" applyAlignment="1" applyProtection="1">
      <alignment horizontal="left"/>
      <protection hidden="1"/>
    </xf>
    <xf numFmtId="0" fontId="41" fillId="0" borderId="0" xfId="1" applyFont="1" applyAlignment="1" applyProtection="1">
      <alignment horizontal="left"/>
      <protection hidden="1"/>
    </xf>
    <xf numFmtId="164" fontId="41" fillId="5" borderId="0" xfId="1" applyNumberFormat="1" applyFont="1" applyFill="1" applyAlignment="1" applyProtection="1">
      <alignment horizontal="left"/>
      <protection hidden="1"/>
    </xf>
    <xf numFmtId="164" fontId="38" fillId="0" borderId="0" xfId="1" applyNumberFormat="1" applyFont="1" applyAlignment="1" applyProtection="1">
      <alignment horizontal="left" wrapText="1"/>
      <protection hidden="1"/>
    </xf>
    <xf numFmtId="164" fontId="37" fillId="0" borderId="1" xfId="1" applyNumberFormat="1" applyFont="1" applyBorder="1" applyAlignment="1" applyProtection="1">
      <alignment horizontal="left"/>
      <protection hidden="1"/>
    </xf>
    <xf numFmtId="0" fontId="37" fillId="0" borderId="25" xfId="1" applyFont="1" applyBorder="1" applyAlignment="1" applyProtection="1">
      <alignment horizontal="left"/>
      <protection hidden="1"/>
    </xf>
    <xf numFmtId="0" fontId="37" fillId="0" borderId="26" xfId="1" applyFont="1" applyBorder="1" applyAlignment="1" applyProtection="1">
      <alignment horizontal="left"/>
      <protection hidden="1"/>
    </xf>
    <xf numFmtId="0" fontId="37" fillId="0" borderId="17" xfId="1" applyFont="1" applyBorder="1" applyAlignment="1" applyProtection="1">
      <alignment horizontal="left"/>
      <protection hidden="1"/>
    </xf>
    <xf numFmtId="164" fontId="38" fillId="0" borderId="27" xfId="1" applyNumberFormat="1" applyFont="1" applyBorder="1" applyAlignment="1" applyProtection="1">
      <alignment horizontal="left"/>
      <protection hidden="1"/>
    </xf>
    <xf numFmtId="164" fontId="37" fillId="0" borderId="18" xfId="1" applyNumberFormat="1" applyFont="1" applyBorder="1" applyAlignment="1" applyProtection="1">
      <alignment horizontal="left"/>
      <protection hidden="1"/>
    </xf>
    <xf numFmtId="164" fontId="38" fillId="0" borderId="19" xfId="1" applyNumberFormat="1" applyFont="1" applyBorder="1" applyAlignment="1" applyProtection="1">
      <alignment horizontal="left"/>
      <protection hidden="1"/>
    </xf>
    <xf numFmtId="164" fontId="38" fillId="0" borderId="4" xfId="1" applyNumberFormat="1" applyFont="1" applyBorder="1" applyAlignment="1" applyProtection="1">
      <alignment horizontal="left"/>
      <protection hidden="1"/>
    </xf>
    <xf numFmtId="9" fontId="37" fillId="0" borderId="20" xfId="1" applyNumberFormat="1" applyFont="1" applyBorder="1" applyAlignment="1" applyProtection="1">
      <alignment horizontal="left"/>
      <protection hidden="1"/>
    </xf>
    <xf numFmtId="164" fontId="41" fillId="0" borderId="0" xfId="41" applyNumberFormat="1" applyFont="1" applyAlignment="1">
      <alignment horizontal="left"/>
    </xf>
    <xf numFmtId="0" fontId="38" fillId="0" borderId="19" xfId="1" applyFont="1" applyBorder="1" applyAlignment="1" applyProtection="1">
      <alignment horizontal="left"/>
      <protection hidden="1"/>
    </xf>
    <xf numFmtId="3" fontId="38" fillId="0" borderId="20" xfId="1" applyNumberFormat="1" applyFont="1" applyBorder="1" applyAlignment="1" applyProtection="1">
      <alignment horizontal="left"/>
      <protection hidden="1"/>
    </xf>
    <xf numFmtId="164" fontId="38" fillId="0" borderId="28" xfId="1" applyNumberFormat="1" applyFont="1" applyBorder="1" applyAlignment="1" applyProtection="1">
      <alignment horizontal="left"/>
      <protection hidden="1"/>
    </xf>
    <xf numFmtId="164" fontId="38" fillId="0" borderId="29" xfId="1" applyNumberFormat="1" applyFont="1" applyBorder="1" applyAlignment="1" applyProtection="1">
      <alignment horizontal="left"/>
      <protection hidden="1"/>
    </xf>
    <xf numFmtId="9" fontId="37" fillId="0" borderId="30" xfId="1" applyNumberFormat="1" applyFont="1" applyBorder="1" applyAlignment="1" applyProtection="1">
      <alignment horizontal="left"/>
      <protection hidden="1"/>
    </xf>
    <xf numFmtId="164" fontId="38" fillId="0" borderId="31" xfId="1" applyNumberFormat="1" applyFont="1" applyBorder="1" applyAlignment="1" applyProtection="1">
      <alignment horizontal="left"/>
      <protection hidden="1"/>
    </xf>
    <xf numFmtId="164" fontId="38" fillId="0" borderId="32" xfId="1" applyNumberFormat="1" applyFont="1" applyBorder="1" applyAlignment="1" applyProtection="1">
      <alignment horizontal="left"/>
      <protection hidden="1"/>
    </xf>
    <xf numFmtId="9" fontId="37" fillId="0" borderId="33" xfId="1" applyNumberFormat="1" applyFont="1" applyBorder="1" applyAlignment="1" applyProtection="1">
      <alignment horizontal="left"/>
      <protection hidden="1"/>
    </xf>
    <xf numFmtId="9" fontId="37" fillId="0" borderId="0" xfId="1" applyNumberFormat="1" applyFont="1" applyAlignment="1" applyProtection="1">
      <alignment horizontal="left"/>
      <protection hidden="1"/>
    </xf>
    <xf numFmtId="164" fontId="37" fillId="0" borderId="17" xfId="1" applyNumberFormat="1" applyFont="1" applyBorder="1" applyAlignment="1" applyProtection="1">
      <alignment horizontal="left"/>
      <protection hidden="1"/>
    </xf>
    <xf numFmtId="9" fontId="37" fillId="0" borderId="18" xfId="1" applyNumberFormat="1" applyFont="1" applyBorder="1" applyAlignment="1" applyProtection="1">
      <alignment horizontal="left"/>
      <protection hidden="1"/>
    </xf>
    <xf numFmtId="0" fontId="38" fillId="0" borderId="21" xfId="1" applyFont="1" applyBorder="1" applyAlignment="1" applyProtection="1">
      <alignment horizontal="left"/>
      <protection hidden="1"/>
    </xf>
    <xf numFmtId="3" fontId="38" fillId="0" borderId="22" xfId="1" applyNumberFormat="1" applyFont="1" applyBorder="1" applyAlignment="1" applyProtection="1">
      <alignment horizontal="left"/>
      <protection hidden="1"/>
    </xf>
    <xf numFmtId="164" fontId="38" fillId="0" borderId="21" xfId="1" applyNumberFormat="1" applyFont="1" applyBorder="1" applyAlignment="1" applyProtection="1">
      <alignment horizontal="left"/>
      <protection hidden="1"/>
    </xf>
    <xf numFmtId="164" fontId="38" fillId="0" borderId="34" xfId="1" applyNumberFormat="1" applyFont="1" applyBorder="1" applyAlignment="1" applyProtection="1">
      <alignment horizontal="left"/>
      <protection hidden="1"/>
    </xf>
    <xf numFmtId="164" fontId="37" fillId="0" borderId="22" xfId="1" applyNumberFormat="1" applyFont="1" applyBorder="1" applyAlignment="1" applyProtection="1">
      <alignment horizontal="left"/>
      <protection hidden="1"/>
    </xf>
    <xf numFmtId="164" fontId="38" fillId="0" borderId="0" xfId="41" applyNumberFormat="1" applyFont="1" applyAlignment="1" applyProtection="1">
      <alignment horizontal="left"/>
      <protection hidden="1"/>
    </xf>
    <xf numFmtId="164" fontId="29" fillId="0" borderId="1" xfId="0" applyNumberFormat="1" applyFont="1" applyBorder="1" applyAlignment="1">
      <alignment horizontal="center"/>
    </xf>
    <xf numFmtId="0" fontId="34" fillId="0" borderId="0" xfId="0" applyFont="1"/>
    <xf numFmtId="0" fontId="50" fillId="6" borderId="0" xfId="63" applyFont="1" applyFill="1"/>
    <xf numFmtId="0" fontId="51" fillId="9" borderId="49" xfId="63" applyFont="1" applyFill="1" applyBorder="1" applyAlignment="1">
      <alignment horizontal="left"/>
    </xf>
    <xf numFmtId="0" fontId="52" fillId="9" borderId="50" xfId="63" applyFont="1" applyFill="1" applyBorder="1" applyAlignment="1">
      <alignment horizontal="centerContinuous"/>
    </xf>
    <xf numFmtId="0" fontId="52" fillId="9" borderId="50" xfId="63" quotePrefix="1" applyFont="1" applyFill="1" applyBorder="1" applyAlignment="1">
      <alignment horizontal="centerContinuous"/>
    </xf>
    <xf numFmtId="0" fontId="52" fillId="9" borderId="51" xfId="63" applyFont="1" applyFill="1" applyBorder="1" applyAlignment="1">
      <alignment horizontal="centerContinuous"/>
    </xf>
    <xf numFmtId="0" fontId="50" fillId="6" borderId="0" xfId="63" applyFont="1" applyFill="1" applyAlignment="1">
      <alignment horizontal="left"/>
    </xf>
    <xf numFmtId="0" fontId="53" fillId="6" borderId="0" xfId="63" applyFont="1" applyFill="1"/>
    <xf numFmtId="0" fontId="53" fillId="0" borderId="0" xfId="63" applyFont="1"/>
    <xf numFmtId="0" fontId="52" fillId="6" borderId="0" xfId="63" applyFont="1" applyFill="1"/>
    <xf numFmtId="0" fontId="51" fillId="9" borderId="52" xfId="63" quotePrefix="1" applyFont="1" applyFill="1" applyBorder="1" applyAlignment="1">
      <alignment horizontal="left"/>
    </xf>
    <xf numFmtId="0" fontId="52" fillId="9" borderId="24" xfId="63" applyFont="1" applyFill="1" applyBorder="1" applyAlignment="1">
      <alignment horizontal="centerContinuous"/>
    </xf>
    <xf numFmtId="0" fontId="52" fillId="9" borderId="24" xfId="63" quotePrefix="1" applyFont="1" applyFill="1" applyBorder="1" applyAlignment="1">
      <alignment horizontal="centerContinuous"/>
    </xf>
    <xf numFmtId="0" fontId="50" fillId="6" borderId="53" xfId="63" applyFont="1" applyFill="1" applyBorder="1"/>
    <xf numFmtId="0" fontId="52" fillId="10" borderId="35" xfId="63" applyFont="1" applyFill="1" applyBorder="1" applyAlignment="1">
      <alignment horizontal="left"/>
    </xf>
    <xf numFmtId="0" fontId="52" fillId="10" borderId="38" xfId="63" applyFont="1" applyFill="1" applyBorder="1" applyAlignment="1">
      <alignment horizontal="centerContinuous"/>
    </xf>
    <xf numFmtId="0" fontId="52" fillId="10" borderId="38" xfId="63" quotePrefix="1" applyFont="1" applyFill="1" applyBorder="1" applyAlignment="1">
      <alignment horizontal="centerContinuous"/>
    </xf>
    <xf numFmtId="0" fontId="52" fillId="10" borderId="39" xfId="63" applyFont="1" applyFill="1" applyBorder="1" applyAlignment="1">
      <alignment horizontal="centerContinuous"/>
    </xf>
    <xf numFmtId="0" fontId="52" fillId="10" borderId="40" xfId="63" applyFont="1" applyFill="1" applyBorder="1" applyAlignment="1">
      <alignment horizontal="left"/>
    </xf>
    <xf numFmtId="0" fontId="52" fillId="10" borderId="0" xfId="63" applyFont="1" applyFill="1" applyAlignment="1">
      <alignment horizontal="centerContinuous"/>
    </xf>
    <xf numFmtId="0" fontId="52" fillId="10" borderId="0" xfId="63" quotePrefix="1" applyFont="1" applyFill="1" applyAlignment="1">
      <alignment horizontal="centerContinuous"/>
    </xf>
    <xf numFmtId="0" fontId="52" fillId="10" borderId="47" xfId="63" applyFont="1" applyFill="1" applyBorder="1" applyAlignment="1">
      <alignment horizontal="centerContinuous"/>
    </xf>
    <xf numFmtId="0" fontId="50" fillId="10" borderId="40" xfId="63" applyFont="1" applyFill="1" applyBorder="1"/>
    <xf numFmtId="0" fontId="52" fillId="10" borderId="0" xfId="63" applyFont="1" applyFill="1"/>
    <xf numFmtId="0" fontId="52" fillId="10" borderId="47" xfId="63" applyFont="1" applyFill="1" applyBorder="1"/>
    <xf numFmtId="0" fontId="13" fillId="6" borderId="0" xfId="63" applyFont="1" applyFill="1" applyAlignment="1">
      <alignment horizontal="right"/>
    </xf>
    <xf numFmtId="0" fontId="50" fillId="10" borderId="54" xfId="63" applyFont="1" applyFill="1" applyBorder="1"/>
    <xf numFmtId="0" fontId="52" fillId="10" borderId="9" xfId="63" applyFont="1" applyFill="1" applyBorder="1"/>
    <xf numFmtId="0" fontId="52" fillId="10" borderId="55" xfId="63" applyFont="1" applyFill="1" applyBorder="1"/>
    <xf numFmtId="0" fontId="7" fillId="11" borderId="35" xfId="63" applyFill="1" applyBorder="1"/>
    <xf numFmtId="0" fontId="7" fillId="11" borderId="38" xfId="63" applyFill="1" applyBorder="1"/>
    <xf numFmtId="0" fontId="7" fillId="11" borderId="38" xfId="63" applyFill="1" applyBorder="1" applyAlignment="1">
      <alignment horizontal="left"/>
    </xf>
    <xf numFmtId="0" fontId="7" fillId="11" borderId="56" xfId="63" applyFill="1" applyBorder="1"/>
    <xf numFmtId="0" fontId="7" fillId="11" borderId="57" xfId="63" applyFill="1" applyBorder="1" applyAlignment="1">
      <alignment horizontal="left"/>
    </xf>
    <xf numFmtId="0" fontId="7" fillId="11" borderId="57" xfId="63" applyFill="1" applyBorder="1"/>
    <xf numFmtId="0" fontId="7" fillId="11" borderId="58" xfId="63" applyFill="1" applyBorder="1"/>
    <xf numFmtId="0" fontId="13" fillId="11" borderId="35" xfId="63" applyFont="1" applyFill="1" applyBorder="1" applyAlignment="1">
      <alignment horizontal="right"/>
    </xf>
    <xf numFmtId="0" fontId="13" fillId="11" borderId="38" xfId="63" applyFont="1" applyFill="1" applyBorder="1" applyAlignment="1">
      <alignment horizontal="right"/>
    </xf>
    <xf numFmtId="0" fontId="13" fillId="11" borderId="39" xfId="63" applyFont="1" applyFill="1" applyBorder="1" applyAlignment="1">
      <alignment horizontal="right"/>
    </xf>
    <xf numFmtId="0" fontId="11" fillId="6" borderId="0" xfId="63" applyFont="1" applyFill="1"/>
    <xf numFmtId="0" fontId="7" fillId="11" borderId="40" xfId="63" applyFill="1" applyBorder="1"/>
    <xf numFmtId="0" fontId="7" fillId="11" borderId="0" xfId="63" applyFill="1"/>
    <xf numFmtId="0" fontId="7" fillId="11" borderId="0" xfId="63" applyFill="1" applyAlignment="1">
      <alignment horizontal="center"/>
    </xf>
    <xf numFmtId="0" fontId="7" fillId="11" borderId="47" xfId="63" applyFill="1" applyBorder="1"/>
    <xf numFmtId="0" fontId="7" fillId="6" borderId="0" xfId="63" applyFill="1"/>
    <xf numFmtId="0" fontId="54" fillId="6" borderId="0" xfId="63" applyFont="1" applyFill="1"/>
    <xf numFmtId="0" fontId="54" fillId="0" borderId="0" xfId="63" applyFont="1"/>
    <xf numFmtId="2" fontId="7" fillId="11" borderId="0" xfId="63" applyNumberFormat="1" applyFill="1"/>
    <xf numFmtId="10" fontId="7" fillId="11" borderId="0" xfId="63" applyNumberFormat="1" applyFill="1"/>
    <xf numFmtId="169" fontId="7" fillId="11" borderId="0" xfId="63" applyNumberFormat="1" applyFill="1" applyAlignment="1">
      <alignment horizontal="left"/>
    </xf>
    <xf numFmtId="169" fontId="7" fillId="11" borderId="0" xfId="63" applyNumberFormat="1" applyFill="1"/>
    <xf numFmtId="0" fontId="7" fillId="11" borderId="47" xfId="63" applyFill="1" applyBorder="1" applyAlignment="1">
      <alignment horizontal="left"/>
    </xf>
    <xf numFmtId="0" fontId="7" fillId="6" borderId="0" xfId="63" applyFill="1" applyAlignment="1">
      <alignment horizontal="right"/>
    </xf>
    <xf numFmtId="170" fontId="7" fillId="11" borderId="0" xfId="63" applyNumberFormat="1" applyFill="1"/>
    <xf numFmtId="170" fontId="7" fillId="11" borderId="47" xfId="63" applyNumberFormat="1" applyFill="1" applyBorder="1"/>
    <xf numFmtId="0" fontId="7" fillId="11" borderId="54" xfId="63" applyFill="1" applyBorder="1"/>
    <xf numFmtId="0" fontId="7" fillId="11" borderId="9" xfId="63" applyFill="1" applyBorder="1"/>
    <xf numFmtId="0" fontId="7" fillId="11" borderId="9" xfId="63" applyFill="1" applyBorder="1" applyAlignment="1">
      <alignment horizontal="left"/>
    </xf>
    <xf numFmtId="169" fontId="7" fillId="11" borderId="9" xfId="63" applyNumberFormat="1" applyFill="1" applyBorder="1"/>
    <xf numFmtId="10" fontId="7" fillId="11" borderId="9" xfId="63" applyNumberFormat="1" applyFill="1" applyBorder="1"/>
    <xf numFmtId="2" fontId="7" fillId="11" borderId="9" xfId="63" applyNumberFormat="1" applyFill="1" applyBorder="1"/>
    <xf numFmtId="171" fontId="7" fillId="11" borderId="9" xfId="63" applyNumberFormat="1" applyFill="1" applyBorder="1"/>
    <xf numFmtId="169" fontId="7" fillId="11" borderId="9" xfId="63" applyNumberFormat="1" applyFill="1" applyBorder="1" applyAlignment="1">
      <alignment horizontal="left"/>
    </xf>
    <xf numFmtId="0" fontId="7" fillId="11" borderId="55" xfId="63" applyFill="1" applyBorder="1"/>
    <xf numFmtId="172" fontId="11" fillId="6" borderId="59" xfId="63" applyNumberFormat="1" applyFont="1" applyFill="1" applyBorder="1" applyAlignment="1">
      <alignment horizontal="left"/>
    </xf>
    <xf numFmtId="172" fontId="11" fillId="6" borderId="59" xfId="63" applyNumberFormat="1" applyFont="1" applyFill="1" applyBorder="1"/>
    <xf numFmtId="0" fontId="11" fillId="6" borderId="59" xfId="63" applyFont="1" applyFill="1" applyBorder="1"/>
    <xf numFmtId="0" fontId="11" fillId="0" borderId="0" xfId="63" applyFont="1"/>
    <xf numFmtId="172" fontId="50" fillId="6" borderId="0" xfId="63" applyNumberFormat="1" applyFont="1" applyFill="1" applyAlignment="1">
      <alignment horizontal="fill"/>
    </xf>
    <xf numFmtId="172" fontId="50" fillId="6" borderId="0" xfId="63" applyNumberFormat="1" applyFont="1" applyFill="1" applyAlignment="1">
      <alignment horizontal="center"/>
    </xf>
    <xf numFmtId="0" fontId="7" fillId="6" borderId="61" xfId="63" applyFill="1" applyBorder="1"/>
    <xf numFmtId="0" fontId="7" fillId="11" borderId="54" xfId="63" applyFill="1" applyBorder="1" applyAlignment="1">
      <alignment horizontal="center"/>
    </xf>
    <xf numFmtId="170" fontId="7" fillId="11" borderId="9" xfId="63" applyNumberFormat="1" applyFill="1" applyBorder="1"/>
    <xf numFmtId="172" fontId="50" fillId="9" borderId="40" xfId="63" applyNumberFormat="1" applyFont="1" applyFill="1" applyBorder="1"/>
    <xf numFmtId="0" fontId="52" fillId="9" borderId="0" xfId="63" applyFont="1" applyFill="1"/>
    <xf numFmtId="166" fontId="52" fillId="9" borderId="0" xfId="63" applyNumberFormat="1" applyFont="1" applyFill="1" applyAlignment="1">
      <alignment horizontal="right"/>
    </xf>
    <xf numFmtId="0" fontId="52" fillId="9" borderId="0" xfId="63" applyFont="1" applyFill="1" applyAlignment="1">
      <alignment horizontal="left"/>
    </xf>
    <xf numFmtId="166" fontId="52" fillId="9" borderId="40" xfId="63" applyNumberFormat="1" applyFont="1" applyFill="1" applyBorder="1" applyAlignment="1">
      <alignment horizontal="right"/>
    </xf>
    <xf numFmtId="0" fontId="52" fillId="9" borderId="0" xfId="63" applyFont="1" applyFill="1" applyAlignment="1">
      <alignment horizontal="right"/>
    </xf>
    <xf numFmtId="0" fontId="50" fillId="9" borderId="47" xfId="63" applyFont="1" applyFill="1" applyBorder="1"/>
    <xf numFmtId="0" fontId="50" fillId="0" borderId="0" xfId="63" applyFont="1"/>
    <xf numFmtId="172" fontId="50" fillId="9" borderId="54" xfId="63" applyNumberFormat="1" applyFont="1" applyFill="1" applyBorder="1"/>
    <xf numFmtId="172" fontId="50" fillId="9" borderId="9" xfId="63" applyNumberFormat="1" applyFont="1" applyFill="1" applyBorder="1" applyAlignment="1">
      <alignment horizontal="fill"/>
    </xf>
    <xf numFmtId="172" fontId="50" fillId="9" borderId="54" xfId="63" applyNumberFormat="1" applyFont="1" applyFill="1" applyBorder="1" applyAlignment="1">
      <alignment horizontal="fill"/>
    </xf>
    <xf numFmtId="0" fontId="50" fillId="9" borderId="55" xfId="63" applyFont="1" applyFill="1" applyBorder="1"/>
    <xf numFmtId="169" fontId="50" fillId="6" borderId="0" xfId="63" applyNumberFormat="1" applyFont="1" applyFill="1"/>
    <xf numFmtId="172" fontId="50" fillId="11" borderId="40" xfId="63" applyNumberFormat="1" applyFont="1" applyFill="1" applyBorder="1"/>
    <xf numFmtId="166" fontId="55" fillId="11" borderId="0" xfId="63" quotePrefix="1" applyNumberFormat="1" applyFont="1" applyFill="1" applyAlignment="1">
      <alignment horizontal="left"/>
    </xf>
    <xf numFmtId="166" fontId="55" fillId="11" borderId="0" xfId="63" applyNumberFormat="1" applyFont="1" applyFill="1" applyAlignment="1">
      <alignment horizontal="left"/>
    </xf>
    <xf numFmtId="0" fontId="55" fillId="11" borderId="0" xfId="63" applyFont="1" applyFill="1"/>
    <xf numFmtId="3" fontId="55" fillId="11" borderId="0" xfId="63" applyNumberFormat="1" applyFont="1" applyFill="1"/>
    <xf numFmtId="3" fontId="55" fillId="11" borderId="40" xfId="63" applyNumberFormat="1" applyFont="1" applyFill="1" applyBorder="1"/>
    <xf numFmtId="0" fontId="50" fillId="11" borderId="47" xfId="63" applyFont="1" applyFill="1" applyBorder="1"/>
    <xf numFmtId="0" fontId="55" fillId="11" borderId="0" xfId="63" applyFont="1" applyFill="1" applyAlignment="1">
      <alignment horizontal="left"/>
    </xf>
    <xf numFmtId="3" fontId="50" fillId="6" borderId="0" xfId="63" applyNumberFormat="1" applyFont="1" applyFill="1"/>
    <xf numFmtId="0" fontId="50" fillId="11" borderId="40" xfId="63" applyFont="1" applyFill="1" applyBorder="1"/>
    <xf numFmtId="166" fontId="50" fillId="6" borderId="0" xfId="63" applyNumberFormat="1" applyFont="1" applyFill="1"/>
    <xf numFmtId="0" fontId="55" fillId="11" borderId="10" xfId="63" applyFont="1" applyFill="1" applyBorder="1" applyAlignment="1">
      <alignment horizontal="left"/>
    </xf>
    <xf numFmtId="0" fontId="55" fillId="11" borderId="10" xfId="63" applyFont="1" applyFill="1" applyBorder="1"/>
    <xf numFmtId="3" fontId="55" fillId="11" borderId="10" xfId="63" applyNumberFormat="1" applyFont="1" applyFill="1" applyBorder="1"/>
    <xf numFmtId="3" fontId="55" fillId="11" borderId="62" xfId="63" applyNumberFormat="1" applyFont="1" applyFill="1" applyBorder="1"/>
    <xf numFmtId="3" fontId="55" fillId="11" borderId="47" xfId="63" applyNumberFormat="1" applyFont="1" applyFill="1" applyBorder="1"/>
    <xf numFmtId="0" fontId="50" fillId="11" borderId="54" xfId="63" applyFont="1" applyFill="1" applyBorder="1" applyAlignment="1">
      <alignment horizontal="right"/>
    </xf>
    <xf numFmtId="0" fontId="50" fillId="11" borderId="9" xfId="63" applyFont="1" applyFill="1" applyBorder="1" applyAlignment="1">
      <alignment horizontal="left"/>
    </xf>
    <xf numFmtId="0" fontId="50" fillId="11" borderId="9" xfId="63" applyFont="1" applyFill="1" applyBorder="1"/>
    <xf numFmtId="3" fontId="50" fillId="11" borderId="9" xfId="63" applyNumberFormat="1" applyFont="1" applyFill="1" applyBorder="1"/>
    <xf numFmtId="3" fontId="50" fillId="11" borderId="54" xfId="63" applyNumberFormat="1" applyFont="1" applyFill="1" applyBorder="1"/>
    <xf numFmtId="0" fontId="50" fillId="11" borderId="55" xfId="63" applyFont="1" applyFill="1" applyBorder="1"/>
    <xf numFmtId="3" fontId="55" fillId="8" borderId="10" xfId="63" applyNumberFormat="1" applyFont="1" applyFill="1" applyBorder="1"/>
    <xf numFmtId="0" fontId="17" fillId="0" borderId="0" xfId="27" applyFont="1"/>
    <xf numFmtId="0" fontId="17" fillId="0" borderId="0" xfId="27" applyFont="1" applyAlignment="1">
      <alignment horizontal="center"/>
    </xf>
    <xf numFmtId="0" fontId="57" fillId="0" borderId="0" xfId="27" applyFont="1"/>
    <xf numFmtId="0" fontId="17" fillId="0" borderId="0" xfId="27" applyFont="1" applyAlignment="1">
      <alignment horizontal="center" vertical="center"/>
    </xf>
    <xf numFmtId="0" fontId="58" fillId="0" borderId="0" xfId="27" applyFont="1" applyAlignment="1">
      <alignment horizontal="center" vertical="center" wrapText="1"/>
    </xf>
    <xf numFmtId="0" fontId="58" fillId="0" borderId="0" xfId="27" applyFont="1" applyAlignment="1">
      <alignment horizontal="center" wrapText="1"/>
    </xf>
    <xf numFmtId="0" fontId="17" fillId="8" borderId="0" xfId="27" applyFont="1" applyFill="1" applyAlignment="1">
      <alignment horizontal="center" wrapText="1"/>
    </xf>
    <xf numFmtId="0" fontId="17" fillId="8" borderId="0" xfId="27" applyFont="1" applyFill="1" applyAlignment="1">
      <alignment horizontal="center"/>
    </xf>
    <xf numFmtId="0" fontId="17" fillId="0" borderId="0" xfId="27" applyFont="1" applyAlignment="1">
      <alignment horizontal="center" wrapText="1"/>
    </xf>
    <xf numFmtId="164" fontId="17" fillId="8" borderId="0" xfId="27" applyNumberFormat="1" applyFont="1" applyFill="1" applyAlignment="1">
      <alignment horizontal="center"/>
    </xf>
    <xf numFmtId="164" fontId="17" fillId="0" borderId="0" xfId="27" applyNumberFormat="1" applyFont="1" applyAlignment="1">
      <alignment horizontal="center"/>
    </xf>
    <xf numFmtId="164" fontId="17" fillId="3" borderId="0" xfId="27" applyNumberFormat="1" applyFont="1" applyFill="1" applyAlignment="1">
      <alignment horizontal="center"/>
    </xf>
    <xf numFmtId="164" fontId="17" fillId="0" borderId="0" xfId="27" applyNumberFormat="1" applyFont="1"/>
    <xf numFmtId="9" fontId="17" fillId="0" borderId="0" xfId="65" applyFont="1" applyAlignment="1">
      <alignment horizontal="center"/>
    </xf>
    <xf numFmtId="164" fontId="17" fillId="0" borderId="0" xfId="65" applyNumberFormat="1" applyFont="1" applyAlignment="1">
      <alignment horizontal="center"/>
    </xf>
    <xf numFmtId="0" fontId="17" fillId="0" borderId="0" xfId="27" applyFont="1" applyAlignment="1">
      <alignment wrapText="1"/>
    </xf>
    <xf numFmtId="0" fontId="17" fillId="8" borderId="0" xfId="27" applyFont="1" applyFill="1"/>
    <xf numFmtId="164" fontId="17" fillId="0" borderId="0" xfId="65" applyNumberFormat="1" applyFont="1" applyFill="1" applyAlignment="1">
      <alignment horizontal="center"/>
    </xf>
    <xf numFmtId="173" fontId="29" fillId="12" borderId="0" xfId="0" applyNumberFormat="1" applyFont="1" applyFill="1" applyAlignment="1">
      <alignment horizontal="center"/>
    </xf>
    <xf numFmtId="0" fontId="31" fillId="0" borderId="0" xfId="0" applyFont="1" applyAlignment="1">
      <alignment horizontal="center"/>
    </xf>
    <xf numFmtId="164" fontId="30" fillId="0" borderId="16" xfId="0" applyNumberFormat="1" applyFont="1" applyBorder="1" applyAlignment="1">
      <alignment horizontal="center"/>
    </xf>
    <xf numFmtId="164" fontId="33" fillId="0" borderId="0" xfId="0" applyNumberFormat="1" applyFont="1" applyAlignment="1">
      <alignment horizontal="left"/>
    </xf>
    <xf numFmtId="0" fontId="17" fillId="0" borderId="0" xfId="28" applyFont="1"/>
    <xf numFmtId="164" fontId="17" fillId="0" borderId="0" xfId="28" applyNumberFormat="1" applyFont="1" applyAlignment="1">
      <alignment horizontal="center"/>
    </xf>
    <xf numFmtId="164" fontId="17" fillId="8" borderId="0" xfId="28" applyNumberFormat="1" applyFont="1" applyFill="1" applyAlignment="1">
      <alignment horizontal="center"/>
    </xf>
    <xf numFmtId="0" fontId="17" fillId="0" borderId="0" xfId="67" applyFont="1"/>
    <xf numFmtId="0" fontId="17" fillId="0" borderId="0" xfId="67" applyFont="1" applyAlignment="1">
      <alignment horizontal="center"/>
    </xf>
    <xf numFmtId="0" fontId="63" fillId="0" borderId="0" xfId="67" applyFont="1" applyAlignment="1">
      <alignment horizontal="center"/>
    </xf>
    <xf numFmtId="0" fontId="17" fillId="0" borderId="4" xfId="67" applyFont="1" applyBorder="1" applyAlignment="1">
      <alignment horizontal="center"/>
    </xf>
    <xf numFmtId="8" fontId="17" fillId="0" borderId="4" xfId="67" applyNumberFormat="1" applyFont="1" applyBorder="1" applyAlignment="1">
      <alignment horizontal="center"/>
    </xf>
    <xf numFmtId="0" fontId="57" fillId="0" borderId="0" xfId="67" applyFont="1"/>
    <xf numFmtId="0" fontId="17" fillId="0" borderId="0" xfId="67" applyFont="1" applyAlignment="1">
      <alignment horizontal="center" vertical="center"/>
    </xf>
    <xf numFmtId="0" fontId="17" fillId="0" borderId="0" xfId="67" applyFont="1" applyAlignment="1">
      <alignment horizontal="center" vertical="center" wrapText="1"/>
    </xf>
    <xf numFmtId="0" fontId="58" fillId="0" borderId="0" xfId="67" applyFont="1" applyAlignment="1">
      <alignment horizontal="center" vertical="center" wrapText="1"/>
    </xf>
    <xf numFmtId="0" fontId="58" fillId="0" borderId="0" xfId="67" applyFont="1" applyAlignment="1">
      <alignment horizontal="center" wrapText="1"/>
    </xf>
    <xf numFmtId="0" fontId="17" fillId="0" borderId="0" xfId="67" applyFont="1" applyAlignment="1">
      <alignment horizontal="center" wrapText="1"/>
    </xf>
    <xf numFmtId="0" fontId="17" fillId="12" borderId="0" xfId="67" applyFont="1" applyFill="1" applyAlignment="1">
      <alignment horizontal="center" wrapText="1"/>
    </xf>
    <xf numFmtId="0" fontId="17" fillId="12" borderId="0" xfId="67" applyFont="1" applyFill="1" applyAlignment="1">
      <alignment horizontal="center"/>
    </xf>
    <xf numFmtId="0" fontId="17" fillId="12" borderId="0" xfId="67" applyFont="1" applyFill="1" applyAlignment="1">
      <alignment wrapText="1"/>
    </xf>
    <xf numFmtId="0" fontId="17" fillId="8" borderId="0" xfId="67" applyFont="1" applyFill="1" applyAlignment="1">
      <alignment horizontal="center" wrapText="1"/>
    </xf>
    <xf numFmtId="0" fontId="17" fillId="8" borderId="0" xfId="67" applyFont="1" applyFill="1" applyAlignment="1">
      <alignment horizontal="center"/>
    </xf>
    <xf numFmtId="0" fontId="63" fillId="0" borderId="0" xfId="67" applyFont="1"/>
    <xf numFmtId="0" fontId="7" fillId="0" borderId="0" xfId="67" applyFont="1" applyAlignment="1">
      <alignment horizontal="center" wrapText="1"/>
    </xf>
    <xf numFmtId="0" fontId="17" fillId="13" borderId="0" xfId="67" applyFont="1" applyFill="1" applyAlignment="1">
      <alignment horizontal="center" wrapText="1"/>
    </xf>
    <xf numFmtId="0" fontId="17" fillId="12" borderId="0" xfId="67" applyFont="1" applyFill="1"/>
    <xf numFmtId="164" fontId="17" fillId="0" borderId="0" xfId="67" applyNumberFormat="1" applyFont="1" applyAlignment="1">
      <alignment horizontal="center"/>
    </xf>
    <xf numFmtId="164" fontId="17" fillId="8" borderId="0" xfId="67" applyNumberFormat="1" applyFont="1" applyFill="1" applyAlignment="1">
      <alignment horizontal="center"/>
    </xf>
    <xf numFmtId="0" fontId="17" fillId="13" borderId="0" xfId="67" applyFont="1" applyFill="1" applyAlignment="1">
      <alignment horizontal="center"/>
    </xf>
    <xf numFmtId="164" fontId="17" fillId="3" borderId="0" xfId="67" applyNumberFormat="1" applyFont="1" applyFill="1" applyAlignment="1">
      <alignment horizontal="center"/>
    </xf>
    <xf numFmtId="164" fontId="17" fillId="0" borderId="0" xfId="67" applyNumberFormat="1" applyFont="1"/>
    <xf numFmtId="164" fontId="17" fillId="12" borderId="0" xfId="67" applyNumberFormat="1" applyFont="1" applyFill="1" applyAlignment="1">
      <alignment horizontal="center"/>
    </xf>
    <xf numFmtId="3" fontId="17" fillId="0" borderId="0" xfId="67" applyNumberFormat="1" applyFont="1" applyAlignment="1">
      <alignment horizontal="center"/>
    </xf>
    <xf numFmtId="164" fontId="17" fillId="13" borderId="0" xfId="67" applyNumberFormat="1" applyFont="1" applyFill="1" applyAlignment="1">
      <alignment horizontal="center"/>
    </xf>
    <xf numFmtId="10" fontId="17" fillId="0" borderId="0" xfId="65" applyNumberFormat="1" applyFont="1" applyAlignment="1">
      <alignment horizontal="center"/>
    </xf>
    <xf numFmtId="0" fontId="17" fillId="0" borderId="0" xfId="67" applyFont="1" applyAlignment="1">
      <alignment wrapText="1"/>
    </xf>
    <xf numFmtId="8" fontId="17" fillId="0" borderId="0" xfId="67" applyNumberFormat="1" applyFont="1"/>
    <xf numFmtId="164" fontId="17" fillId="0" borderId="44" xfId="67" applyNumberFormat="1" applyFont="1" applyBorder="1" applyAlignment="1">
      <alignment horizontal="center"/>
    </xf>
    <xf numFmtId="0" fontId="17" fillId="0" borderId="44" xfId="67" applyFont="1" applyBorder="1"/>
    <xf numFmtId="0" fontId="17" fillId="0" borderId="7" xfId="67" applyFont="1" applyBorder="1"/>
    <xf numFmtId="10" fontId="17" fillId="0" borderId="0" xfId="67" applyNumberFormat="1" applyFont="1" applyAlignment="1">
      <alignment horizontal="center"/>
    </xf>
    <xf numFmtId="165" fontId="17" fillId="0" borderId="7" xfId="67" applyNumberFormat="1" applyFont="1" applyBorder="1"/>
    <xf numFmtId="164" fontId="17" fillId="0" borderId="7" xfId="67" applyNumberFormat="1" applyFont="1" applyBorder="1" applyAlignment="1">
      <alignment horizontal="center"/>
    </xf>
    <xf numFmtId="0" fontId="17" fillId="0" borderId="29" xfId="67" applyFont="1" applyBorder="1"/>
    <xf numFmtId="9" fontId="29" fillId="0" borderId="0" xfId="66" applyFont="1" applyAlignment="1">
      <alignment horizontal="center"/>
    </xf>
    <xf numFmtId="0" fontId="29" fillId="0" borderId="0" xfId="0" applyFont="1" applyAlignment="1">
      <alignment horizontal="center" wrapText="1"/>
    </xf>
    <xf numFmtId="173" fontId="28" fillId="0" borderId="0" xfId="66" applyNumberFormat="1" applyFont="1" applyAlignment="1">
      <alignment horizontal="center"/>
    </xf>
    <xf numFmtId="0" fontId="28" fillId="0" borderId="24" xfId="0" applyFont="1" applyBorder="1"/>
    <xf numFmtId="164" fontId="28" fillId="0" borderId="24" xfId="0" applyNumberFormat="1" applyFont="1" applyBorder="1" applyAlignment="1">
      <alignment horizontal="center"/>
    </xf>
    <xf numFmtId="164" fontId="29" fillId="0" borderId="24" xfId="0" applyNumberFormat="1" applyFont="1" applyBorder="1" applyAlignment="1">
      <alignment horizontal="center"/>
    </xf>
    <xf numFmtId="0" fontId="29" fillId="0" borderId="24" xfId="0" applyFont="1" applyBorder="1" applyAlignment="1">
      <alignment horizontal="left"/>
    </xf>
    <xf numFmtId="166" fontId="50" fillId="6" borderId="0" xfId="63" applyNumberFormat="1" applyFont="1" applyFill="1" applyAlignment="1">
      <alignment horizontal="center"/>
    </xf>
    <xf numFmtId="0" fontId="50" fillId="6" borderId="0" xfId="63" applyFont="1" applyFill="1" applyAlignment="1">
      <alignment horizontal="center"/>
    </xf>
    <xf numFmtId="173" fontId="29" fillId="0" borderId="0" xfId="66" applyNumberFormat="1" applyFont="1"/>
    <xf numFmtId="10" fontId="29" fillId="0" borderId="0" xfId="66" applyNumberFormat="1" applyFont="1"/>
    <xf numFmtId="165" fontId="29" fillId="0" borderId="0" xfId="0" applyNumberFormat="1" applyFont="1" applyAlignment="1">
      <alignment horizontal="center"/>
    </xf>
    <xf numFmtId="0" fontId="50" fillId="13" borderId="0" xfId="63" applyFont="1" applyFill="1" applyAlignment="1">
      <alignment horizontal="center"/>
    </xf>
    <xf numFmtId="0" fontId="38" fillId="0" borderId="0" xfId="0" applyFont="1" applyAlignment="1" applyProtection="1">
      <alignment horizontal="left"/>
      <protection hidden="1"/>
    </xf>
    <xf numFmtId="169" fontId="37" fillId="0" borderId="0" xfId="0" applyNumberFormat="1" applyFont="1" applyAlignment="1" applyProtection="1">
      <alignment horizontal="left"/>
      <protection hidden="1"/>
    </xf>
    <xf numFmtId="169" fontId="39" fillId="0" borderId="0" xfId="0" applyNumberFormat="1" applyFont="1" applyAlignment="1" applyProtection="1">
      <alignment horizontal="left"/>
      <protection hidden="1"/>
    </xf>
    <xf numFmtId="164" fontId="38" fillId="0" borderId="0" xfId="0" applyNumberFormat="1" applyFont="1" applyAlignment="1" applyProtection="1">
      <alignment horizontal="left"/>
      <protection hidden="1"/>
    </xf>
    <xf numFmtId="164" fontId="38" fillId="5" borderId="0" xfId="0" applyNumberFormat="1" applyFont="1" applyFill="1" applyAlignment="1" applyProtection="1">
      <alignment horizontal="left"/>
      <protection hidden="1"/>
    </xf>
    <xf numFmtId="164" fontId="38" fillId="0" borderId="1" xfId="0" applyNumberFormat="1" applyFont="1" applyBorder="1" applyAlignment="1" applyProtection="1">
      <alignment horizontal="left"/>
      <protection hidden="1"/>
    </xf>
    <xf numFmtId="164" fontId="37" fillId="0" borderId="1" xfId="0" applyNumberFormat="1" applyFont="1" applyBorder="1" applyAlignment="1" applyProtection="1">
      <alignment horizontal="left"/>
      <protection hidden="1"/>
    </xf>
    <xf numFmtId="165" fontId="38" fillId="0" borderId="0" xfId="0" applyNumberFormat="1" applyFont="1" applyAlignment="1" applyProtection="1">
      <alignment horizontal="left"/>
      <protection hidden="1"/>
    </xf>
    <xf numFmtId="3" fontId="38" fillId="0" borderId="0" xfId="0" applyNumberFormat="1" applyFont="1" applyAlignment="1" applyProtection="1">
      <alignment horizontal="left"/>
      <protection hidden="1"/>
    </xf>
    <xf numFmtId="164" fontId="40" fillId="0" borderId="0" xfId="0" applyNumberFormat="1" applyFont="1" applyAlignment="1" applyProtection="1">
      <alignment horizontal="left"/>
      <protection hidden="1"/>
    </xf>
    <xf numFmtId="164" fontId="41" fillId="0" borderId="0" xfId="0" applyNumberFormat="1" applyFont="1" applyAlignment="1" applyProtection="1">
      <alignment horizontal="left"/>
      <protection hidden="1"/>
    </xf>
    <xf numFmtId="0" fontId="46" fillId="0" borderId="0" xfId="1" applyFont="1" applyAlignment="1" applyProtection="1">
      <alignment horizontal="left"/>
      <protection hidden="1"/>
    </xf>
    <xf numFmtId="164" fontId="44" fillId="0" borderId="0" xfId="0" applyNumberFormat="1" applyFont="1" applyAlignment="1" applyProtection="1">
      <alignment horizontal="left"/>
      <protection hidden="1"/>
    </xf>
    <xf numFmtId="173" fontId="38" fillId="0" borderId="0" xfId="1" applyNumberFormat="1" applyFont="1" applyAlignment="1" applyProtection="1">
      <alignment horizontal="left"/>
      <protection hidden="1"/>
    </xf>
    <xf numFmtId="164" fontId="38" fillId="0" borderId="0" xfId="0" applyNumberFormat="1" applyFont="1" applyAlignment="1" applyProtection="1">
      <alignment horizontal="center"/>
      <protection hidden="1"/>
    </xf>
    <xf numFmtId="164" fontId="43" fillId="0" borderId="0" xfId="0" applyNumberFormat="1" applyFont="1" applyAlignment="1" applyProtection="1">
      <alignment horizontal="left"/>
      <protection hidden="1"/>
    </xf>
    <xf numFmtId="0" fontId="38" fillId="0" borderId="0" xfId="0" applyFont="1" applyAlignment="1" applyProtection="1">
      <alignment horizontal="center"/>
      <protection hidden="1"/>
    </xf>
    <xf numFmtId="0" fontId="37" fillId="0" borderId="0" xfId="0" applyFont="1" applyAlignment="1" applyProtection="1">
      <alignment horizontal="center"/>
      <protection hidden="1"/>
    </xf>
    <xf numFmtId="164" fontId="37" fillId="0" borderId="0" xfId="0" applyNumberFormat="1" applyFont="1" applyAlignment="1" applyProtection="1">
      <alignment horizontal="center"/>
      <protection hidden="1"/>
    </xf>
    <xf numFmtId="164" fontId="37" fillId="0" borderId="0" xfId="0" applyNumberFormat="1" applyFont="1" applyAlignment="1" applyProtection="1">
      <alignment horizontal="left"/>
      <protection hidden="1"/>
    </xf>
    <xf numFmtId="173" fontId="37" fillId="0" borderId="0" xfId="0" applyNumberFormat="1" applyFont="1" applyAlignment="1" applyProtection="1">
      <alignment horizontal="center"/>
      <protection hidden="1"/>
    </xf>
    <xf numFmtId="0" fontId="38" fillId="0" borderId="8" xfId="0" applyFont="1" applyBorder="1" applyAlignment="1" applyProtection="1">
      <alignment horizontal="left"/>
      <protection hidden="1"/>
    </xf>
    <xf numFmtId="0" fontId="38" fillId="0" borderId="0" xfId="0" applyFont="1" applyAlignment="1" applyProtection="1">
      <alignment horizontal="left" wrapText="1"/>
      <protection hidden="1"/>
    </xf>
    <xf numFmtId="164" fontId="45" fillId="0" borderId="0" xfId="0" applyNumberFormat="1" applyFont="1" applyAlignment="1">
      <alignment horizontal="left"/>
    </xf>
    <xf numFmtId="0" fontId="37" fillId="0" borderId="18" xfId="0" applyFont="1" applyBorder="1" applyAlignment="1" applyProtection="1">
      <alignment horizontal="left"/>
      <protection hidden="1"/>
    </xf>
    <xf numFmtId="0" fontId="46" fillId="6" borderId="35" xfId="0" applyFont="1" applyFill="1" applyBorder="1" applyAlignment="1" applyProtection="1">
      <alignment horizontal="left"/>
      <protection hidden="1"/>
    </xf>
    <xf numFmtId="0" fontId="38" fillId="0" borderId="36" xfId="0" applyFont="1" applyBorder="1" applyAlignment="1" applyProtection="1">
      <alignment horizontal="left"/>
      <protection hidden="1"/>
    </xf>
    <xf numFmtId="0" fontId="37" fillId="0" borderId="37" xfId="0" applyFont="1" applyBorder="1" applyAlignment="1" applyProtection="1">
      <alignment horizontal="left" vertical="center"/>
      <protection hidden="1"/>
    </xf>
    <xf numFmtId="0" fontId="37" fillId="0" borderId="38" xfId="0" applyFont="1" applyBorder="1" applyAlignment="1" applyProtection="1">
      <alignment horizontal="left" vertical="center"/>
      <protection hidden="1"/>
    </xf>
    <xf numFmtId="0" fontId="37" fillId="0" borderId="39" xfId="0" applyFont="1" applyBorder="1" applyAlignment="1" applyProtection="1">
      <alignment horizontal="left" vertical="center"/>
      <protection hidden="1"/>
    </xf>
    <xf numFmtId="0" fontId="37" fillId="6" borderId="40" xfId="0" applyFont="1" applyFill="1" applyBorder="1" applyAlignment="1" applyProtection="1">
      <alignment horizontal="left"/>
      <protection hidden="1"/>
    </xf>
    <xf numFmtId="0" fontId="38" fillId="0" borderId="7" xfId="0" applyFont="1" applyBorder="1" applyAlignment="1" applyProtection="1">
      <alignment horizontal="left"/>
      <protection hidden="1"/>
    </xf>
    <xf numFmtId="0" fontId="37" fillId="0" borderId="15" xfId="0" applyFont="1" applyBorder="1" applyAlignment="1" applyProtection="1">
      <alignment horizontal="left" vertical="center"/>
      <protection hidden="1"/>
    </xf>
    <xf numFmtId="0" fontId="37" fillId="0" borderId="10" xfId="0" applyFont="1" applyBorder="1" applyAlignment="1" applyProtection="1">
      <alignment horizontal="left" vertical="center"/>
      <protection hidden="1"/>
    </xf>
    <xf numFmtId="0" fontId="37" fillId="0" borderId="41" xfId="0" applyFont="1" applyBorder="1" applyAlignment="1" applyProtection="1">
      <alignment horizontal="left" vertical="center"/>
      <protection hidden="1"/>
    </xf>
    <xf numFmtId="0" fontId="38" fillId="0" borderId="4" xfId="0" applyFont="1" applyBorder="1" applyAlignment="1" applyProtection="1">
      <alignment horizontal="left"/>
      <protection hidden="1"/>
    </xf>
    <xf numFmtId="164" fontId="38" fillId="0" borderId="4" xfId="0" applyNumberFormat="1" applyFont="1" applyBorder="1" applyAlignment="1" applyProtection="1">
      <alignment horizontal="left"/>
      <protection hidden="1"/>
    </xf>
    <xf numFmtId="0" fontId="38" fillId="0" borderId="42" xfId="0" applyFont="1" applyBorder="1" applyAlignment="1" applyProtection="1">
      <alignment horizontal="left"/>
      <protection hidden="1"/>
    </xf>
    <xf numFmtId="0" fontId="38" fillId="0" borderId="1" xfId="0" applyFont="1" applyBorder="1" applyAlignment="1" applyProtection="1">
      <alignment horizontal="left"/>
      <protection hidden="1"/>
    </xf>
    <xf numFmtId="0" fontId="38" fillId="0" borderId="43" xfId="0" applyFont="1" applyBorder="1" applyAlignment="1" applyProtection="1">
      <alignment horizontal="left"/>
      <protection hidden="1"/>
    </xf>
    <xf numFmtId="0" fontId="38" fillId="0" borderId="4" xfId="0" applyFont="1" applyBorder="1" applyAlignment="1" applyProtection="1">
      <alignment horizontal="left" wrapText="1"/>
      <protection hidden="1"/>
    </xf>
    <xf numFmtId="0" fontId="47" fillId="0" borderId="42" xfId="0" applyFont="1" applyBorder="1" applyAlignment="1" applyProtection="1">
      <alignment horizontal="left"/>
      <protection hidden="1"/>
    </xf>
    <xf numFmtId="0" fontId="47" fillId="0" borderId="1" xfId="0" applyFont="1" applyBorder="1" applyAlignment="1" applyProtection="1">
      <alignment horizontal="left"/>
      <protection hidden="1"/>
    </xf>
    <xf numFmtId="0" fontId="47" fillId="0" borderId="43" xfId="0" applyFont="1" applyBorder="1" applyAlignment="1" applyProtection="1">
      <alignment horizontal="left"/>
      <protection hidden="1"/>
    </xf>
    <xf numFmtId="0" fontId="38" fillId="0" borderId="34" xfId="0" applyFont="1" applyBorder="1" applyAlignment="1" applyProtection="1">
      <alignment horizontal="left"/>
      <protection hidden="1"/>
    </xf>
    <xf numFmtId="164" fontId="38" fillId="0" borderId="34" xfId="0" applyNumberFormat="1" applyFont="1" applyBorder="1" applyAlignment="1" applyProtection="1">
      <alignment horizontal="left"/>
      <protection hidden="1"/>
    </xf>
    <xf numFmtId="0" fontId="38" fillId="6" borderId="45" xfId="0" applyFont="1" applyFill="1" applyBorder="1" applyAlignment="1" applyProtection="1">
      <alignment horizontal="left"/>
      <protection hidden="1"/>
    </xf>
    <xf numFmtId="0" fontId="38" fillId="6" borderId="23" xfId="0" applyFont="1" applyFill="1" applyBorder="1" applyAlignment="1" applyProtection="1">
      <alignment horizontal="left"/>
      <protection hidden="1"/>
    </xf>
    <xf numFmtId="0" fontId="38" fillId="6" borderId="46" xfId="0" applyFont="1" applyFill="1" applyBorder="1" applyAlignment="1" applyProtection="1">
      <alignment horizontal="left"/>
      <protection hidden="1"/>
    </xf>
    <xf numFmtId="0" fontId="37" fillId="7" borderId="17" xfId="0" applyFont="1" applyFill="1" applyBorder="1" applyAlignment="1" applyProtection="1">
      <alignment horizontal="left" wrapText="1"/>
      <protection hidden="1"/>
    </xf>
    <xf numFmtId="0" fontId="37" fillId="0" borderId="27" xfId="0" applyFont="1" applyBorder="1" applyAlignment="1" applyProtection="1">
      <alignment horizontal="left"/>
      <protection hidden="1"/>
    </xf>
    <xf numFmtId="0" fontId="38" fillId="0" borderId="27" xfId="0" applyFont="1" applyBorder="1" applyAlignment="1" applyProtection="1">
      <alignment horizontal="left"/>
      <protection hidden="1"/>
    </xf>
    <xf numFmtId="0" fontId="37" fillId="0" borderId="27" xfId="0" applyFont="1" applyBorder="1" applyAlignment="1" applyProtection="1">
      <alignment horizontal="left" wrapText="1"/>
      <protection hidden="1"/>
    </xf>
    <xf numFmtId="0" fontId="38" fillId="7" borderId="19" xfId="0" applyFont="1" applyFill="1" applyBorder="1" applyAlignment="1" applyProtection="1">
      <alignment horizontal="left"/>
      <protection hidden="1"/>
    </xf>
    <xf numFmtId="0" fontId="42" fillId="0" borderId="4" xfId="0" applyFont="1" applyBorder="1" applyAlignment="1" applyProtection="1">
      <alignment horizontal="left"/>
      <protection hidden="1"/>
    </xf>
    <xf numFmtId="164" fontId="38" fillId="0" borderId="20" xfId="0" applyNumberFormat="1" applyFont="1" applyBorder="1" applyAlignment="1" applyProtection="1">
      <alignment horizontal="left"/>
      <protection hidden="1"/>
    </xf>
    <xf numFmtId="0" fontId="48" fillId="0" borderId="0" xfId="0" applyFont="1" applyAlignment="1" applyProtection="1">
      <alignment horizontal="left"/>
      <protection hidden="1"/>
    </xf>
    <xf numFmtId="0" fontId="38" fillId="4" borderId="40" xfId="0" applyFont="1" applyFill="1" applyBorder="1" applyAlignment="1" applyProtection="1">
      <alignment horizontal="left"/>
      <protection hidden="1"/>
    </xf>
    <xf numFmtId="164" fontId="38" fillId="4" borderId="0" xfId="0" applyNumberFormat="1" applyFont="1" applyFill="1" applyAlignment="1" applyProtection="1">
      <alignment horizontal="left"/>
      <protection hidden="1"/>
    </xf>
    <xf numFmtId="0" fontId="38" fillId="4" borderId="0" xfId="0" applyFont="1" applyFill="1" applyAlignment="1" applyProtection="1">
      <alignment horizontal="left"/>
      <protection hidden="1"/>
    </xf>
    <xf numFmtId="0" fontId="38" fillId="4" borderId="47" xfId="0" applyFont="1" applyFill="1" applyBorder="1" applyAlignment="1" applyProtection="1">
      <alignment horizontal="left"/>
      <protection hidden="1"/>
    </xf>
    <xf numFmtId="164" fontId="38" fillId="7" borderId="4" xfId="0" applyNumberFormat="1" applyFont="1" applyFill="1" applyBorder="1" applyAlignment="1" applyProtection="1">
      <alignment horizontal="left"/>
      <protection hidden="1"/>
    </xf>
    <xf numFmtId="0" fontId="38" fillId="7" borderId="21" xfId="0" applyFont="1" applyFill="1" applyBorder="1" applyAlignment="1" applyProtection="1">
      <alignment horizontal="left"/>
      <protection hidden="1"/>
    </xf>
    <xf numFmtId="164" fontId="38" fillId="7" borderId="34" xfId="0" applyNumberFormat="1" applyFont="1" applyFill="1" applyBorder="1" applyAlignment="1" applyProtection="1">
      <alignment horizontal="left"/>
      <protection hidden="1"/>
    </xf>
    <xf numFmtId="164" fontId="38" fillId="0" borderId="22" xfId="0" applyNumberFormat="1" applyFont="1" applyBorder="1" applyAlignment="1" applyProtection="1">
      <alignment horizontal="left"/>
      <protection hidden="1"/>
    </xf>
    <xf numFmtId="0" fontId="38" fillId="0" borderId="0" xfId="0" applyFont="1" applyAlignment="1" applyProtection="1">
      <alignment horizontal="left" vertical="center"/>
      <protection hidden="1"/>
    </xf>
    <xf numFmtId="0" fontId="38" fillId="0" borderId="0" xfId="0" applyFont="1" applyAlignment="1" applyProtection="1">
      <alignment horizontal="left" vertical="center" wrapText="1"/>
      <protection hidden="1"/>
    </xf>
    <xf numFmtId="0" fontId="38" fillId="0" borderId="48" xfId="0" applyFont="1" applyBorder="1" applyAlignment="1" applyProtection="1">
      <alignment horizontal="left" vertical="center" wrapText="1"/>
      <protection hidden="1"/>
    </xf>
    <xf numFmtId="0" fontId="47" fillId="0" borderId="1" xfId="0" applyFont="1" applyBorder="1" applyAlignment="1" applyProtection="1">
      <alignment horizontal="left" vertical="center"/>
      <protection hidden="1"/>
    </xf>
    <xf numFmtId="0" fontId="47" fillId="0" borderId="0" xfId="0" applyFont="1" applyAlignment="1" applyProtection="1">
      <alignment horizontal="left" vertical="center"/>
      <protection hidden="1"/>
    </xf>
    <xf numFmtId="0" fontId="38" fillId="0" borderId="48" xfId="0" applyFont="1" applyBorder="1" applyAlignment="1" applyProtection="1">
      <alignment horizontal="left" vertical="center"/>
      <protection hidden="1"/>
    </xf>
    <xf numFmtId="0" fontId="47" fillId="0" borderId="48" xfId="0" applyFont="1" applyBorder="1" applyAlignment="1" applyProtection="1">
      <alignment horizontal="left" vertical="center" wrapText="1"/>
      <protection hidden="1"/>
    </xf>
    <xf numFmtId="0" fontId="66" fillId="0" borderId="0" xfId="0" applyFont="1" applyAlignment="1">
      <alignment horizontal="center"/>
    </xf>
    <xf numFmtId="0" fontId="0" fillId="0" borderId="0" xfId="0" applyAlignment="1">
      <alignment horizontal="center"/>
    </xf>
    <xf numFmtId="0" fontId="66" fillId="0" borderId="4" xfId="0" applyFont="1" applyBorder="1" applyAlignment="1">
      <alignment horizontal="center"/>
    </xf>
    <xf numFmtId="0" fontId="0" fillId="0" borderId="4" xfId="0" applyBorder="1" applyAlignment="1">
      <alignment horizontal="center"/>
    </xf>
    <xf numFmtId="164" fontId="0" fillId="0" borderId="4" xfId="0" applyNumberFormat="1" applyBorder="1" applyAlignment="1">
      <alignment horizontal="center"/>
    </xf>
    <xf numFmtId="164" fontId="65" fillId="0" borderId="4" xfId="0" applyNumberFormat="1" applyFont="1" applyBorder="1" applyAlignment="1">
      <alignment horizontal="center"/>
    </xf>
    <xf numFmtId="9" fontId="0" fillId="0" borderId="0" xfId="0" applyNumberFormat="1" applyAlignment="1">
      <alignment horizontal="center"/>
    </xf>
    <xf numFmtId="164" fontId="65" fillId="0" borderId="0" xfId="0" applyNumberFormat="1" applyFont="1" applyAlignment="1">
      <alignment horizontal="center"/>
    </xf>
    <xf numFmtId="164" fontId="65" fillId="13" borderId="0" xfId="0" applyNumberFormat="1" applyFont="1" applyFill="1" applyAlignment="1">
      <alignment horizontal="center"/>
    </xf>
    <xf numFmtId="0" fontId="29" fillId="0" borderId="0" xfId="0" applyFont="1" applyAlignment="1">
      <alignment wrapText="1"/>
    </xf>
    <xf numFmtId="4" fontId="17" fillId="0" borderId="0" xfId="67" applyNumberFormat="1" applyFont="1" applyAlignment="1">
      <alignment horizontal="center"/>
    </xf>
    <xf numFmtId="0" fontId="38" fillId="0" borderId="1" xfId="0" applyFont="1" applyBorder="1" applyAlignment="1" applyProtection="1">
      <alignment horizontal="left" vertical="center" wrapText="1"/>
      <protection hidden="1"/>
    </xf>
    <xf numFmtId="0" fontId="38" fillId="0" borderId="1" xfId="0" applyFont="1" applyBorder="1" applyAlignment="1" applyProtection="1">
      <alignment horizontal="left" vertical="center"/>
      <protection hidden="1"/>
    </xf>
    <xf numFmtId="0" fontId="47" fillId="0" borderId="42" xfId="0" applyFont="1" applyBorder="1" applyAlignment="1" applyProtection="1">
      <alignment horizontal="left" vertical="center" wrapText="1"/>
      <protection hidden="1"/>
    </xf>
    <xf numFmtId="0" fontId="47" fillId="0" borderId="1" xfId="0" applyFont="1" applyBorder="1" applyAlignment="1" applyProtection="1">
      <alignment horizontal="left" vertical="center" wrapText="1"/>
      <protection hidden="1"/>
    </xf>
    <xf numFmtId="0" fontId="37" fillId="0" borderId="0" xfId="1" applyFont="1" applyAlignment="1" applyProtection="1">
      <alignment horizontal="left"/>
      <protection hidden="1"/>
    </xf>
    <xf numFmtId="0" fontId="67" fillId="0" borderId="0" xfId="0" applyFont="1"/>
    <xf numFmtId="164" fontId="38" fillId="0" borderId="0" xfId="65" applyNumberFormat="1" applyFont="1" applyAlignment="1" applyProtection="1">
      <alignment horizontal="left"/>
      <protection hidden="1"/>
    </xf>
    <xf numFmtId="0" fontId="37" fillId="0" borderId="0" xfId="0" applyFont="1" applyAlignment="1" applyProtection="1">
      <alignment horizontal="left"/>
      <protection hidden="1"/>
    </xf>
    <xf numFmtId="164" fontId="37" fillId="13" borderId="0" xfId="1" applyNumberFormat="1" applyFont="1" applyFill="1" applyAlignment="1" applyProtection="1">
      <alignment horizontal="left"/>
      <protection hidden="1"/>
    </xf>
    <xf numFmtId="0" fontId="38" fillId="0" borderId="24" xfId="0" applyFont="1" applyBorder="1" applyAlignment="1" applyProtection="1">
      <alignment vertical="center" wrapText="1"/>
      <protection hidden="1"/>
    </xf>
    <xf numFmtId="0" fontId="29" fillId="0" borderId="0" xfId="0" applyFont="1" applyFill="1"/>
    <xf numFmtId="164" fontId="29" fillId="0" borderId="0" xfId="0" applyNumberFormat="1" applyFont="1" applyFill="1" applyAlignment="1">
      <alignment horizontal="center"/>
    </xf>
    <xf numFmtId="0" fontId="29" fillId="0" borderId="0" xfId="0" applyFont="1" applyAlignment="1">
      <alignment horizontal="left" wrapText="1"/>
    </xf>
    <xf numFmtId="0" fontId="5" fillId="14" borderId="0" xfId="1" applyFont="1" applyFill="1" applyProtection="1">
      <protection hidden="1"/>
    </xf>
    <xf numFmtId="164" fontId="28" fillId="14" borderId="0" xfId="0" applyNumberFormat="1" applyFont="1" applyFill="1" applyAlignment="1">
      <alignment horizontal="center"/>
    </xf>
    <xf numFmtId="0" fontId="29" fillId="0" borderId="0" xfId="0" applyFont="1" applyAlignment="1"/>
    <xf numFmtId="0" fontId="29" fillId="0" borderId="0" xfId="0" applyFont="1" applyAlignment="1">
      <alignment horizontal="left" wrapText="1"/>
    </xf>
    <xf numFmtId="0" fontId="29" fillId="0" borderId="0" xfId="0" applyFont="1" applyAlignment="1">
      <alignment horizontal="left"/>
    </xf>
    <xf numFmtId="0" fontId="38" fillId="0" borderId="42" xfId="0" applyFont="1" applyBorder="1" applyAlignment="1" applyProtection="1">
      <alignment horizontal="left" vertical="center" wrapText="1"/>
      <protection hidden="1"/>
    </xf>
    <xf numFmtId="0" fontId="38" fillId="0" borderId="1" xfId="0" applyFont="1" applyBorder="1" applyAlignment="1" applyProtection="1">
      <alignment horizontal="left" vertical="center" wrapText="1"/>
      <protection hidden="1"/>
    </xf>
    <xf numFmtId="0" fontId="38" fillId="0" borderId="42" xfId="0" applyFont="1" applyBorder="1" applyAlignment="1" applyProtection="1">
      <alignment horizontal="left" vertical="center"/>
      <protection hidden="1"/>
    </xf>
    <xf numFmtId="0" fontId="38" fillId="0" borderId="1" xfId="0" applyFont="1" applyBorder="1" applyAlignment="1" applyProtection="1">
      <alignment horizontal="left" vertical="center"/>
      <protection hidden="1"/>
    </xf>
    <xf numFmtId="0" fontId="47" fillId="0" borderId="42" xfId="0" applyFont="1" applyBorder="1" applyAlignment="1" applyProtection="1">
      <alignment horizontal="left" vertical="center" wrapText="1"/>
      <protection hidden="1"/>
    </xf>
    <xf numFmtId="0" fontId="47" fillId="0" borderId="1" xfId="0" applyFont="1" applyBorder="1" applyAlignment="1" applyProtection="1">
      <alignment horizontal="left" vertical="center" wrapText="1"/>
      <protection hidden="1"/>
    </xf>
    <xf numFmtId="0" fontId="37" fillId="0" borderId="0" xfId="1" applyFont="1" applyAlignment="1" applyProtection="1">
      <alignment horizontal="left"/>
      <protection hidden="1"/>
    </xf>
    <xf numFmtId="0" fontId="37" fillId="0" borderId="36" xfId="0" applyFont="1" applyBorder="1" applyAlignment="1" applyProtection="1">
      <alignment horizontal="left" vertical="center"/>
      <protection hidden="1"/>
    </xf>
    <xf numFmtId="0" fontId="37" fillId="0" borderId="29" xfId="0" applyFont="1" applyBorder="1" applyAlignment="1" applyProtection="1">
      <alignment horizontal="left" vertical="center"/>
      <protection hidden="1"/>
    </xf>
    <xf numFmtId="0" fontId="7" fillId="11" borderId="38" xfId="63" applyFill="1" applyBorder="1" applyAlignment="1">
      <alignment horizontal="center"/>
    </xf>
    <xf numFmtId="172" fontId="52" fillId="9" borderId="35" xfId="63" applyNumberFormat="1" applyFont="1" applyFill="1" applyBorder="1" applyAlignment="1">
      <alignment horizontal="center"/>
    </xf>
    <xf numFmtId="172" fontId="52" fillId="9" borderId="38" xfId="63" applyNumberFormat="1" applyFont="1" applyFill="1" applyBorder="1" applyAlignment="1">
      <alignment horizontal="center"/>
    </xf>
    <xf numFmtId="172" fontId="52" fillId="9" borderId="39" xfId="63" applyNumberFormat="1" applyFont="1" applyFill="1" applyBorder="1" applyAlignment="1">
      <alignment horizontal="center"/>
    </xf>
    <xf numFmtId="0" fontId="52" fillId="9" borderId="60" xfId="63" applyFont="1" applyFill="1" applyBorder="1" applyAlignment="1">
      <alignment horizontal="center"/>
    </xf>
    <xf numFmtId="0" fontId="52" fillId="9" borderId="50" xfId="63" applyFont="1" applyFill="1" applyBorder="1" applyAlignment="1">
      <alignment horizontal="center"/>
    </xf>
    <xf numFmtId="0" fontId="17" fillId="0" borderId="0" xfId="67" applyFont="1" applyAlignment="1">
      <alignment horizontal="center" wrapText="1"/>
    </xf>
    <xf numFmtId="0" fontId="17" fillId="0" borderId="10" xfId="67" applyFont="1" applyBorder="1" applyAlignment="1">
      <alignment horizontal="center" wrapText="1"/>
    </xf>
  </cellXfs>
  <cellStyles count="68">
    <cellStyle name="%" xfId="2" xr:uid="{00000000-0005-0000-0000-000000000000}"/>
    <cellStyle name="% 2" xfId="3" xr:uid="{00000000-0005-0000-0000-000001000000}"/>
    <cellStyle name="% 2 2" xfId="4" xr:uid="{00000000-0005-0000-0000-000002000000}"/>
    <cellStyle name="]_x000d__x000a_Zoomed=1_x000d__x000a_Row=0_x000d__x000a_Column=0_x000d__x000a_Height=0_x000d__x000a_Width=0_x000d__x000a_FontName=FoxFont_x000d__x000a_FontStyle=0_x000d__x000a_FontSize=9_x000d__x000a_PrtFontName=FoxPrin" xfId="5" xr:uid="{00000000-0005-0000-0000-000003000000}"/>
    <cellStyle name="0,0_x000d__x000d_NA_x000d__x000d_" xfId="6" xr:uid="{00000000-0005-0000-0000-000004000000}"/>
    <cellStyle name="0,0_x000d__x000d_NA_x000d__x000d_ 2" xfId="7" xr:uid="{00000000-0005-0000-0000-000005000000}"/>
    <cellStyle name="Comma 2" xfId="8" xr:uid="{00000000-0005-0000-0000-000006000000}"/>
    <cellStyle name="Comma 3" xfId="9" xr:uid="{00000000-0005-0000-0000-000007000000}"/>
    <cellStyle name="Comma 3 2" xfId="60" xr:uid="{00000000-0005-0000-0000-000008000000}"/>
    <cellStyle name="Comma 4" xfId="10" xr:uid="{00000000-0005-0000-0000-000009000000}"/>
    <cellStyle name="Comma 5" xfId="61" xr:uid="{00000000-0005-0000-0000-00000A000000}"/>
    <cellStyle name="Currency 2" xfId="11" xr:uid="{00000000-0005-0000-0000-00000B000000}"/>
    <cellStyle name="Estimated" xfId="12" xr:uid="{00000000-0005-0000-0000-00000C000000}"/>
    <cellStyle name="external input" xfId="13" xr:uid="{00000000-0005-0000-0000-00000D000000}"/>
    <cellStyle name="Grant" xfId="14" xr:uid="{00000000-0005-0000-0000-00000E000000}"/>
    <cellStyle name="Header" xfId="15" xr:uid="{00000000-0005-0000-0000-00000F000000}"/>
    <cellStyle name="HeaderGrant" xfId="16" xr:uid="{00000000-0005-0000-0000-000010000000}"/>
    <cellStyle name="HeaderGrant 2" xfId="17" xr:uid="{00000000-0005-0000-0000-000011000000}"/>
    <cellStyle name="HeaderLEA" xfId="18" xr:uid="{00000000-0005-0000-0000-000012000000}"/>
    <cellStyle name="Imported" xfId="19" xr:uid="{00000000-0005-0000-0000-000013000000}"/>
    <cellStyle name="LEAName" xfId="20" xr:uid="{00000000-0005-0000-0000-000014000000}"/>
    <cellStyle name="LEAName 2" xfId="21" xr:uid="{00000000-0005-0000-0000-000015000000}"/>
    <cellStyle name="LEANumber" xfId="22" xr:uid="{00000000-0005-0000-0000-000016000000}"/>
    <cellStyle name="LEANumber 2" xfId="23" xr:uid="{00000000-0005-0000-0000-000017000000}"/>
    <cellStyle name="log projection" xfId="24" xr:uid="{00000000-0005-0000-0000-000018000000}"/>
    <cellStyle name="Normal" xfId="0" builtinId="0"/>
    <cellStyle name="Normal 10" xfId="25" xr:uid="{00000000-0005-0000-0000-00001A000000}"/>
    <cellStyle name="Normal 11" xfId="62" xr:uid="{00000000-0005-0000-0000-00001B000000}"/>
    <cellStyle name="Normal 12" xfId="63" xr:uid="{00000000-0005-0000-0000-00001C000000}"/>
    <cellStyle name="Normal 13" xfId="67" xr:uid="{57124206-1E78-426E-8865-1F8BDC79D0E4}"/>
    <cellStyle name="Normal 2" xfId="26" xr:uid="{00000000-0005-0000-0000-00001D000000}"/>
    <cellStyle name="Normal 2 2" xfId="27" xr:uid="{00000000-0005-0000-0000-00001E000000}"/>
    <cellStyle name="Normal 2 2 2" xfId="28" xr:uid="{00000000-0005-0000-0000-00001F000000}"/>
    <cellStyle name="Normal 2 2 3" xfId="29" xr:uid="{00000000-0005-0000-0000-000020000000}"/>
    <cellStyle name="Normal 2 3" xfId="30" xr:uid="{00000000-0005-0000-0000-000021000000}"/>
    <cellStyle name="Normal 2 4" xfId="64" xr:uid="{00000000-0005-0000-0000-000022000000}"/>
    <cellStyle name="Normal 3" xfId="31" xr:uid="{00000000-0005-0000-0000-000023000000}"/>
    <cellStyle name="Normal 3 2" xfId="32" xr:uid="{00000000-0005-0000-0000-000024000000}"/>
    <cellStyle name="Normal 4" xfId="33" xr:uid="{00000000-0005-0000-0000-000025000000}"/>
    <cellStyle name="Normal 4 2" xfId="34" xr:uid="{00000000-0005-0000-0000-000026000000}"/>
    <cellStyle name="Normal 5" xfId="35" xr:uid="{00000000-0005-0000-0000-000027000000}"/>
    <cellStyle name="Normal 5 2" xfId="36" xr:uid="{00000000-0005-0000-0000-000028000000}"/>
    <cellStyle name="Normal 6" xfId="37" xr:uid="{00000000-0005-0000-0000-000029000000}"/>
    <cellStyle name="Normal 7" xfId="38" xr:uid="{00000000-0005-0000-0000-00002A000000}"/>
    <cellStyle name="Normal 8" xfId="39" xr:uid="{00000000-0005-0000-0000-00002B000000}"/>
    <cellStyle name="Normal 9" xfId="40" xr:uid="{00000000-0005-0000-0000-00002C000000}"/>
    <cellStyle name="Normal_0242 1998-99 ESTIMATE" xfId="1" xr:uid="{00000000-0005-0000-0000-00002D000000}"/>
    <cellStyle name="Normal_Special Schools - Band Descriptors" xfId="41" xr:uid="{00000000-0005-0000-0000-00002E000000}"/>
    <cellStyle name="Number" xfId="42" xr:uid="{00000000-0005-0000-0000-00002F000000}"/>
    <cellStyle name="Number 2" xfId="43" xr:uid="{00000000-0005-0000-0000-000030000000}"/>
    <cellStyle name="Percent" xfId="66" builtinId="5"/>
    <cellStyle name="Percent 2" xfId="65" xr:uid="{00000000-0005-0000-0000-000031000000}"/>
    <cellStyle name="provisional PN158/97" xfId="44" xr:uid="{00000000-0005-0000-0000-000032000000}"/>
    <cellStyle name="SAPBEXaggData" xfId="45" xr:uid="{00000000-0005-0000-0000-000033000000}"/>
    <cellStyle name="SAPBEXchaText" xfId="46" xr:uid="{00000000-0005-0000-0000-000034000000}"/>
    <cellStyle name="SAPBEXHLevel0" xfId="47" xr:uid="{00000000-0005-0000-0000-000035000000}"/>
    <cellStyle name="SAPBEXHLevel2" xfId="48" xr:uid="{00000000-0005-0000-0000-000036000000}"/>
    <cellStyle name="SAPBEXHLevel3" xfId="49" xr:uid="{00000000-0005-0000-0000-000037000000}"/>
    <cellStyle name="SAPBEXstdItem" xfId="50" xr:uid="{00000000-0005-0000-0000-000038000000}"/>
    <cellStyle name="SAPBEXstdItemX" xfId="51" xr:uid="{00000000-0005-0000-0000-000039000000}"/>
    <cellStyle name="SAPBEXtitle" xfId="52" xr:uid="{00000000-0005-0000-0000-00003A000000}"/>
    <cellStyle name="Style 1" xfId="53" xr:uid="{00000000-0005-0000-0000-00003B000000}"/>
    <cellStyle name="sub" xfId="54" xr:uid="{00000000-0005-0000-0000-00003C000000}"/>
    <cellStyle name="table imported" xfId="55" xr:uid="{00000000-0005-0000-0000-00003D000000}"/>
    <cellStyle name="table sum" xfId="56" xr:uid="{00000000-0005-0000-0000-00003E000000}"/>
    <cellStyle name="table values" xfId="57" xr:uid="{00000000-0005-0000-0000-00003F000000}"/>
    <cellStyle name="u5shares" xfId="58" xr:uid="{00000000-0005-0000-0000-000040000000}"/>
    <cellStyle name="Variable assumptions" xfId="59" xr:uid="{00000000-0005-0000-0000-000041000000}"/>
  </cellStyles>
  <dxfs count="4">
    <dxf>
      <fill>
        <patternFill>
          <bgColor theme="6" tint="0.39994506668294322"/>
        </patternFill>
      </fill>
    </dxf>
    <dxf>
      <fill>
        <patternFill>
          <bgColor theme="6" tint="0.39994506668294322"/>
        </patternFill>
      </fill>
    </dxf>
    <dxf>
      <fill>
        <patternFill>
          <bgColor theme="6" tint="0.59996337778862885"/>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1703295</xdr:colOff>
      <xdr:row>9</xdr:row>
      <xdr:rowOff>1</xdr:rowOff>
    </xdr:from>
    <xdr:to>
      <xdr:col>4</xdr:col>
      <xdr:colOff>1</xdr:colOff>
      <xdr:row>14</xdr:row>
      <xdr:rowOff>145677</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8304120" y="1790701"/>
          <a:ext cx="468406" cy="1098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11</xdr:row>
      <xdr:rowOff>0</xdr:rowOff>
    </xdr:from>
    <xdr:to>
      <xdr:col>1</xdr:col>
      <xdr:colOff>1176618</xdr:colOff>
      <xdr:row>14</xdr:row>
      <xdr:rowOff>0</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5090273" y="2171700"/>
          <a:ext cx="324970" cy="57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xdr:col>
      <xdr:colOff>1703295</xdr:colOff>
      <xdr:row>7</xdr:row>
      <xdr:rowOff>1</xdr:rowOff>
    </xdr:from>
    <xdr:to>
      <xdr:col>4</xdr:col>
      <xdr:colOff>1</xdr:colOff>
      <xdr:row>11</xdr:row>
      <xdr:rowOff>145677</xdr:rowOff>
    </xdr:to>
    <xdr:sp macro="" textlink="">
      <xdr:nvSpPr>
        <xdr:cNvPr id="6" name="Right Brace 5">
          <a:extLst>
            <a:ext uri="{FF2B5EF4-FFF2-40B4-BE49-F238E27FC236}">
              <a16:creationId xmlns:a16="http://schemas.microsoft.com/office/drawing/2014/main" id="{A63E75D7-0A24-4112-9432-0637F81414C3}"/>
            </a:ext>
          </a:extLst>
        </xdr:cNvPr>
        <xdr:cNvSpPr/>
      </xdr:nvSpPr>
      <xdr:spPr>
        <a:xfrm>
          <a:off x="8621620" y="1400176"/>
          <a:ext cx="1284381" cy="942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9</xdr:row>
      <xdr:rowOff>0</xdr:rowOff>
    </xdr:from>
    <xdr:to>
      <xdr:col>1</xdr:col>
      <xdr:colOff>1176618</xdr:colOff>
      <xdr:row>11</xdr:row>
      <xdr:rowOff>0</xdr:rowOff>
    </xdr:to>
    <xdr:sp macro="" textlink="">
      <xdr:nvSpPr>
        <xdr:cNvPr id="7" name="Right Brace 6">
          <a:extLst>
            <a:ext uri="{FF2B5EF4-FFF2-40B4-BE49-F238E27FC236}">
              <a16:creationId xmlns:a16="http://schemas.microsoft.com/office/drawing/2014/main" id="{E88BEC88-59E7-42F6-A422-F3E87140BCB7}"/>
            </a:ext>
          </a:extLst>
        </xdr:cNvPr>
        <xdr:cNvSpPr/>
      </xdr:nvSpPr>
      <xdr:spPr>
        <a:xfrm>
          <a:off x="5287123" y="1800225"/>
          <a:ext cx="32497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xdr:col>
      <xdr:colOff>1703295</xdr:colOff>
      <xdr:row>7</xdr:row>
      <xdr:rowOff>1</xdr:rowOff>
    </xdr:from>
    <xdr:to>
      <xdr:col>4</xdr:col>
      <xdr:colOff>1</xdr:colOff>
      <xdr:row>11</xdr:row>
      <xdr:rowOff>145677</xdr:rowOff>
    </xdr:to>
    <xdr:sp macro="" textlink="">
      <xdr:nvSpPr>
        <xdr:cNvPr id="4" name="Right Brace 3">
          <a:extLst>
            <a:ext uri="{FF2B5EF4-FFF2-40B4-BE49-F238E27FC236}">
              <a16:creationId xmlns:a16="http://schemas.microsoft.com/office/drawing/2014/main" id="{B385875F-D97E-441D-A57B-7C9322E84366}"/>
            </a:ext>
          </a:extLst>
        </xdr:cNvPr>
        <xdr:cNvSpPr/>
      </xdr:nvSpPr>
      <xdr:spPr>
        <a:xfrm>
          <a:off x="8621620" y="1400176"/>
          <a:ext cx="1284381" cy="942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9</xdr:row>
      <xdr:rowOff>0</xdr:rowOff>
    </xdr:from>
    <xdr:to>
      <xdr:col>1</xdr:col>
      <xdr:colOff>1176618</xdr:colOff>
      <xdr:row>11</xdr:row>
      <xdr:rowOff>0</xdr:rowOff>
    </xdr:to>
    <xdr:sp macro="" textlink="">
      <xdr:nvSpPr>
        <xdr:cNvPr id="5" name="Right Brace 4">
          <a:extLst>
            <a:ext uri="{FF2B5EF4-FFF2-40B4-BE49-F238E27FC236}">
              <a16:creationId xmlns:a16="http://schemas.microsoft.com/office/drawing/2014/main" id="{8F894BA2-383F-4C09-AD79-5CAB898B87DA}"/>
            </a:ext>
          </a:extLst>
        </xdr:cNvPr>
        <xdr:cNvSpPr/>
      </xdr:nvSpPr>
      <xdr:spPr>
        <a:xfrm>
          <a:off x="5287123" y="1800225"/>
          <a:ext cx="32497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087E-72B5-4BF6-8AAC-C9A4EF803F80}">
  <dimension ref="A2:G83"/>
  <sheetViews>
    <sheetView topLeftCell="A20" workbookViewId="0">
      <selection activeCell="B48" sqref="B48"/>
    </sheetView>
  </sheetViews>
  <sheetFormatPr defaultColWidth="9.1796875" defaultRowHeight="14" x14ac:dyDescent="0.3"/>
  <cols>
    <col min="1" max="1" width="53.453125" style="9" customWidth="1"/>
    <col min="2" max="2" width="46.453125" style="9" customWidth="1"/>
    <col min="3" max="3" width="6.54296875" style="9" customWidth="1"/>
    <col min="4" max="4" width="46.453125" style="10" customWidth="1"/>
    <col min="5" max="5" width="11.81640625" style="9" customWidth="1"/>
    <col min="6" max="6" width="9.1796875" style="9"/>
    <col min="7" max="7" width="12.453125" style="9" bestFit="1" customWidth="1"/>
    <col min="8" max="16384" width="9.1796875" style="9"/>
  </cols>
  <sheetData>
    <row r="2" spans="1:7" x14ac:dyDescent="0.3">
      <c r="A2" s="8" t="s">
        <v>0</v>
      </c>
      <c r="B2" s="10">
        <v>9257012</v>
      </c>
    </row>
    <row r="4" spans="1:7" x14ac:dyDescent="0.3">
      <c r="A4" s="1" t="s">
        <v>1</v>
      </c>
      <c r="B4" s="2" t="s">
        <v>2</v>
      </c>
      <c r="D4" s="2"/>
    </row>
    <row r="5" spans="1:7" x14ac:dyDescent="0.3">
      <c r="A5" s="9" t="s">
        <v>3</v>
      </c>
      <c r="B5" s="10">
        <v>80</v>
      </c>
    </row>
    <row r="6" spans="1:7" x14ac:dyDescent="0.3">
      <c r="A6" s="9" t="s">
        <v>4</v>
      </c>
      <c r="B6" s="10">
        <f>B5*C6</f>
        <v>8</v>
      </c>
      <c r="C6" s="215">
        <v>0.1</v>
      </c>
      <c r="D6" s="9"/>
    </row>
    <row r="7" spans="1:7" x14ac:dyDescent="0.3">
      <c r="A7" s="9" t="s">
        <v>5</v>
      </c>
      <c r="B7" s="10">
        <f>B5*C7</f>
        <v>72</v>
      </c>
      <c r="C7" s="215">
        <v>0.9</v>
      </c>
      <c r="D7" s="10" t="s">
        <v>6</v>
      </c>
    </row>
    <row r="8" spans="1:7" ht="28" x14ac:dyDescent="0.3">
      <c r="A8" s="9" t="s">
        <v>7</v>
      </c>
      <c r="B8" s="11">
        <f>'2122 Band Values'!N29</f>
        <v>9279.875359714546</v>
      </c>
      <c r="D8" s="20" t="s">
        <v>8</v>
      </c>
      <c r="G8" s="88" t="s">
        <v>9</v>
      </c>
    </row>
    <row r="9" spans="1:7" ht="28" x14ac:dyDescent="0.3">
      <c r="A9" s="9" t="s">
        <v>10</v>
      </c>
      <c r="B9" s="11">
        <f>'2122 Band Values'!N26</f>
        <v>11749.273926854283</v>
      </c>
      <c r="D9" s="20" t="s">
        <v>11</v>
      </c>
    </row>
    <row r="10" spans="1:7" x14ac:dyDescent="0.3">
      <c r="B10" s="11"/>
      <c r="D10" s="20"/>
    </row>
    <row r="11" spans="1:7" x14ac:dyDescent="0.3">
      <c r="A11" s="19" t="s">
        <v>12</v>
      </c>
      <c r="B11" s="11"/>
      <c r="D11" s="20"/>
    </row>
    <row r="12" spans="1:7" x14ac:dyDescent="0.3">
      <c r="A12" s="9" t="s">
        <v>13</v>
      </c>
      <c r="B12" s="11">
        <f>(B6*B8)+(B7*B9)</f>
        <v>920186.72561122465</v>
      </c>
      <c r="D12" s="20"/>
    </row>
    <row r="13" spans="1:7" x14ac:dyDescent="0.3">
      <c r="A13" s="9" t="s">
        <v>14</v>
      </c>
      <c r="B13" s="11">
        <f>('TEACHING ASSISTANT 2023-24'!L31+490)*6</f>
        <v>181128.44541484717</v>
      </c>
      <c r="D13" s="20" t="s">
        <v>15</v>
      </c>
      <c r="E13" s="11"/>
      <c r="F13" s="11"/>
    </row>
    <row r="14" spans="1:7" x14ac:dyDescent="0.3">
      <c r="A14" s="35" t="s">
        <v>16</v>
      </c>
      <c r="B14" s="36">
        <f>SUM(B12:B13)</f>
        <v>1101315.1710260718</v>
      </c>
      <c r="C14" s="11"/>
      <c r="D14" s="11"/>
    </row>
    <row r="15" spans="1:7" x14ac:dyDescent="0.3">
      <c r="A15" s="3"/>
      <c r="B15" s="11"/>
      <c r="C15" s="11"/>
      <c r="D15" s="11"/>
    </row>
    <row r="16" spans="1:7" ht="14.5" x14ac:dyDescent="0.35">
      <c r="A16" s="21" t="s">
        <v>17</v>
      </c>
      <c r="B16" s="22"/>
      <c r="C16" s="11"/>
      <c r="D16" s="11"/>
    </row>
    <row r="17" spans="1:5" ht="14.5" x14ac:dyDescent="0.35">
      <c r="A17" s="23" t="s">
        <v>18</v>
      </c>
      <c r="B17" s="24">
        <f>(B6*'2122 Band Values'!Q29)+('Pilgrim Formula - 2021'!B7*'2122 Band Values'!Q26)</f>
        <v>55036.721349999978</v>
      </c>
      <c r="C17" s="11"/>
      <c r="D17" s="11"/>
    </row>
    <row r="18" spans="1:5" ht="14.5" x14ac:dyDescent="0.35">
      <c r="A18" s="25" t="s">
        <v>19</v>
      </c>
      <c r="B18" s="217">
        <f>(B6*'2122 Band Values'!R29)+('Pilgrim Formula - 2021'!B7*'2122 Band Values'!R26)</f>
        <v>13386.261244541496</v>
      </c>
      <c r="C18" s="11"/>
      <c r="D18" s="11"/>
    </row>
    <row r="19" spans="1:5" ht="14.5" x14ac:dyDescent="0.35">
      <c r="A19" s="7"/>
      <c r="B19" s="18"/>
      <c r="C19" s="11"/>
      <c r="D19" s="11"/>
    </row>
    <row r="20" spans="1:5" x14ac:dyDescent="0.3">
      <c r="A20" s="35" t="s">
        <v>20</v>
      </c>
      <c r="B20" s="36">
        <f>28*191*2.35</f>
        <v>12567.800000000001</v>
      </c>
      <c r="C20" s="11"/>
      <c r="D20" s="11" t="s">
        <v>21</v>
      </c>
    </row>
    <row r="21" spans="1:5" x14ac:dyDescent="0.3">
      <c r="A21" s="3" t="s">
        <v>22</v>
      </c>
      <c r="B21" s="11">
        <f>B14-B17-B18</f>
        <v>1032892.1884315303</v>
      </c>
      <c r="C21" s="11"/>
      <c r="D21" s="11" t="s">
        <v>23</v>
      </c>
      <c r="E21" s="15"/>
    </row>
    <row r="22" spans="1:5" x14ac:dyDescent="0.3">
      <c r="A22" s="3"/>
      <c r="B22" s="11"/>
      <c r="C22" s="11"/>
      <c r="D22" s="11"/>
    </row>
    <row r="23" spans="1:5" x14ac:dyDescent="0.3">
      <c r="A23" s="3" t="s">
        <v>24</v>
      </c>
      <c r="B23" s="4" t="s">
        <v>25</v>
      </c>
      <c r="C23" s="4"/>
      <c r="D23" s="4" t="s">
        <v>26</v>
      </c>
    </row>
    <row r="24" spans="1:5" x14ac:dyDescent="0.3">
      <c r="A24" s="1"/>
      <c r="B24" s="2"/>
    </row>
    <row r="25" spans="1:5" x14ac:dyDescent="0.3">
      <c r="A25" s="35" t="s">
        <v>27</v>
      </c>
      <c r="B25" s="37">
        <v>390000</v>
      </c>
      <c r="D25" s="12"/>
    </row>
    <row r="26" spans="1:5" x14ac:dyDescent="0.3">
      <c r="A26" s="35" t="s">
        <v>28</v>
      </c>
      <c r="B26" s="37">
        <v>115000</v>
      </c>
      <c r="D26" s="12"/>
    </row>
    <row r="28" spans="1:5" x14ac:dyDescent="0.3">
      <c r="A28" s="5" t="s">
        <v>29</v>
      </c>
      <c r="B28" s="13">
        <f>B14+B20+B25+B26</f>
        <v>1618882.9710260718</v>
      </c>
      <c r="D28" s="11" t="s">
        <v>30</v>
      </c>
    </row>
    <row r="29" spans="1:5" x14ac:dyDescent="0.3">
      <c r="A29" s="5"/>
      <c r="B29" s="13"/>
      <c r="D29" s="13"/>
    </row>
    <row r="30" spans="1:5" ht="14.5" x14ac:dyDescent="0.35">
      <c r="A30" s="7" t="s">
        <v>31</v>
      </c>
      <c r="B30" s="18">
        <v>1443045</v>
      </c>
      <c r="D30" s="11" t="s">
        <v>32</v>
      </c>
    </row>
    <row r="31" spans="1:5" ht="14.5" x14ac:dyDescent="0.35">
      <c r="A31" s="7" t="s">
        <v>33</v>
      </c>
      <c r="B31" s="18">
        <f>B30+B47</f>
        <v>1491302</v>
      </c>
      <c r="D31" s="11"/>
    </row>
    <row r="32" spans="1:5" x14ac:dyDescent="0.3">
      <c r="A32" s="5"/>
      <c r="B32" s="13"/>
      <c r="D32" s="13"/>
    </row>
    <row r="33" spans="1:7" x14ac:dyDescent="0.3">
      <c r="A33" s="5" t="s">
        <v>34</v>
      </c>
      <c r="B33" s="13">
        <v>10000</v>
      </c>
      <c r="D33" s="13"/>
    </row>
    <row r="34" spans="1:7" x14ac:dyDescent="0.3">
      <c r="A34" s="5" t="s">
        <v>35</v>
      </c>
      <c r="B34" s="13">
        <f>(B28-(B5*B33))/B5</f>
        <v>10236.037137825897</v>
      </c>
      <c r="D34" s="13"/>
    </row>
    <row r="35" spans="1:7" x14ac:dyDescent="0.3">
      <c r="A35" s="3" t="s">
        <v>36</v>
      </c>
      <c r="B35" s="11">
        <f>SUM(B33:B34)</f>
        <v>20236.037137825897</v>
      </c>
      <c r="C35" s="11"/>
      <c r="D35" s="11"/>
    </row>
    <row r="36" spans="1:7" x14ac:dyDescent="0.3">
      <c r="G36" s="14"/>
    </row>
    <row r="37" spans="1:7" x14ac:dyDescent="0.3">
      <c r="A37" s="1" t="s">
        <v>37</v>
      </c>
    </row>
    <row r="38" spans="1:7" x14ac:dyDescent="0.3">
      <c r="A38" s="3" t="s">
        <v>38</v>
      </c>
      <c r="B38" s="11">
        <f>141225+54450</f>
        <v>195675</v>
      </c>
    </row>
    <row r="39" spans="1:7" x14ac:dyDescent="0.3">
      <c r="A39" s="3" t="s">
        <v>39</v>
      </c>
      <c r="B39" s="11">
        <v>120000</v>
      </c>
    </row>
    <row r="40" spans="1:7" x14ac:dyDescent="0.3">
      <c r="A40" s="6" t="s">
        <v>40</v>
      </c>
      <c r="B40" s="41">
        <v>122000</v>
      </c>
      <c r="C40" s="15"/>
      <c r="D40" s="11"/>
    </row>
    <row r="41" spans="1:7" ht="14.5" x14ac:dyDescent="0.35">
      <c r="A41" s="6" t="s">
        <v>41</v>
      </c>
      <c r="B41" s="42">
        <v>200000</v>
      </c>
      <c r="C41" s="11"/>
      <c r="D41" s="11" t="s">
        <v>42</v>
      </c>
      <c r="G41" s="15"/>
    </row>
    <row r="42" spans="1:7" x14ac:dyDescent="0.3">
      <c r="B42" s="16">
        <f>SUM(B38:B41)</f>
        <v>637675</v>
      </c>
      <c r="C42" s="11"/>
      <c r="D42" s="16"/>
    </row>
    <row r="43" spans="1:7" x14ac:dyDescent="0.3">
      <c r="B43" s="13"/>
      <c r="C43" s="11"/>
      <c r="D43" s="13"/>
      <c r="G43" s="15"/>
    </row>
    <row r="44" spans="1:7" x14ac:dyDescent="0.3">
      <c r="A44" s="8" t="s">
        <v>43</v>
      </c>
      <c r="B44" s="13">
        <f>B28+B42</f>
        <v>2256557.9710260718</v>
      </c>
      <c r="C44" s="11"/>
      <c r="D44" s="13"/>
    </row>
    <row r="45" spans="1:7" x14ac:dyDescent="0.3">
      <c r="B45" s="10"/>
    </row>
    <row r="46" spans="1:7" x14ac:dyDescent="0.3">
      <c r="A46" s="1" t="s">
        <v>44</v>
      </c>
      <c r="B46" s="10"/>
    </row>
    <row r="47" spans="1:7" x14ac:dyDescent="0.3">
      <c r="A47" s="3" t="s">
        <v>45</v>
      </c>
      <c r="B47" s="11">
        <f>13002+35255</f>
        <v>48257</v>
      </c>
    </row>
    <row r="48" spans="1:7" x14ac:dyDescent="0.3">
      <c r="A48" s="9" t="s">
        <v>46</v>
      </c>
      <c r="B48" s="11">
        <f>B17+12081</f>
        <v>67117.721349999978</v>
      </c>
      <c r="D48" s="10" t="s">
        <v>47</v>
      </c>
    </row>
    <row r="49" spans="1:6" x14ac:dyDescent="0.3">
      <c r="B49" s="10"/>
    </row>
    <row r="50" spans="1:6" ht="14.5" thickBot="1" x14ac:dyDescent="0.35">
      <c r="A50" s="17"/>
      <c r="B50" s="11"/>
      <c r="C50" s="11"/>
      <c r="D50" s="11"/>
    </row>
    <row r="51" spans="1:6" x14ac:dyDescent="0.3">
      <c r="A51" s="27" t="s">
        <v>48</v>
      </c>
      <c r="B51" s="28" t="s">
        <v>49</v>
      </c>
      <c r="C51" s="11"/>
      <c r="D51" s="11"/>
    </row>
    <row r="52" spans="1:6" ht="14.5" x14ac:dyDescent="0.35">
      <c r="A52" s="29"/>
      <c r="B52" s="30"/>
    </row>
    <row r="53" spans="1:6" x14ac:dyDescent="0.3">
      <c r="A53" s="31" t="s">
        <v>50</v>
      </c>
      <c r="B53" s="32">
        <v>80</v>
      </c>
    </row>
    <row r="54" spans="1:6" x14ac:dyDescent="0.3">
      <c r="A54" s="31" t="s">
        <v>51</v>
      </c>
      <c r="B54" s="32">
        <v>80</v>
      </c>
      <c r="C54" s="13"/>
      <c r="D54" s="13"/>
    </row>
    <row r="55" spans="1:6" x14ac:dyDescent="0.3">
      <c r="A55" s="31"/>
      <c r="B55" s="32"/>
      <c r="C55" s="13"/>
      <c r="D55" s="13"/>
    </row>
    <row r="56" spans="1:6" x14ac:dyDescent="0.3">
      <c r="A56" s="31" t="s">
        <v>52</v>
      </c>
      <c r="B56" s="32">
        <v>0</v>
      </c>
      <c r="C56" s="11"/>
      <c r="D56" s="11"/>
    </row>
    <row r="57" spans="1:6" ht="14.5" thickBot="1" x14ac:dyDescent="0.35">
      <c r="A57" s="33" t="s">
        <v>53</v>
      </c>
      <c r="B57" s="34">
        <v>0</v>
      </c>
      <c r="C57" s="11"/>
      <c r="D57" s="11"/>
      <c r="F57" s="15"/>
    </row>
    <row r="58" spans="1:6" x14ac:dyDescent="0.3">
      <c r="A58" s="3"/>
      <c r="B58" s="11"/>
      <c r="C58" s="11"/>
      <c r="D58" s="11"/>
    </row>
    <row r="59" spans="1:6" x14ac:dyDescent="0.3">
      <c r="A59" s="1"/>
      <c r="B59" s="11"/>
      <c r="C59" s="11"/>
      <c r="D59" s="11"/>
    </row>
    <row r="60" spans="1:6" x14ac:dyDescent="0.3">
      <c r="A60" s="3"/>
      <c r="B60" s="11"/>
      <c r="C60" s="11"/>
      <c r="D60" s="11"/>
    </row>
    <row r="61" spans="1:6" x14ac:dyDescent="0.3">
      <c r="A61" s="3" t="s">
        <v>54</v>
      </c>
      <c r="B61" s="11"/>
      <c r="C61" s="11"/>
      <c r="D61" s="11"/>
    </row>
    <row r="62" spans="1:6" x14ac:dyDescent="0.3">
      <c r="A62" s="3" t="s">
        <v>55</v>
      </c>
      <c r="B62" s="11">
        <v>2234995</v>
      </c>
      <c r="C62" s="11"/>
      <c r="D62" s="13"/>
    </row>
    <row r="63" spans="1:6" x14ac:dyDescent="0.3">
      <c r="A63" s="3" t="s">
        <v>56</v>
      </c>
      <c r="B63" s="11">
        <f>557.86*80</f>
        <v>44628.800000000003</v>
      </c>
      <c r="C63" s="26"/>
      <c r="D63" s="26"/>
    </row>
    <row r="64" spans="1:6" ht="14.5" thickBot="1" x14ac:dyDescent="0.35">
      <c r="A64" s="3"/>
      <c r="B64" s="38">
        <f>SUM(B62:B63)</f>
        <v>2279623.7999999998</v>
      </c>
      <c r="C64" s="11"/>
      <c r="D64" s="13"/>
    </row>
    <row r="65" spans="1:4" x14ac:dyDescent="0.3">
      <c r="A65" s="3"/>
      <c r="B65" s="11"/>
      <c r="C65" s="11"/>
      <c r="D65" s="11"/>
    </row>
    <row r="66" spans="1:4" ht="14.5" x14ac:dyDescent="0.35">
      <c r="A66" s="7"/>
      <c r="B66" s="39">
        <f>B44-B64</f>
        <v>-23065.828973928001</v>
      </c>
      <c r="C66" s="40"/>
      <c r="D66" s="218" t="s">
        <v>57</v>
      </c>
    </row>
    <row r="67" spans="1:4" ht="14.5" x14ac:dyDescent="0.35">
      <c r="A67" s="7"/>
      <c r="B67" s="18"/>
      <c r="C67" s="11"/>
      <c r="D67" s="18"/>
    </row>
    <row r="68" spans="1:4" x14ac:dyDescent="0.3">
      <c r="A68" s="3"/>
      <c r="B68" s="11"/>
      <c r="C68" s="11"/>
      <c r="D68" s="11"/>
    </row>
    <row r="69" spans="1:4" x14ac:dyDescent="0.3">
      <c r="A69" s="3"/>
      <c r="B69" s="216" t="s">
        <v>58</v>
      </c>
      <c r="C69" s="11"/>
      <c r="D69" s="11" t="s">
        <v>59</v>
      </c>
    </row>
    <row r="70" spans="1:4" x14ac:dyDescent="0.3">
      <c r="A70" s="3" t="s">
        <v>60</v>
      </c>
      <c r="B70" s="11">
        <v>2455413</v>
      </c>
      <c r="C70" s="11"/>
      <c r="D70" s="11"/>
    </row>
    <row r="71" spans="1:4" x14ac:dyDescent="0.3">
      <c r="A71" s="9" t="s">
        <v>61</v>
      </c>
      <c r="B71" s="11">
        <v>-20000</v>
      </c>
    </row>
    <row r="72" spans="1:4" x14ac:dyDescent="0.3">
      <c r="B72" s="87">
        <f>SUM(B70:B71)</f>
        <v>2435413</v>
      </c>
    </row>
    <row r="74" spans="1:4" x14ac:dyDescent="0.3">
      <c r="A74" s="88" t="s">
        <v>62</v>
      </c>
      <c r="B74" s="40">
        <f>B44-B72</f>
        <v>-178855.02897392819</v>
      </c>
    </row>
    <row r="77" spans="1:4" x14ac:dyDescent="0.3">
      <c r="B77" s="216" t="s">
        <v>63</v>
      </c>
    </row>
    <row r="78" spans="1:4" x14ac:dyDescent="0.3">
      <c r="A78" s="3" t="s">
        <v>60</v>
      </c>
      <c r="B78" s="11">
        <v>2350286</v>
      </c>
      <c r="D78" s="10" t="s">
        <v>64</v>
      </c>
    </row>
    <row r="79" spans="1:4" x14ac:dyDescent="0.3">
      <c r="A79" s="9" t="s">
        <v>61</v>
      </c>
      <c r="B79" s="11">
        <v>-20000</v>
      </c>
    </row>
    <row r="80" spans="1:4" x14ac:dyDescent="0.3">
      <c r="A80" s="9" t="s">
        <v>65</v>
      </c>
      <c r="B80" s="11">
        <v>17330</v>
      </c>
    </row>
    <row r="81" spans="1:2" x14ac:dyDescent="0.3">
      <c r="B81" s="87">
        <f>SUM(B78:B80)</f>
        <v>2347616</v>
      </c>
    </row>
    <row r="83" spans="1:2" x14ac:dyDescent="0.3">
      <c r="A83" s="88" t="s">
        <v>62</v>
      </c>
      <c r="B83" s="40">
        <f>B44-B81</f>
        <v>-91058.028973928187</v>
      </c>
    </row>
  </sheetData>
  <conditionalFormatting sqref="B48">
    <cfRule type="cellIs" dxfId="3" priority="1" operator="greaterThan">
      <formula>$B$47</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G92"/>
  <sheetViews>
    <sheetView tabSelected="1" zoomScaleNormal="100" workbookViewId="0">
      <selection activeCell="A2" sqref="A2"/>
    </sheetView>
  </sheetViews>
  <sheetFormatPr defaultColWidth="9.1796875" defaultRowHeight="14" x14ac:dyDescent="0.3"/>
  <cols>
    <col min="1" max="1" width="66" style="9" customWidth="1"/>
    <col min="2" max="2" width="46.453125" style="9" customWidth="1"/>
    <col min="3" max="3" width="6.54296875" style="9" customWidth="1"/>
    <col min="4" max="4" width="52.7265625" style="10" customWidth="1"/>
    <col min="5" max="5" width="11.81640625" style="9" customWidth="1"/>
    <col min="6" max="6" width="9.1796875" style="9"/>
    <col min="7" max="7" width="12.453125" style="9" bestFit="1" customWidth="1"/>
    <col min="8" max="16384" width="9.1796875" style="9"/>
  </cols>
  <sheetData>
    <row r="2" spans="1:7" x14ac:dyDescent="0.3">
      <c r="A2" s="8" t="s">
        <v>0</v>
      </c>
      <c r="B2" s="10">
        <v>9257012</v>
      </c>
    </row>
    <row r="4" spans="1:7" x14ac:dyDescent="0.3">
      <c r="A4" s="1" t="s">
        <v>1</v>
      </c>
      <c r="B4" s="2" t="s">
        <v>66</v>
      </c>
      <c r="D4" s="2"/>
    </row>
    <row r="5" spans="1:7" x14ac:dyDescent="0.3">
      <c r="A5" s="9" t="s">
        <v>3</v>
      </c>
      <c r="B5" s="10">
        <v>80</v>
      </c>
    </row>
    <row r="6" spans="1:7" x14ac:dyDescent="0.3">
      <c r="A6" s="9" t="s">
        <v>4</v>
      </c>
      <c r="B6" s="10">
        <f>B5*C6</f>
        <v>8</v>
      </c>
      <c r="C6" s="215">
        <v>0.1</v>
      </c>
      <c r="D6" s="9"/>
    </row>
    <row r="7" spans="1:7" x14ac:dyDescent="0.3">
      <c r="A7" s="9" t="s">
        <v>5</v>
      </c>
      <c r="B7" s="10">
        <f>B5*C7</f>
        <v>72</v>
      </c>
      <c r="C7" s="215">
        <v>0.9</v>
      </c>
      <c r="D7" s="10" t="s">
        <v>6</v>
      </c>
    </row>
    <row r="8" spans="1:7" ht="28" x14ac:dyDescent="0.3">
      <c r="A8" s="9" t="s">
        <v>7</v>
      </c>
      <c r="B8" s="11">
        <v>9790</v>
      </c>
      <c r="D8" s="20" t="s">
        <v>8</v>
      </c>
      <c r="G8" s="88"/>
    </row>
    <row r="9" spans="1:7" ht="28" x14ac:dyDescent="0.3">
      <c r="A9" s="9" t="s">
        <v>10</v>
      </c>
      <c r="B9" s="11">
        <v>12431</v>
      </c>
      <c r="D9" s="20" t="s">
        <v>11</v>
      </c>
      <c r="E9" s="366"/>
    </row>
    <row r="10" spans="1:7" x14ac:dyDescent="0.3">
      <c r="B10" s="11"/>
      <c r="D10" s="20"/>
    </row>
    <row r="11" spans="1:7" x14ac:dyDescent="0.3">
      <c r="A11" s="19" t="s">
        <v>12</v>
      </c>
      <c r="B11" s="11"/>
      <c r="D11" s="20"/>
    </row>
    <row r="12" spans="1:7" x14ac:dyDescent="0.3">
      <c r="A12" s="9" t="s">
        <v>13</v>
      </c>
      <c r="B12" s="11">
        <f>(B6*B8)+(B7*B9)</f>
        <v>973352</v>
      </c>
      <c r="D12" s="20"/>
      <c r="F12" s="270"/>
    </row>
    <row r="13" spans="1:7" x14ac:dyDescent="0.3">
      <c r="A13" s="9" t="s">
        <v>14</v>
      </c>
      <c r="B13" s="367">
        <f>(('TEACHING ASSISTANT 2023-24'!L42+490)*6)*1.03</f>
        <v>191782.1831528387</v>
      </c>
      <c r="D13" s="20" t="s">
        <v>15</v>
      </c>
      <c r="E13" s="11"/>
      <c r="F13" s="11"/>
    </row>
    <row r="14" spans="1:7" x14ac:dyDescent="0.3">
      <c r="A14" s="35" t="s">
        <v>16</v>
      </c>
      <c r="B14" s="36">
        <f>SUM(B12:B13)</f>
        <v>1165134.1831528386</v>
      </c>
      <c r="C14" s="11"/>
      <c r="D14" s="11"/>
    </row>
    <row r="15" spans="1:7" x14ac:dyDescent="0.3">
      <c r="A15" s="35" t="s">
        <v>20</v>
      </c>
      <c r="B15" s="36">
        <f>28*190*2.53</f>
        <v>13459.599999999999</v>
      </c>
      <c r="C15" s="11"/>
      <c r="D15" s="11" t="s">
        <v>67</v>
      </c>
    </row>
    <row r="16" spans="1:7" x14ac:dyDescent="0.3">
      <c r="A16" s="3"/>
      <c r="B16" s="11"/>
      <c r="C16" s="11"/>
      <c r="D16" s="11"/>
    </row>
    <row r="17" spans="1:7" x14ac:dyDescent="0.3">
      <c r="A17" s="3" t="s">
        <v>24</v>
      </c>
      <c r="B17" s="4" t="s">
        <v>25</v>
      </c>
      <c r="C17" s="4"/>
      <c r="D17" s="4" t="s">
        <v>68</v>
      </c>
    </row>
    <row r="18" spans="1:7" x14ac:dyDescent="0.3">
      <c r="A18" s="1"/>
      <c r="B18" s="2"/>
    </row>
    <row r="19" spans="1:7" ht="28" x14ac:dyDescent="0.3">
      <c r="A19" s="35" t="s">
        <v>27</v>
      </c>
      <c r="B19" s="37">
        <f>SUM('Special Funding Summary'!B59-(20500*1.03))</f>
        <v>417603.2</v>
      </c>
      <c r="C19" s="10"/>
      <c r="D19" s="261" t="s">
        <v>327</v>
      </c>
      <c r="F19" s="269"/>
    </row>
    <row r="20" spans="1:7" x14ac:dyDescent="0.3">
      <c r="A20" s="35" t="s">
        <v>28</v>
      </c>
      <c r="B20" s="37">
        <f>'Special Funding Summary'!D59</f>
        <v>122003.5</v>
      </c>
      <c r="D20" s="12"/>
    </row>
    <row r="22" spans="1:7" x14ac:dyDescent="0.3">
      <c r="A22" s="5" t="s">
        <v>69</v>
      </c>
      <c r="B22" s="13">
        <f>B14+B15+B19+B20</f>
        <v>1718200.4831528387</v>
      </c>
      <c r="D22" s="11"/>
    </row>
    <row r="23" spans="1:7" x14ac:dyDescent="0.3">
      <c r="A23" s="5"/>
      <c r="B23" s="13"/>
      <c r="D23" s="13"/>
    </row>
    <row r="24" spans="1:7" x14ac:dyDescent="0.3">
      <c r="A24" s="1" t="s">
        <v>37</v>
      </c>
    </row>
    <row r="25" spans="1:7" x14ac:dyDescent="0.3">
      <c r="D25" s="260"/>
    </row>
    <row r="26" spans="1:7" x14ac:dyDescent="0.3">
      <c r="A26" s="3" t="s">
        <v>38</v>
      </c>
      <c r="B26" s="11">
        <f>ROUND(((144556+56084)*1.03),-1)</f>
        <v>206660</v>
      </c>
      <c r="D26" s="11" t="s">
        <v>70</v>
      </c>
    </row>
    <row r="27" spans="1:7" x14ac:dyDescent="0.3">
      <c r="A27" s="3" t="s">
        <v>39</v>
      </c>
      <c r="B27" s="11">
        <f>ROUND(('ASD Unit'!D22),-1)</f>
        <v>68750</v>
      </c>
      <c r="D27" s="11" t="s">
        <v>329</v>
      </c>
    </row>
    <row r="28" spans="1:7" x14ac:dyDescent="0.3">
      <c r="A28" s="6" t="s">
        <v>40</v>
      </c>
      <c r="B28" s="41">
        <f>ROUND(124440,-1)</f>
        <v>124440</v>
      </c>
      <c r="C28" s="15"/>
      <c r="D28" s="11" t="s">
        <v>328</v>
      </c>
    </row>
    <row r="29" spans="1:7" ht="14.5" x14ac:dyDescent="0.35">
      <c r="A29" s="6" t="s">
        <v>71</v>
      </c>
      <c r="B29" s="42">
        <v>400000</v>
      </c>
      <c r="C29" s="11"/>
      <c r="D29" s="20" t="s">
        <v>322</v>
      </c>
      <c r="G29" s="15"/>
    </row>
    <row r="30" spans="1:7" x14ac:dyDescent="0.3">
      <c r="A30" s="6"/>
      <c r="B30" s="41"/>
      <c r="C30" s="11"/>
      <c r="D30" s="11"/>
      <c r="G30" s="15"/>
    </row>
    <row r="31" spans="1:7" x14ac:dyDescent="0.3">
      <c r="B31" s="16">
        <f>SUM(B26:B30)</f>
        <v>799850</v>
      </c>
      <c r="C31" s="11"/>
      <c r="D31" s="16"/>
    </row>
    <row r="32" spans="1:7" x14ac:dyDescent="0.3">
      <c r="B32" s="13"/>
      <c r="C32" s="11"/>
      <c r="D32" s="13"/>
      <c r="G32" s="15"/>
    </row>
    <row r="33" spans="1:7" x14ac:dyDescent="0.3">
      <c r="A33" s="5" t="s">
        <v>320</v>
      </c>
      <c r="B33" s="13">
        <f>B22+B31</f>
        <v>2518050.4831528384</v>
      </c>
      <c r="C33" s="11"/>
      <c r="D33" s="11" t="s">
        <v>332</v>
      </c>
      <c r="G33" s="15"/>
    </row>
    <row r="34" spans="1:7" x14ac:dyDescent="0.3">
      <c r="B34" s="13"/>
      <c r="C34" s="11"/>
      <c r="D34" s="13"/>
      <c r="G34" s="15"/>
    </row>
    <row r="35" spans="1:7" x14ac:dyDescent="0.3">
      <c r="A35" s="369" t="s">
        <v>298</v>
      </c>
      <c r="B35" s="370">
        <v>65447</v>
      </c>
      <c r="D35" s="13"/>
    </row>
    <row r="36" spans="1:7" x14ac:dyDescent="0.3">
      <c r="A36" s="5"/>
      <c r="B36" s="13"/>
      <c r="D36" s="13"/>
    </row>
    <row r="37" spans="1:7" x14ac:dyDescent="0.3">
      <c r="A37" s="5" t="s">
        <v>330</v>
      </c>
      <c r="B37" s="13">
        <f>B33+B35</f>
        <v>2583497.4831528384</v>
      </c>
      <c r="C37" s="11"/>
      <c r="D37" s="13"/>
    </row>
    <row r="38" spans="1:7" x14ac:dyDescent="0.3">
      <c r="A38" s="8"/>
      <c r="B38" s="13"/>
      <c r="C38" s="11"/>
      <c r="D38" s="13"/>
    </row>
    <row r="39" spans="1:7" x14ac:dyDescent="0.3">
      <c r="A39" s="263"/>
      <c r="B39" s="264"/>
      <c r="C39" s="265"/>
      <c r="D39" s="264"/>
    </row>
    <row r="40" spans="1:7" x14ac:dyDescent="0.3">
      <c r="A40" s="8" t="s">
        <v>72</v>
      </c>
      <c r="B40" s="13"/>
      <c r="C40" s="11"/>
      <c r="D40" s="13"/>
    </row>
    <row r="41" spans="1:7" x14ac:dyDescent="0.3">
      <c r="A41" s="3" t="s">
        <v>34</v>
      </c>
      <c r="B41" s="13">
        <v>10000</v>
      </c>
      <c r="C41" s="11"/>
      <c r="D41" s="13"/>
    </row>
    <row r="42" spans="1:7" x14ac:dyDescent="0.3">
      <c r="A42" s="3" t="s">
        <v>35</v>
      </c>
      <c r="B42" s="13">
        <f>(B22-(B5*B41))/B5</f>
        <v>11477.506039410484</v>
      </c>
      <c r="C42" s="11"/>
      <c r="D42" s="13"/>
    </row>
    <row r="43" spans="1:7" x14ac:dyDescent="0.3">
      <c r="A43" s="3" t="s">
        <v>36</v>
      </c>
      <c r="B43" s="11">
        <f>SUM(B41:B42)</f>
        <v>21477.506039410484</v>
      </c>
      <c r="C43" s="11"/>
    </row>
    <row r="44" spans="1:7" x14ac:dyDescent="0.3">
      <c r="A44" s="8"/>
      <c r="B44" s="13"/>
      <c r="C44" s="11"/>
    </row>
    <row r="45" spans="1:7" x14ac:dyDescent="0.3">
      <c r="A45" s="5" t="s">
        <v>331</v>
      </c>
      <c r="B45" s="10"/>
    </row>
    <row r="46" spans="1:7" ht="28" x14ac:dyDescent="0.3">
      <c r="A46" s="9" t="s">
        <v>46</v>
      </c>
      <c r="B46" s="11">
        <f>'Pilgrim Formula - 2021'!B28-'Pilgrim Formula - 2021'!B48</f>
        <v>1551765.2496760718</v>
      </c>
      <c r="D46" s="368" t="s">
        <v>333</v>
      </c>
    </row>
    <row r="47" spans="1:7" x14ac:dyDescent="0.3">
      <c r="B47" s="11"/>
      <c r="D47" s="368"/>
    </row>
    <row r="48" spans="1:7" ht="28" x14ac:dyDescent="0.3">
      <c r="A48" s="9" t="s">
        <v>73</v>
      </c>
      <c r="B48" s="11">
        <f>B22-'Pilgrim Formula - 2021'!B48</f>
        <v>1651082.7618028386</v>
      </c>
      <c r="D48" s="368" t="s">
        <v>334</v>
      </c>
    </row>
    <row r="49" spans="1:6" ht="28" x14ac:dyDescent="0.3">
      <c r="A49" s="8" t="s">
        <v>319</v>
      </c>
      <c r="B49" s="262">
        <f>(B48-B46)/B46</f>
        <v>6.4002923217606006E-2</v>
      </c>
      <c r="D49" s="368" t="s">
        <v>326</v>
      </c>
    </row>
    <row r="50" spans="1:6" x14ac:dyDescent="0.3">
      <c r="A50" s="8"/>
      <c r="B50" s="262"/>
      <c r="D50" s="261"/>
    </row>
    <row r="51" spans="1:6" ht="14.5" thickBot="1" x14ac:dyDescent="0.35">
      <c r="A51" s="266"/>
      <c r="B51" s="265"/>
      <c r="C51" s="265"/>
      <c r="D51" s="265"/>
    </row>
    <row r="52" spans="1:6" x14ac:dyDescent="0.3">
      <c r="A52" s="27" t="s">
        <v>74</v>
      </c>
      <c r="B52" s="28" t="s">
        <v>49</v>
      </c>
      <c r="C52" s="11"/>
      <c r="D52" s="11"/>
    </row>
    <row r="53" spans="1:6" ht="14.5" x14ac:dyDescent="0.35">
      <c r="A53" s="29"/>
      <c r="B53" s="30"/>
    </row>
    <row r="54" spans="1:6" x14ac:dyDescent="0.3">
      <c r="A54" s="31" t="s">
        <v>75</v>
      </c>
      <c r="B54" s="32">
        <v>80</v>
      </c>
    </row>
    <row r="55" spans="1:6" x14ac:dyDescent="0.3">
      <c r="A55" s="31" t="s">
        <v>76</v>
      </c>
      <c r="B55" s="32">
        <v>80</v>
      </c>
      <c r="C55" s="13"/>
      <c r="D55" s="13"/>
    </row>
    <row r="56" spans="1:6" x14ac:dyDescent="0.3">
      <c r="A56" s="31"/>
      <c r="B56" s="32"/>
      <c r="C56" s="13"/>
      <c r="D56" s="13"/>
    </row>
    <row r="57" spans="1:6" x14ac:dyDescent="0.3">
      <c r="A57" s="31" t="s">
        <v>77</v>
      </c>
      <c r="B57" s="32">
        <v>0</v>
      </c>
      <c r="C57" s="11"/>
      <c r="D57" s="11"/>
    </row>
    <row r="58" spans="1:6" ht="14.5" thickBot="1" x14ac:dyDescent="0.35">
      <c r="A58" s="33" t="s">
        <v>78</v>
      </c>
      <c r="B58" s="34">
        <v>0</v>
      </c>
      <c r="C58" s="11"/>
      <c r="D58" s="11"/>
      <c r="F58" s="15"/>
    </row>
    <row r="59" spans="1:6" x14ac:dyDescent="0.3">
      <c r="A59" s="3"/>
      <c r="B59" s="11"/>
      <c r="C59" s="11"/>
      <c r="D59" s="11"/>
    </row>
    <row r="60" spans="1:6" x14ac:dyDescent="0.3">
      <c r="A60" s="1"/>
      <c r="B60" s="11"/>
      <c r="C60" s="11"/>
      <c r="D60" s="11"/>
    </row>
    <row r="61" spans="1:6" ht="14.25" customHeight="1" x14ac:dyDescent="0.3">
      <c r="A61" s="372" t="s">
        <v>79</v>
      </c>
      <c r="B61" s="372"/>
      <c r="C61" s="372"/>
      <c r="D61" s="11"/>
    </row>
    <row r="62" spans="1:6" x14ac:dyDescent="0.3">
      <c r="A62" s="372"/>
      <c r="B62" s="372"/>
      <c r="C62" s="372"/>
    </row>
    <row r="63" spans="1:6" ht="14.25" customHeight="1" x14ac:dyDescent="0.3">
      <c r="A63" s="372" t="s">
        <v>80</v>
      </c>
      <c r="B63" s="372"/>
      <c r="C63" s="372"/>
    </row>
    <row r="64" spans="1:6" x14ac:dyDescent="0.3">
      <c r="A64" s="372"/>
      <c r="B64" s="372"/>
      <c r="C64" s="372"/>
    </row>
    <row r="65" spans="1:3" x14ac:dyDescent="0.3">
      <c r="A65" s="373" t="s">
        <v>323</v>
      </c>
      <c r="B65" s="373"/>
      <c r="C65" s="373"/>
    </row>
    <row r="66" spans="1:3" x14ac:dyDescent="0.3">
      <c r="A66" s="372" t="s">
        <v>81</v>
      </c>
      <c r="B66" s="372"/>
      <c r="C66" s="372"/>
    </row>
    <row r="67" spans="1:3" x14ac:dyDescent="0.3">
      <c r="A67" s="372"/>
      <c r="B67" s="372"/>
      <c r="C67" s="372"/>
    </row>
    <row r="68" spans="1:3" ht="14.25" customHeight="1" x14ac:dyDescent="0.3">
      <c r="A68" s="372" t="s">
        <v>324</v>
      </c>
      <c r="B68" s="372"/>
      <c r="C68" s="372"/>
    </row>
    <row r="69" spans="1:3" x14ac:dyDescent="0.3">
      <c r="A69" s="372"/>
      <c r="B69" s="372"/>
      <c r="C69" s="372"/>
    </row>
    <row r="70" spans="1:3" x14ac:dyDescent="0.3">
      <c r="A70" s="372"/>
      <c r="B70" s="372"/>
      <c r="C70" s="372"/>
    </row>
    <row r="71" spans="1:3" x14ac:dyDescent="0.3">
      <c r="A71" s="372"/>
      <c r="B71" s="372"/>
      <c r="C71" s="372"/>
    </row>
    <row r="72" spans="1:3" x14ac:dyDescent="0.3">
      <c r="A72" s="372"/>
      <c r="B72" s="372"/>
      <c r="C72" s="372"/>
    </row>
    <row r="73" spans="1:3" x14ac:dyDescent="0.3">
      <c r="A73" s="372" t="s">
        <v>325</v>
      </c>
      <c r="B73" s="372"/>
      <c r="C73" s="372"/>
    </row>
    <row r="74" spans="1:3" x14ac:dyDescent="0.3">
      <c r="A74" s="372"/>
      <c r="B74" s="372"/>
      <c r="C74" s="372"/>
    </row>
    <row r="75" spans="1:3" x14ac:dyDescent="0.3">
      <c r="A75" s="372"/>
      <c r="B75" s="372"/>
      <c r="C75" s="372"/>
    </row>
    <row r="76" spans="1:3" x14ac:dyDescent="0.3">
      <c r="A76" s="372"/>
      <c r="B76" s="372"/>
      <c r="C76" s="372"/>
    </row>
    <row r="77" spans="1:3" x14ac:dyDescent="0.3">
      <c r="A77" s="368"/>
      <c r="B77" s="368"/>
      <c r="C77" s="368"/>
    </row>
    <row r="78" spans="1:3" ht="14.25" customHeight="1" x14ac:dyDescent="0.3">
      <c r="A78" s="372" t="s">
        <v>321</v>
      </c>
      <c r="B78" s="372"/>
      <c r="C78" s="372"/>
    </row>
    <row r="79" spans="1:3" x14ac:dyDescent="0.3">
      <c r="A79" s="371"/>
      <c r="B79" s="371"/>
      <c r="C79" s="371"/>
    </row>
    <row r="80" spans="1:3" x14ac:dyDescent="0.3">
      <c r="A80" s="371"/>
      <c r="B80" s="371"/>
      <c r="C80" s="371"/>
    </row>
    <row r="81" spans="1:3" x14ac:dyDescent="0.3">
      <c r="A81" s="371"/>
      <c r="B81" s="371"/>
      <c r="C81" s="371"/>
    </row>
    <row r="83" spans="1:3" ht="14.25" customHeight="1" x14ac:dyDescent="0.3">
      <c r="A83" s="354"/>
      <c r="B83" s="354"/>
      <c r="C83" s="354"/>
    </row>
    <row r="84" spans="1:3" x14ac:dyDescent="0.3">
      <c r="A84" s="354"/>
      <c r="B84" s="354"/>
      <c r="C84" s="354"/>
    </row>
    <row r="85" spans="1:3" x14ac:dyDescent="0.3">
      <c r="A85" s="354"/>
      <c r="B85" s="354"/>
      <c r="C85" s="354"/>
    </row>
    <row r="86" spans="1:3" x14ac:dyDescent="0.3">
      <c r="A86" s="354"/>
      <c r="B86" s="354"/>
      <c r="C86" s="354"/>
    </row>
    <row r="87" spans="1:3" x14ac:dyDescent="0.3">
      <c r="A87" s="354"/>
      <c r="B87" s="354"/>
      <c r="C87" s="354"/>
    </row>
    <row r="88" spans="1:3" ht="5.15" customHeight="1" x14ac:dyDescent="0.3">
      <c r="A88" s="354"/>
      <c r="B88" s="354"/>
      <c r="C88" s="354"/>
    </row>
    <row r="89" spans="1:3" ht="28" customHeight="1" x14ac:dyDescent="0.3"/>
    <row r="90" spans="1:3" x14ac:dyDescent="0.3">
      <c r="A90" s="354"/>
      <c r="B90" s="354"/>
      <c r="C90" s="354"/>
    </row>
    <row r="91" spans="1:3" x14ac:dyDescent="0.3">
      <c r="A91" s="354"/>
      <c r="B91" s="354"/>
      <c r="C91" s="354"/>
    </row>
    <row r="92" spans="1:3" x14ac:dyDescent="0.3">
      <c r="A92" s="361"/>
      <c r="B92" s="354"/>
      <c r="C92" s="354"/>
    </row>
  </sheetData>
  <sheetProtection algorithmName="SHA-512" hashValue="tced7/MRc7uj/ouWefSLfP1JgRqYExsy7TAXA1mbQzDzkM7Z3BokvnATikUDuKyCy6P8jeSQcFtsdmmHUCx3Hw==" saltValue="7FEaHMj+80koQzVN73S+Vw==" spinCount="100000" sheet="1" objects="1" scenarios="1" selectLockedCells="1" selectUnlockedCells="1"/>
  <mergeCells count="7">
    <mergeCell ref="A63:C64"/>
    <mergeCell ref="A61:C62"/>
    <mergeCell ref="A66:C67"/>
    <mergeCell ref="A78:C78"/>
    <mergeCell ref="A65:C65"/>
    <mergeCell ref="A68:C72"/>
    <mergeCell ref="A73:C76"/>
  </mergeCells>
  <conditionalFormatting sqref="B49:B50">
    <cfRule type="cellIs" dxfId="2" priority="1" operator="greaterThan">
      <formula>0</formula>
    </cfRule>
    <cfRule type="cellIs" dxfId="1" priority="2" operator="greaterThan">
      <formula>0</formula>
    </cfRule>
  </conditionalFormatting>
  <pageMargins left="0.70866141732283472" right="0.70866141732283472" top="0.74803149606299213" bottom="0.74803149606299213" header="0.31496062992125984" footer="0.31496062992125984"/>
  <pageSetup paperSize="9" scale="50" orientation="portrait" r:id="rId1"/>
  <headerFooter>
    <oddHeader>&amp;CLincolnshire County Council</oddHeader>
    <oddFooter>&amp;C2023/24 Pilgrim School Budget Share Calculation
Pilgrim Formula - 2023/24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120"/>
  <sheetViews>
    <sheetView topLeftCell="A28" zoomScale="80" zoomScaleNormal="80" workbookViewId="0">
      <selection activeCell="A19" sqref="A19"/>
    </sheetView>
  </sheetViews>
  <sheetFormatPr defaultColWidth="9.1796875" defaultRowHeight="15.75" customHeight="1" x14ac:dyDescent="0.35"/>
  <cols>
    <col min="1" max="1" width="63.54296875" style="273" customWidth="1"/>
    <col min="2" max="2" width="32.26953125" style="273" customWidth="1"/>
    <col min="3" max="3" width="3.1796875" style="273" bestFit="1" customWidth="1"/>
    <col min="4" max="4" width="42.81640625" style="273" bestFit="1" customWidth="1"/>
    <col min="5" max="5" width="8" style="273" customWidth="1"/>
    <col min="6" max="6" width="63" style="273" bestFit="1" customWidth="1"/>
    <col min="7" max="7" width="41.81640625" style="273" customWidth="1"/>
    <col min="8" max="8" width="4.1796875" style="273" bestFit="1" customWidth="1"/>
    <col min="9" max="9" width="3" style="273" customWidth="1"/>
    <col min="10" max="10" width="19.1796875" style="273" customWidth="1"/>
    <col min="11" max="11" width="10.26953125" style="273" bestFit="1" customWidth="1"/>
    <col min="12" max="16384" width="9.1796875" style="273"/>
  </cols>
  <sheetData>
    <row r="1" spans="1:13" ht="15.75" customHeight="1" x14ac:dyDescent="0.35">
      <c r="A1" s="360" t="s">
        <v>82</v>
      </c>
      <c r="B1" s="360"/>
      <c r="C1" s="360"/>
      <c r="D1" s="43"/>
      <c r="E1" s="360"/>
      <c r="F1" s="43"/>
      <c r="G1" s="360"/>
      <c r="H1" s="43"/>
      <c r="I1" s="43"/>
      <c r="J1" s="43"/>
      <c r="K1" s="43"/>
      <c r="L1" s="43"/>
      <c r="M1" s="43"/>
    </row>
    <row r="2" spans="1:13" ht="15.75" customHeight="1" x14ac:dyDescent="0.35">
      <c r="A2" s="360"/>
      <c r="B2" s="360"/>
      <c r="C2" s="360"/>
      <c r="D2" s="43"/>
      <c r="E2" s="360"/>
      <c r="F2" s="43"/>
      <c r="G2" s="43"/>
      <c r="H2" s="43"/>
      <c r="I2" s="43"/>
      <c r="J2" s="43"/>
      <c r="K2" s="43"/>
      <c r="L2" s="43"/>
      <c r="M2" s="43"/>
    </row>
    <row r="3" spans="1:13" ht="15.75" customHeight="1" x14ac:dyDescent="0.35">
      <c r="A3" s="274" t="s">
        <v>83</v>
      </c>
      <c r="B3" s="45"/>
      <c r="C3" s="43"/>
      <c r="D3" s="360" t="e">
        <v>#N/A</v>
      </c>
      <c r="E3" s="275"/>
      <c r="F3" s="360"/>
      <c r="G3" s="44"/>
      <c r="H3" s="43"/>
      <c r="I3" s="43"/>
      <c r="J3" s="43"/>
      <c r="K3" s="360"/>
      <c r="L3" s="43"/>
      <c r="M3" s="43"/>
    </row>
    <row r="4" spans="1:13" ht="15.75" customHeight="1" x14ac:dyDescent="0.35">
      <c r="A4" s="274"/>
      <c r="B4" s="43"/>
      <c r="C4" s="43"/>
      <c r="D4" s="360"/>
      <c r="E4" s="275"/>
      <c r="F4" s="360"/>
      <c r="G4" s="44"/>
      <c r="H4" s="43"/>
      <c r="I4" s="43"/>
      <c r="J4" s="43"/>
      <c r="K4" s="360"/>
      <c r="L4" s="43"/>
      <c r="M4" s="43"/>
    </row>
    <row r="5" spans="1:13" ht="15.75" customHeight="1" x14ac:dyDescent="0.35">
      <c r="A5" s="43"/>
      <c r="B5" s="46"/>
      <c r="C5" s="46"/>
      <c r="D5" s="46"/>
      <c r="E5" s="43"/>
      <c r="F5" s="380" t="s">
        <v>66</v>
      </c>
      <c r="G5" s="380"/>
      <c r="H5" s="43"/>
      <c r="I5" s="43"/>
      <c r="J5" s="47"/>
      <c r="K5" s="43"/>
      <c r="L5" s="43"/>
      <c r="M5" s="43"/>
    </row>
    <row r="6" spans="1:13" ht="15.75" customHeight="1" x14ac:dyDescent="0.35">
      <c r="A6" s="43"/>
      <c r="B6" s="360"/>
      <c r="C6" s="360"/>
      <c r="D6" s="360"/>
      <c r="E6" s="43"/>
      <c r="F6" s="43"/>
      <c r="G6" s="43"/>
      <c r="H6" s="43"/>
      <c r="I6" s="43"/>
      <c r="J6" s="47"/>
      <c r="K6" s="43"/>
      <c r="L6" s="43"/>
      <c r="M6" s="43"/>
    </row>
    <row r="7" spans="1:13" ht="15.75" customHeight="1" x14ac:dyDescent="0.35">
      <c r="A7" s="48" t="s">
        <v>1</v>
      </c>
      <c r="B7" s="360" t="s">
        <v>84</v>
      </c>
      <c r="C7" s="43"/>
      <c r="D7" s="360" t="s">
        <v>66</v>
      </c>
      <c r="E7" s="43"/>
      <c r="F7" s="48" t="s">
        <v>1</v>
      </c>
      <c r="G7" s="360" t="s">
        <v>66</v>
      </c>
      <c r="H7" s="43"/>
      <c r="I7" s="43"/>
      <c r="J7" s="47"/>
      <c r="K7" s="43"/>
      <c r="L7" s="43"/>
      <c r="M7" s="43"/>
    </row>
    <row r="8" spans="1:13" ht="15.75" customHeight="1" x14ac:dyDescent="0.35">
      <c r="A8" s="43" t="s">
        <v>27</v>
      </c>
      <c r="B8" s="276" t="e">
        <v>#N/A</v>
      </c>
      <c r="C8" s="49"/>
      <c r="D8" s="276" t="e">
        <v>#N/A</v>
      </c>
      <c r="F8" s="43" t="s">
        <v>27</v>
      </c>
      <c r="G8" s="276" t="e">
        <v>#N/A</v>
      </c>
      <c r="H8" s="50"/>
      <c r="I8" s="43"/>
      <c r="J8" s="47"/>
      <c r="K8" s="43"/>
      <c r="L8" s="43"/>
      <c r="M8" s="43"/>
    </row>
    <row r="9" spans="1:13" ht="15.75" customHeight="1" x14ac:dyDescent="0.35">
      <c r="A9" s="43" t="s">
        <v>85</v>
      </c>
      <c r="B9" s="276" t="e">
        <v>#N/A</v>
      </c>
      <c r="C9" s="49"/>
      <c r="D9" s="276" t="e">
        <v>#N/A</v>
      </c>
      <c r="F9" s="43" t="s">
        <v>85</v>
      </c>
      <c r="G9" s="276" t="e">
        <v>#N/A</v>
      </c>
      <c r="H9" s="50"/>
      <c r="I9" s="43"/>
      <c r="J9" s="47"/>
      <c r="K9" s="43"/>
      <c r="L9" s="43"/>
      <c r="M9" s="43"/>
    </row>
    <row r="10" spans="1:13" ht="15.75" customHeight="1" x14ac:dyDescent="0.35">
      <c r="A10" s="43" t="s">
        <v>86</v>
      </c>
      <c r="B10" s="276" t="e">
        <v>#N/A</v>
      </c>
      <c r="C10" s="49"/>
      <c r="D10" s="276" t="e">
        <v>#N/A</v>
      </c>
      <c r="E10" s="43">
        <v>2</v>
      </c>
      <c r="F10" s="43" t="s">
        <v>86</v>
      </c>
      <c r="G10" s="276" t="e">
        <v>#N/A</v>
      </c>
      <c r="H10" s="50"/>
      <c r="I10" s="43"/>
      <c r="J10" s="47"/>
      <c r="K10" s="43"/>
      <c r="L10" s="43"/>
      <c r="M10" s="43"/>
    </row>
    <row r="11" spans="1:13" ht="15.75" customHeight="1" x14ac:dyDescent="0.35">
      <c r="A11" s="43" t="s">
        <v>87</v>
      </c>
      <c r="B11" s="276" t="e">
        <v>#N/A</v>
      </c>
      <c r="C11" s="49"/>
      <c r="D11" s="276" t="e">
        <v>#N/A</v>
      </c>
      <c r="E11" s="43"/>
      <c r="F11" s="43" t="s">
        <v>87</v>
      </c>
      <c r="G11" s="276" t="e">
        <v>#N/A</v>
      </c>
      <c r="H11" s="50"/>
      <c r="I11" s="43"/>
      <c r="J11" s="47"/>
      <c r="K11" s="43"/>
      <c r="L11" s="43"/>
      <c r="M11" s="43"/>
    </row>
    <row r="12" spans="1:13" ht="15.75" customHeight="1" x14ac:dyDescent="0.35">
      <c r="A12" s="43" t="s">
        <v>88</v>
      </c>
      <c r="B12" s="276" t="e">
        <v>#N/A</v>
      </c>
      <c r="C12" s="49"/>
      <c r="D12" s="276" t="e">
        <v>#N/A</v>
      </c>
      <c r="E12" s="43"/>
      <c r="F12" s="43" t="s">
        <v>88</v>
      </c>
      <c r="G12" s="276" t="e">
        <v>#N/A</v>
      </c>
      <c r="H12" s="50"/>
      <c r="I12" s="43"/>
      <c r="J12" s="47"/>
      <c r="K12" s="43"/>
      <c r="L12" s="43"/>
      <c r="M12" s="43"/>
    </row>
    <row r="13" spans="1:13" ht="15.75" customHeight="1" x14ac:dyDescent="0.35">
      <c r="A13" s="43" t="s">
        <v>297</v>
      </c>
      <c r="B13" s="276" t="e">
        <v>#N/A</v>
      </c>
      <c r="C13" s="49"/>
      <c r="D13" s="51"/>
      <c r="E13" s="43"/>
      <c r="F13" s="43" t="s">
        <v>297</v>
      </c>
      <c r="G13" s="277" t="e">
        <v>#N/A</v>
      </c>
      <c r="H13" s="50"/>
      <c r="I13" s="43"/>
      <c r="J13" s="47"/>
      <c r="K13" s="43"/>
      <c r="L13" s="43"/>
      <c r="M13" s="43"/>
    </row>
    <row r="14" spans="1:13" ht="15.75" customHeight="1" x14ac:dyDescent="0.35">
      <c r="A14" s="43" t="s">
        <v>89</v>
      </c>
      <c r="B14" s="278" t="e">
        <v>#N/A</v>
      </c>
      <c r="C14" s="47">
        <v>1</v>
      </c>
      <c r="D14" s="52" t="e">
        <v>#N/A</v>
      </c>
      <c r="E14" s="43"/>
      <c r="H14" s="50"/>
      <c r="I14" s="43"/>
      <c r="J14" s="47"/>
      <c r="K14" s="43"/>
      <c r="L14" s="43"/>
      <c r="M14" s="43"/>
    </row>
    <row r="15" spans="1:13" ht="15.75" customHeight="1" x14ac:dyDescent="0.35">
      <c r="E15" s="43">
        <v>3</v>
      </c>
      <c r="F15" s="360" t="s">
        <v>90</v>
      </c>
      <c r="G15" s="279" t="e">
        <v>#N/A</v>
      </c>
      <c r="H15" s="43">
        <v>9</v>
      </c>
      <c r="I15" s="43"/>
      <c r="J15" s="276"/>
      <c r="K15" s="49"/>
      <c r="L15" s="43"/>
      <c r="M15" s="43"/>
    </row>
    <row r="16" spans="1:13" ht="15.75" customHeight="1" x14ac:dyDescent="0.35">
      <c r="A16" s="43"/>
      <c r="B16" s="53" t="s">
        <v>91</v>
      </c>
      <c r="C16" s="49"/>
      <c r="D16" s="53" t="s">
        <v>92</v>
      </c>
      <c r="E16" s="43"/>
      <c r="I16" s="43"/>
      <c r="J16" s="280"/>
      <c r="K16" s="49"/>
      <c r="L16" s="43"/>
      <c r="M16" s="43"/>
    </row>
    <row r="17" spans="1:13" ht="15.75" customHeight="1" x14ac:dyDescent="0.35">
      <c r="A17" s="43"/>
      <c r="B17" s="53"/>
      <c r="C17" s="49"/>
      <c r="D17" s="53"/>
      <c r="E17" s="43"/>
      <c r="F17" s="273" t="s">
        <v>298</v>
      </c>
      <c r="G17" s="362" t="e">
        <v>#N/A</v>
      </c>
      <c r="H17" s="273">
        <v>10</v>
      </c>
      <c r="I17" s="43"/>
      <c r="J17" s="280"/>
      <c r="K17" s="43"/>
      <c r="L17" s="43"/>
      <c r="M17" s="43"/>
    </row>
    <row r="18" spans="1:13" ht="15.75" customHeight="1" x14ac:dyDescent="0.35">
      <c r="A18" s="43" t="s">
        <v>93</v>
      </c>
      <c r="B18" s="281" t="e">
        <v>#N/A</v>
      </c>
      <c r="C18" s="47"/>
      <c r="D18" s="47" t="e">
        <v>#N/A</v>
      </c>
      <c r="E18" s="43"/>
      <c r="I18" s="43"/>
      <c r="K18" s="43"/>
      <c r="L18" s="43"/>
      <c r="M18" s="43"/>
    </row>
    <row r="19" spans="1:13" ht="15.75" customHeight="1" x14ac:dyDescent="0.35">
      <c r="A19" s="43"/>
      <c r="B19" s="49"/>
      <c r="C19" s="49"/>
      <c r="D19" s="49"/>
      <c r="E19" s="43">
        <v>4</v>
      </c>
      <c r="F19" s="363" t="s">
        <v>299</v>
      </c>
      <c r="G19" s="279" t="e">
        <v>#N/A</v>
      </c>
      <c r="H19" s="273">
        <v>11</v>
      </c>
      <c r="I19" s="43"/>
      <c r="J19" s="47"/>
      <c r="K19" s="56"/>
      <c r="L19" s="43"/>
      <c r="M19" s="43"/>
    </row>
    <row r="20" spans="1:13" ht="15.75" customHeight="1" x14ac:dyDescent="0.35">
      <c r="A20" s="57" t="s">
        <v>300</v>
      </c>
      <c r="B20" s="58" t="e">
        <v>#N/A</v>
      </c>
      <c r="C20" s="47"/>
      <c r="D20" s="49"/>
      <c r="E20" s="43"/>
      <c r="I20" s="43"/>
      <c r="J20" s="47"/>
      <c r="K20" s="56"/>
      <c r="L20" s="43"/>
      <c r="M20" s="43"/>
    </row>
    <row r="21" spans="1:13" ht="15.75" customHeight="1" x14ac:dyDescent="0.35">
      <c r="A21" s="43"/>
      <c r="E21" s="43">
        <v>5</v>
      </c>
      <c r="F21" s="282" t="s">
        <v>94</v>
      </c>
      <c r="G21" s="49"/>
      <c r="H21" s="43"/>
      <c r="I21" s="43"/>
      <c r="J21" s="47"/>
      <c r="K21" s="49"/>
      <c r="L21" s="43"/>
      <c r="M21" s="43"/>
    </row>
    <row r="22" spans="1:13" ht="15.75" customHeight="1" x14ac:dyDescent="0.35">
      <c r="A22" s="284"/>
      <c r="F22" s="283" t="s">
        <v>95</v>
      </c>
      <c r="G22" s="49"/>
      <c r="H22" s="54"/>
      <c r="I22" s="43"/>
      <c r="J22" s="47"/>
      <c r="K22" s="43"/>
      <c r="L22" s="43"/>
      <c r="M22" s="43"/>
    </row>
    <row r="23" spans="1:13" ht="15.75" customHeight="1" x14ac:dyDescent="0.35">
      <c r="A23" s="43"/>
      <c r="F23" s="276" t="s">
        <v>96</v>
      </c>
      <c r="G23" s="49" t="e">
        <v>#N/A</v>
      </c>
      <c r="H23" s="55">
        <v>12</v>
      </c>
      <c r="J23" s="285"/>
      <c r="K23" s="49"/>
      <c r="L23" s="43"/>
      <c r="M23" s="43"/>
    </row>
    <row r="24" spans="1:13" ht="15.75" customHeight="1" x14ac:dyDescent="0.35">
      <c r="A24" s="286"/>
      <c r="B24" s="287"/>
      <c r="C24" s="287"/>
      <c r="D24" s="287"/>
      <c r="F24" s="276" t="s">
        <v>97</v>
      </c>
      <c r="G24" s="49" t="e">
        <v>#N/A</v>
      </c>
      <c r="H24" s="55">
        <v>13</v>
      </c>
      <c r="I24" s="43"/>
      <c r="J24" s="285"/>
      <c r="K24" s="43"/>
      <c r="L24" s="43"/>
      <c r="M24" s="43"/>
    </row>
    <row r="25" spans="1:13" ht="15.75" customHeight="1" x14ac:dyDescent="0.35">
      <c r="A25" s="43"/>
      <c r="B25" s="289"/>
      <c r="C25" s="289"/>
      <c r="D25" s="289"/>
      <c r="G25" s="276"/>
      <c r="H25" s="43"/>
      <c r="I25" s="43"/>
      <c r="J25" s="285"/>
      <c r="K25" s="43"/>
      <c r="L25" s="43"/>
      <c r="M25" s="43"/>
    </row>
    <row r="26" spans="1:13" ht="15.75" customHeight="1" x14ac:dyDescent="0.35">
      <c r="A26" s="43"/>
      <c r="B26" s="290"/>
      <c r="C26" s="290"/>
      <c r="D26" s="291"/>
      <c r="F26" s="288" t="s">
        <v>98</v>
      </c>
      <c r="G26" s="49"/>
      <c r="H26" s="55"/>
      <c r="I26" s="43"/>
      <c r="J26" s="285"/>
      <c r="K26" s="43"/>
      <c r="L26" s="43"/>
      <c r="M26" s="43"/>
    </row>
    <row r="27" spans="1:13" ht="15.75" customHeight="1" x14ac:dyDescent="0.35">
      <c r="A27" s="43"/>
      <c r="B27" s="276"/>
      <c r="C27" s="276"/>
      <c r="D27" s="276"/>
      <c r="F27" s="276" t="s">
        <v>99</v>
      </c>
      <c r="G27" s="49" t="e">
        <v>#N/A</v>
      </c>
      <c r="H27" s="55">
        <v>14</v>
      </c>
      <c r="I27" s="43"/>
      <c r="J27" s="285"/>
      <c r="K27" s="43"/>
      <c r="L27" s="43"/>
      <c r="M27" s="43"/>
    </row>
    <row r="28" spans="1:13" ht="15.75" customHeight="1" x14ac:dyDescent="0.35">
      <c r="A28" s="43"/>
      <c r="B28" s="292"/>
      <c r="C28" s="276"/>
      <c r="D28" s="293"/>
      <c r="F28" s="276" t="s">
        <v>100</v>
      </c>
      <c r="G28" s="49" t="e">
        <v>#N/A</v>
      </c>
      <c r="H28" s="55">
        <v>15</v>
      </c>
      <c r="I28" s="43"/>
      <c r="J28" s="285"/>
      <c r="K28" s="43"/>
      <c r="L28" s="43"/>
      <c r="M28" s="43"/>
    </row>
    <row r="29" spans="1:13" ht="15.75" customHeight="1" thickBot="1" x14ac:dyDescent="0.4">
      <c r="A29" s="43"/>
      <c r="E29" s="43">
        <v>6</v>
      </c>
      <c r="F29" s="276" t="s">
        <v>101</v>
      </c>
      <c r="G29" s="59" t="e">
        <v>#N/A</v>
      </c>
      <c r="H29" s="55">
        <v>16</v>
      </c>
      <c r="I29" s="43"/>
      <c r="J29" s="276"/>
      <c r="K29" s="49"/>
      <c r="L29" s="43"/>
      <c r="M29" s="43"/>
    </row>
    <row r="30" spans="1:13" ht="15.75" customHeight="1" thickBot="1" x14ac:dyDescent="0.4">
      <c r="A30" s="43"/>
      <c r="B30" s="61" t="s">
        <v>103</v>
      </c>
      <c r="C30" s="294"/>
      <c r="D30" s="62" t="e">
        <v>#N/A</v>
      </c>
      <c r="E30" s="43"/>
      <c r="F30" s="276" t="s">
        <v>102</v>
      </c>
      <c r="G30" s="60" t="e">
        <v>#N/A</v>
      </c>
      <c r="H30" s="43">
        <v>17</v>
      </c>
      <c r="I30" s="43"/>
      <c r="J30" s="276"/>
      <c r="K30" s="43"/>
      <c r="L30" s="43"/>
      <c r="M30" s="43"/>
    </row>
    <row r="31" spans="1:13" ht="15.75" customHeight="1" thickBot="1" x14ac:dyDescent="0.4">
      <c r="A31" s="57"/>
      <c r="B31" s="360"/>
      <c r="D31" s="360"/>
      <c r="E31" s="43">
        <v>7</v>
      </c>
      <c r="F31" s="276"/>
      <c r="G31" s="49"/>
      <c r="H31" s="43"/>
      <c r="I31" s="43"/>
      <c r="J31" s="276"/>
      <c r="K31" s="43"/>
      <c r="L31" s="43"/>
      <c r="M31" s="43"/>
    </row>
    <row r="32" spans="1:13" ht="15.75" customHeight="1" x14ac:dyDescent="0.35">
      <c r="A32" s="43"/>
      <c r="B32" s="63" t="s">
        <v>105</v>
      </c>
      <c r="C32" s="64"/>
      <c r="D32" s="65" t="s">
        <v>106</v>
      </c>
      <c r="E32" s="43"/>
      <c r="F32" s="292" t="s">
        <v>104</v>
      </c>
      <c r="G32" s="364" t="e">
        <v>#N/A</v>
      </c>
      <c r="H32" s="43">
        <v>18</v>
      </c>
      <c r="I32" s="43"/>
      <c r="J32" s="276"/>
      <c r="K32" s="43"/>
      <c r="L32" s="43"/>
      <c r="M32" s="43"/>
    </row>
    <row r="33" spans="1:14" ht="15.75" customHeight="1" x14ac:dyDescent="0.35">
      <c r="A33" s="57"/>
      <c r="B33" s="66" t="s">
        <v>107</v>
      </c>
      <c r="C33" s="67"/>
      <c r="D33" s="68" t="e">
        <v>#N/A</v>
      </c>
      <c r="E33" s="43"/>
      <c r="I33" s="43"/>
      <c r="K33" s="43"/>
      <c r="L33" s="43"/>
      <c r="M33" s="43"/>
    </row>
    <row r="34" spans="1:14" ht="15.75" customHeight="1" x14ac:dyDescent="0.35">
      <c r="A34" s="43"/>
      <c r="B34" s="66" t="s">
        <v>108</v>
      </c>
      <c r="C34" s="67"/>
      <c r="D34" s="68" t="e">
        <v>#N/A</v>
      </c>
      <c r="E34" s="43"/>
      <c r="I34" s="43"/>
      <c r="J34" s="283"/>
      <c r="K34" s="43"/>
      <c r="L34" s="43"/>
      <c r="M34" s="57"/>
      <c r="N34" s="296"/>
    </row>
    <row r="35" spans="1:14" ht="15.75" customHeight="1" x14ac:dyDescent="0.35">
      <c r="B35" s="66" t="s">
        <v>109</v>
      </c>
      <c r="C35" s="67"/>
      <c r="D35" s="68" t="e">
        <v>#N/A</v>
      </c>
      <c r="E35" s="43"/>
      <c r="I35" s="43"/>
      <c r="J35" s="283"/>
      <c r="K35" s="43"/>
      <c r="L35" s="43"/>
      <c r="M35" s="57"/>
      <c r="N35" s="69"/>
    </row>
    <row r="36" spans="1:14" ht="15.75" customHeight="1" thickBot="1" x14ac:dyDescent="0.4">
      <c r="A36" s="57"/>
      <c r="B36" s="66" t="s">
        <v>110</v>
      </c>
      <c r="C36" s="67"/>
      <c r="D36" s="68" t="e">
        <v>#N/A</v>
      </c>
      <c r="E36" s="43"/>
      <c r="G36" s="295"/>
      <c r="I36" s="43"/>
      <c r="J36" s="47"/>
      <c r="K36" s="43"/>
      <c r="L36" s="43"/>
      <c r="M36" s="57"/>
      <c r="N36" s="296"/>
    </row>
    <row r="37" spans="1:14" ht="15.75" customHeight="1" x14ac:dyDescent="0.35">
      <c r="B37" s="66" t="s">
        <v>111</v>
      </c>
      <c r="C37" s="67"/>
      <c r="D37" s="68" t="e">
        <v>#N/A</v>
      </c>
      <c r="E37" s="43"/>
      <c r="F37" s="63" t="s">
        <v>74</v>
      </c>
      <c r="G37" s="297" t="s">
        <v>49</v>
      </c>
      <c r="H37" s="56"/>
      <c r="I37" s="43"/>
      <c r="J37" s="47"/>
      <c r="K37" s="43"/>
      <c r="L37" s="43"/>
      <c r="M37" s="43"/>
    </row>
    <row r="38" spans="1:14" ht="15.75" customHeight="1" x14ac:dyDescent="0.35">
      <c r="A38" s="43"/>
      <c r="B38" s="72" t="s">
        <v>112</v>
      </c>
      <c r="C38" s="73"/>
      <c r="D38" s="74" t="e">
        <v>#N/A</v>
      </c>
      <c r="E38" s="43"/>
      <c r="F38" s="70" t="s">
        <v>75</v>
      </c>
      <c r="G38" s="71" t="e">
        <v>#N/A</v>
      </c>
      <c r="H38" s="43">
        <v>19</v>
      </c>
      <c r="I38" s="43"/>
      <c r="J38" s="47"/>
      <c r="K38" s="43"/>
      <c r="L38" s="43"/>
      <c r="M38" s="43"/>
    </row>
    <row r="39" spans="1:14" ht="15.75" customHeight="1" thickBot="1" x14ac:dyDescent="0.4">
      <c r="A39" s="43"/>
      <c r="B39" s="75" t="s">
        <v>113</v>
      </c>
      <c r="C39" s="76"/>
      <c r="D39" s="77" t="e">
        <v>#N/A</v>
      </c>
      <c r="E39" s="43"/>
      <c r="F39" s="70" t="s">
        <v>76</v>
      </c>
      <c r="G39" s="71" t="e">
        <v>#N/A</v>
      </c>
      <c r="H39" s="43"/>
      <c r="I39" s="43"/>
      <c r="J39" s="47"/>
      <c r="K39" s="43"/>
      <c r="L39" s="43"/>
      <c r="M39" s="43"/>
    </row>
    <row r="40" spans="1:14" ht="15.75" customHeight="1" thickTop="1" thickBot="1" x14ac:dyDescent="0.4">
      <c r="A40" s="43"/>
      <c r="B40" s="49"/>
      <c r="C40" s="49"/>
      <c r="D40" s="78"/>
      <c r="E40" s="43">
        <v>8</v>
      </c>
      <c r="F40" s="70"/>
      <c r="G40" s="71"/>
      <c r="H40" s="43"/>
      <c r="I40" s="43"/>
      <c r="J40" s="47"/>
      <c r="K40" s="43"/>
      <c r="L40" s="43"/>
      <c r="M40" s="43"/>
    </row>
    <row r="41" spans="1:14" ht="15.75" customHeight="1" x14ac:dyDescent="0.35">
      <c r="A41" s="43"/>
      <c r="B41" s="79" t="s">
        <v>114</v>
      </c>
      <c r="C41" s="64"/>
      <c r="D41" s="80" t="s">
        <v>115</v>
      </c>
      <c r="E41" s="43"/>
      <c r="F41" s="70" t="s">
        <v>77</v>
      </c>
      <c r="G41" s="71" t="e">
        <v>#N/A</v>
      </c>
      <c r="H41" s="43">
        <v>20</v>
      </c>
      <c r="I41" s="43"/>
      <c r="J41" s="47"/>
      <c r="K41" s="43"/>
      <c r="L41" s="43"/>
      <c r="M41" s="43"/>
    </row>
    <row r="42" spans="1:14" ht="15.75" customHeight="1" thickBot="1" x14ac:dyDescent="0.4">
      <c r="A42" s="43"/>
      <c r="B42" s="83" t="s">
        <v>116</v>
      </c>
      <c r="C42" s="84"/>
      <c r="D42" s="85" t="e">
        <v>#N/A</v>
      </c>
      <c r="E42" s="43"/>
      <c r="F42" s="81" t="s">
        <v>78</v>
      </c>
      <c r="G42" s="82" t="e">
        <v>#N/A</v>
      </c>
      <c r="H42" s="43"/>
    </row>
    <row r="43" spans="1:14" ht="15.75" customHeight="1" x14ac:dyDescent="0.35">
      <c r="A43" s="43"/>
      <c r="B43" s="49"/>
      <c r="C43" s="49"/>
      <c r="D43" s="53"/>
      <c r="E43" s="43"/>
    </row>
    <row r="44" spans="1:14" ht="15.75" customHeight="1" thickBot="1" x14ac:dyDescent="0.4">
      <c r="A44" s="43"/>
      <c r="B44" s="49"/>
      <c r="C44" s="49"/>
      <c r="D44" s="53"/>
      <c r="E44" s="43"/>
      <c r="F44" s="43"/>
      <c r="G44" s="49"/>
    </row>
    <row r="45" spans="1:14" ht="15.75" customHeight="1" x14ac:dyDescent="0.35">
      <c r="A45" s="298" t="s">
        <v>301</v>
      </c>
      <c r="B45" s="381" t="s">
        <v>117</v>
      </c>
      <c r="C45" s="299"/>
      <c r="D45" s="381" t="s">
        <v>118</v>
      </c>
      <c r="E45" s="300" t="s">
        <v>119</v>
      </c>
      <c r="F45" s="301"/>
      <c r="G45" s="302"/>
    </row>
    <row r="46" spans="1:14" ht="15.75" customHeight="1" x14ac:dyDescent="0.35">
      <c r="A46" s="303" t="s">
        <v>120</v>
      </c>
      <c r="B46" s="382"/>
      <c r="C46" s="304"/>
      <c r="D46" s="382"/>
      <c r="E46" s="305"/>
      <c r="F46" s="306"/>
      <c r="G46" s="307"/>
      <c r="H46" s="276"/>
    </row>
    <row r="47" spans="1:14" ht="15.75" customHeight="1" x14ac:dyDescent="0.35">
      <c r="A47" s="66" t="s">
        <v>107</v>
      </c>
      <c r="B47" s="308" t="s">
        <v>121</v>
      </c>
      <c r="C47" s="308"/>
      <c r="D47" s="309">
        <v>6630</v>
      </c>
      <c r="E47" s="310" t="s">
        <v>122</v>
      </c>
      <c r="F47" s="311"/>
      <c r="G47" s="312"/>
      <c r="H47" s="281">
        <v>21</v>
      </c>
    </row>
    <row r="48" spans="1:14" ht="15.75" customHeight="1" x14ac:dyDescent="0.35">
      <c r="A48" s="66" t="s">
        <v>108</v>
      </c>
      <c r="B48" s="308" t="s">
        <v>123</v>
      </c>
      <c r="C48" s="308"/>
      <c r="D48" s="309">
        <v>7894</v>
      </c>
      <c r="E48" s="310" t="s">
        <v>124</v>
      </c>
      <c r="F48" s="311"/>
      <c r="G48" s="312"/>
      <c r="H48" s="276"/>
    </row>
    <row r="49" spans="1:16" ht="15.75" customHeight="1" x14ac:dyDescent="0.35">
      <c r="A49" s="66" t="s">
        <v>125</v>
      </c>
      <c r="B49" s="313" t="s">
        <v>126</v>
      </c>
      <c r="C49" s="308"/>
      <c r="D49" s="309">
        <v>15567</v>
      </c>
      <c r="E49" s="310" t="s">
        <v>127</v>
      </c>
      <c r="F49" s="311"/>
      <c r="G49" s="312"/>
      <c r="H49" s="276"/>
    </row>
    <row r="50" spans="1:16" ht="15.75" customHeight="1" x14ac:dyDescent="0.35">
      <c r="A50" s="66" t="s">
        <v>110</v>
      </c>
      <c r="B50" s="310" t="s">
        <v>128</v>
      </c>
      <c r="C50" s="308"/>
      <c r="D50" s="309">
        <v>15892</v>
      </c>
      <c r="E50" s="310" t="s">
        <v>129</v>
      </c>
      <c r="F50" s="311"/>
      <c r="G50" s="312"/>
    </row>
    <row r="51" spans="1:16" ht="15.75" customHeight="1" x14ac:dyDescent="0.35">
      <c r="A51" s="66" t="s">
        <v>111</v>
      </c>
      <c r="B51" s="308" t="s">
        <v>128</v>
      </c>
      <c r="C51" s="308"/>
      <c r="D51" s="309">
        <v>15892</v>
      </c>
      <c r="E51" s="310" t="s">
        <v>129</v>
      </c>
      <c r="F51" s="311"/>
      <c r="G51" s="312"/>
    </row>
    <row r="52" spans="1:16" ht="15.75" customHeight="1" x14ac:dyDescent="0.35">
      <c r="A52" s="72" t="s">
        <v>112</v>
      </c>
      <c r="B52" s="310" t="s">
        <v>128</v>
      </c>
      <c r="C52" s="308"/>
      <c r="D52" s="309">
        <v>17018</v>
      </c>
      <c r="E52" s="314" t="s">
        <v>130</v>
      </c>
      <c r="F52" s="315"/>
      <c r="G52" s="316"/>
    </row>
    <row r="53" spans="1:16" ht="15.75" customHeight="1" thickBot="1" x14ac:dyDescent="0.4">
      <c r="A53" s="83" t="s">
        <v>113</v>
      </c>
      <c r="B53" s="317" t="s">
        <v>131</v>
      </c>
      <c r="C53" s="317"/>
      <c r="D53" s="318">
        <v>24406</v>
      </c>
      <c r="E53" s="319" t="s">
        <v>132</v>
      </c>
      <c r="F53" s="320"/>
      <c r="G53" s="321"/>
    </row>
    <row r="54" spans="1:16" ht="15.75" customHeight="1" thickBot="1" x14ac:dyDescent="0.4">
      <c r="P54" s="276"/>
    </row>
    <row r="55" spans="1:16" ht="15.75" customHeight="1" x14ac:dyDescent="0.35">
      <c r="A55" s="322" t="s">
        <v>133</v>
      </c>
      <c r="B55" s="323" t="s">
        <v>27</v>
      </c>
      <c r="C55" s="324"/>
      <c r="D55" s="325" t="s">
        <v>28</v>
      </c>
      <c r="E55" s="324"/>
      <c r="F55" s="297" t="s">
        <v>134</v>
      </c>
      <c r="G55" s="273">
        <v>22</v>
      </c>
      <c r="P55" s="276"/>
    </row>
    <row r="56" spans="1:16" ht="15.75" customHeight="1" x14ac:dyDescent="0.35">
      <c r="A56" s="326" t="s">
        <v>135</v>
      </c>
      <c r="B56" s="309">
        <v>325943.5</v>
      </c>
      <c r="C56" s="308"/>
      <c r="D56" s="309">
        <v>106090</v>
      </c>
      <c r="E56" s="327"/>
      <c r="F56" s="328">
        <v>679800</v>
      </c>
      <c r="G56" s="329"/>
      <c r="P56" s="276"/>
    </row>
    <row r="57" spans="1:16" ht="15.75" customHeight="1" x14ac:dyDescent="0.35">
      <c r="A57" s="326" t="s">
        <v>136</v>
      </c>
      <c r="B57" s="309">
        <v>362699.05000000005</v>
      </c>
      <c r="C57" s="308"/>
      <c r="D57" s="309">
        <v>111394.5</v>
      </c>
      <c r="E57" s="327"/>
      <c r="F57" s="328">
        <v>793100.00000000012</v>
      </c>
      <c r="G57" s="86"/>
      <c r="P57" s="276"/>
    </row>
    <row r="58" spans="1:16" ht="15.75" customHeight="1" x14ac:dyDescent="0.35">
      <c r="A58" s="326" t="s">
        <v>137</v>
      </c>
      <c r="B58" s="309">
        <v>399454.60000000003</v>
      </c>
      <c r="C58" s="308"/>
      <c r="D58" s="309">
        <v>116699</v>
      </c>
      <c r="E58" s="327"/>
      <c r="F58" s="328">
        <v>1076350.0000000002</v>
      </c>
      <c r="G58" s="86"/>
      <c r="P58" s="276"/>
    </row>
    <row r="59" spans="1:16" ht="15.75" customHeight="1" x14ac:dyDescent="0.35">
      <c r="A59" s="326" t="s">
        <v>138</v>
      </c>
      <c r="B59" s="309">
        <v>438718.2</v>
      </c>
      <c r="C59" s="308"/>
      <c r="D59" s="309">
        <v>122003.5</v>
      </c>
      <c r="E59" s="327"/>
      <c r="F59" s="328">
        <v>1246300</v>
      </c>
      <c r="G59" s="86"/>
      <c r="P59" s="276"/>
    </row>
    <row r="60" spans="1:16" ht="15.75" customHeight="1" x14ac:dyDescent="0.35">
      <c r="A60" s="326" t="s">
        <v>139</v>
      </c>
      <c r="B60" s="309">
        <v>477981.8</v>
      </c>
      <c r="C60" s="308"/>
      <c r="D60" s="309">
        <v>127308</v>
      </c>
      <c r="E60" s="327"/>
      <c r="F60" s="328">
        <v>1586200.0000000002</v>
      </c>
      <c r="G60" s="86"/>
      <c r="P60" s="276"/>
    </row>
    <row r="61" spans="1:16" ht="15.75" customHeight="1" x14ac:dyDescent="0.35">
      <c r="A61" s="326" t="s">
        <v>140</v>
      </c>
      <c r="B61" s="309">
        <v>522601.4</v>
      </c>
      <c r="C61" s="308"/>
      <c r="D61" s="309">
        <v>137917</v>
      </c>
      <c r="E61" s="327"/>
      <c r="F61" s="328">
        <v>1812800.0000000002</v>
      </c>
      <c r="G61" s="86"/>
      <c r="P61" s="276"/>
    </row>
    <row r="62" spans="1:16" ht="15.75" customHeight="1" x14ac:dyDescent="0.35">
      <c r="A62" s="326" t="s">
        <v>141</v>
      </c>
      <c r="B62" s="309">
        <v>567221</v>
      </c>
      <c r="C62" s="308"/>
      <c r="D62" s="309">
        <v>148526</v>
      </c>
      <c r="E62" s="327"/>
      <c r="F62" s="328">
        <v>2209350</v>
      </c>
      <c r="G62" s="86"/>
      <c r="P62" s="276"/>
    </row>
    <row r="63" spans="1:16" ht="15.75" customHeight="1" x14ac:dyDescent="0.35">
      <c r="A63" s="326" t="s">
        <v>142</v>
      </c>
      <c r="B63" s="309">
        <v>615208.69999999995</v>
      </c>
      <c r="C63" s="308"/>
      <c r="D63" s="309">
        <v>153830.5</v>
      </c>
      <c r="E63" s="327"/>
      <c r="F63" s="328">
        <v>2492600</v>
      </c>
      <c r="G63" s="86"/>
    </row>
    <row r="64" spans="1:16" ht="15.75" customHeight="1" x14ac:dyDescent="0.35">
      <c r="A64" s="326" t="s">
        <v>143</v>
      </c>
      <c r="B64" s="309">
        <v>663196.4</v>
      </c>
      <c r="C64" s="308"/>
      <c r="D64" s="309">
        <v>159135</v>
      </c>
      <c r="E64" s="327"/>
      <c r="F64" s="328">
        <v>2945800</v>
      </c>
      <c r="G64" s="86"/>
    </row>
    <row r="65" spans="1:10" ht="15.75" customHeight="1" x14ac:dyDescent="0.35">
      <c r="A65" s="330"/>
      <c r="B65" s="331"/>
      <c r="C65" s="332"/>
      <c r="D65" s="331"/>
      <c r="E65" s="332"/>
      <c r="F65" s="333"/>
      <c r="G65" s="86"/>
    </row>
    <row r="66" spans="1:10" ht="15.75" customHeight="1" x14ac:dyDescent="0.35">
      <c r="A66" s="326" t="s">
        <v>144</v>
      </c>
      <c r="B66" s="334">
        <v>285600.46000000002</v>
      </c>
      <c r="C66" s="308"/>
      <c r="D66" s="309">
        <v>91206.5</v>
      </c>
      <c r="E66" s="308"/>
      <c r="F66" s="328">
        <v>679800</v>
      </c>
      <c r="G66" s="273">
        <v>23</v>
      </c>
    </row>
    <row r="67" spans="1:10" ht="15.75" customHeight="1" x14ac:dyDescent="0.35">
      <c r="A67" s="326" t="s">
        <v>145</v>
      </c>
      <c r="B67" s="334">
        <v>330775.23</v>
      </c>
      <c r="C67" s="308"/>
      <c r="D67" s="309">
        <v>91206.5</v>
      </c>
      <c r="E67" s="308"/>
      <c r="F67" s="328">
        <v>793100.00000000012</v>
      </c>
    </row>
    <row r="68" spans="1:10" ht="15.75" customHeight="1" x14ac:dyDescent="0.35">
      <c r="A68" s="326" t="s">
        <v>146</v>
      </c>
      <c r="B68" s="334">
        <v>375950</v>
      </c>
      <c r="C68" s="308"/>
      <c r="D68" s="309">
        <v>91206.5</v>
      </c>
      <c r="E68" s="308"/>
      <c r="F68" s="328">
        <v>1076350.0000000002</v>
      </c>
    </row>
    <row r="69" spans="1:10" ht="15.75" customHeight="1" x14ac:dyDescent="0.35">
      <c r="A69" s="326" t="s">
        <v>147</v>
      </c>
      <c r="B69" s="334">
        <v>394773.25</v>
      </c>
      <c r="C69" s="308"/>
      <c r="D69" s="309">
        <v>91206.5</v>
      </c>
      <c r="E69" s="308"/>
      <c r="F69" s="328">
        <v>1246300</v>
      </c>
    </row>
    <row r="70" spans="1:10" ht="15.75" customHeight="1" thickBot="1" x14ac:dyDescent="0.4">
      <c r="A70" s="335" t="s">
        <v>148</v>
      </c>
      <c r="B70" s="336">
        <v>413596.5</v>
      </c>
      <c r="C70" s="317"/>
      <c r="D70" s="318">
        <v>91206.5</v>
      </c>
      <c r="E70" s="317"/>
      <c r="F70" s="337">
        <v>1586200.0000000002</v>
      </c>
    </row>
    <row r="73" spans="1:10" ht="15.75" customHeight="1" x14ac:dyDescent="0.35">
      <c r="H73" s="338"/>
    </row>
    <row r="74" spans="1:10" ht="15.75" customHeight="1" x14ac:dyDescent="0.35">
      <c r="H74" s="338"/>
      <c r="I74" s="339"/>
      <c r="J74" s="339"/>
    </row>
    <row r="75" spans="1:10" ht="15.75" customHeight="1" x14ac:dyDescent="0.35">
      <c r="H75" s="338"/>
    </row>
    <row r="76" spans="1:10" ht="15.5" x14ac:dyDescent="0.35">
      <c r="A76" s="376" t="s">
        <v>149</v>
      </c>
      <c r="B76" s="377"/>
      <c r="C76" s="377"/>
      <c r="D76" s="377"/>
      <c r="E76" s="377"/>
      <c r="F76" s="377"/>
      <c r="G76" s="343"/>
      <c r="H76" s="338"/>
    </row>
    <row r="77" spans="1:10" ht="15.75" customHeight="1" x14ac:dyDescent="0.35">
      <c r="A77" s="357"/>
      <c r="B77" s="357"/>
      <c r="C77" s="357"/>
      <c r="D77" s="357"/>
      <c r="E77" s="357"/>
      <c r="F77" s="357"/>
      <c r="G77" s="357"/>
      <c r="H77" s="338"/>
    </row>
    <row r="78" spans="1:10" ht="298.5" customHeight="1" x14ac:dyDescent="0.35">
      <c r="A78" s="374" t="s">
        <v>302</v>
      </c>
      <c r="B78" s="375"/>
      <c r="C78" s="375"/>
      <c r="D78" s="375"/>
      <c r="E78" s="375"/>
      <c r="F78" s="375"/>
      <c r="G78" s="340"/>
    </row>
    <row r="79" spans="1:10" ht="15.75" customHeight="1" x14ac:dyDescent="0.35">
      <c r="A79" s="341"/>
      <c r="B79" s="341"/>
      <c r="C79" s="341"/>
      <c r="D79" s="341"/>
      <c r="E79" s="341"/>
      <c r="F79" s="341"/>
      <c r="G79" s="341"/>
      <c r="H79" s="338"/>
    </row>
    <row r="80" spans="1:10" ht="31.5" customHeight="1" x14ac:dyDescent="0.35">
      <c r="A80" s="376" t="s">
        <v>303</v>
      </c>
      <c r="B80" s="377"/>
      <c r="C80" s="377"/>
      <c r="D80" s="377"/>
      <c r="E80" s="377"/>
      <c r="F80" s="377"/>
      <c r="G80" s="343"/>
      <c r="H80" s="338"/>
    </row>
    <row r="81" spans="1:8" ht="15.75" customHeight="1" x14ac:dyDescent="0.35">
      <c r="A81" s="341"/>
      <c r="B81" s="341"/>
      <c r="C81" s="341"/>
      <c r="D81" s="341"/>
      <c r="E81" s="341"/>
      <c r="F81" s="341"/>
      <c r="G81" s="341"/>
      <c r="H81" s="342"/>
    </row>
    <row r="82" spans="1:8" ht="42.75" customHeight="1" x14ac:dyDescent="0.35">
      <c r="A82" s="379" t="s">
        <v>150</v>
      </c>
      <c r="B82" s="379"/>
      <c r="C82" s="379"/>
      <c r="D82" s="379"/>
      <c r="E82" s="379"/>
      <c r="F82" s="379"/>
      <c r="G82" s="344"/>
      <c r="H82" s="342"/>
    </row>
    <row r="83" spans="1:8" ht="15.75" customHeight="1" x14ac:dyDescent="0.35">
      <c r="A83" s="357"/>
      <c r="B83" s="356"/>
      <c r="C83" s="356"/>
      <c r="D83" s="356"/>
      <c r="E83" s="356"/>
      <c r="F83" s="356"/>
      <c r="G83" s="356"/>
      <c r="H83" s="342"/>
    </row>
    <row r="84" spans="1:8" ht="90.75" customHeight="1" x14ac:dyDescent="0.35">
      <c r="A84" s="374" t="s">
        <v>304</v>
      </c>
      <c r="B84" s="375"/>
      <c r="C84" s="375"/>
      <c r="D84" s="375"/>
      <c r="E84" s="375"/>
      <c r="F84" s="375"/>
      <c r="G84" s="340"/>
      <c r="H84" s="342"/>
    </row>
    <row r="85" spans="1:8" ht="15.75" customHeight="1" x14ac:dyDescent="0.35">
      <c r="A85" s="357"/>
      <c r="B85" s="357"/>
      <c r="C85" s="357"/>
      <c r="D85" s="357"/>
      <c r="E85" s="357"/>
      <c r="F85" s="357"/>
      <c r="G85" s="357"/>
      <c r="H85" s="342"/>
    </row>
    <row r="86" spans="1:8" ht="31.5" customHeight="1" x14ac:dyDescent="0.35">
      <c r="A86" s="376" t="s">
        <v>151</v>
      </c>
      <c r="B86" s="377"/>
      <c r="C86" s="377"/>
      <c r="D86" s="377"/>
      <c r="E86" s="377"/>
      <c r="F86" s="377"/>
      <c r="G86" s="343"/>
      <c r="H86" s="342"/>
    </row>
    <row r="87" spans="1:8" ht="15.75" customHeight="1" x14ac:dyDescent="0.35">
      <c r="A87" s="357"/>
      <c r="B87" s="357"/>
      <c r="C87" s="357"/>
      <c r="D87" s="357"/>
      <c r="E87" s="357"/>
      <c r="F87" s="357"/>
      <c r="G87" s="357"/>
      <c r="H87" s="342"/>
    </row>
    <row r="88" spans="1:8" ht="43.5" customHeight="1" x14ac:dyDescent="0.35">
      <c r="A88" s="374" t="s">
        <v>152</v>
      </c>
      <c r="B88" s="375"/>
      <c r="C88" s="375"/>
      <c r="D88" s="375"/>
      <c r="E88" s="375"/>
      <c r="F88" s="375"/>
      <c r="G88" s="340"/>
    </row>
    <row r="89" spans="1:8" ht="15.75" customHeight="1" x14ac:dyDescent="0.35">
      <c r="A89" s="357"/>
      <c r="B89" s="357"/>
      <c r="C89" s="357"/>
      <c r="D89" s="357"/>
      <c r="E89" s="357"/>
      <c r="F89" s="357"/>
      <c r="G89" s="357"/>
    </row>
    <row r="90" spans="1:8" ht="89.25" customHeight="1" x14ac:dyDescent="0.35">
      <c r="A90" s="378" t="s">
        <v>153</v>
      </c>
      <c r="B90" s="379"/>
      <c r="C90" s="379"/>
      <c r="D90" s="379"/>
      <c r="E90" s="379"/>
      <c r="F90" s="379"/>
      <c r="G90" s="344"/>
    </row>
    <row r="91" spans="1:8" ht="15.75" customHeight="1" x14ac:dyDescent="0.35">
      <c r="A91" s="358"/>
      <c r="B91" s="359"/>
      <c r="C91" s="359"/>
      <c r="D91" s="359"/>
      <c r="E91" s="359"/>
      <c r="F91" s="359"/>
      <c r="G91" s="344"/>
    </row>
    <row r="92" spans="1:8" ht="36.75" customHeight="1" x14ac:dyDescent="0.35">
      <c r="A92" s="374" t="s">
        <v>154</v>
      </c>
      <c r="B92" s="375"/>
      <c r="C92" s="375"/>
      <c r="D92" s="375"/>
      <c r="E92" s="375"/>
      <c r="F92" s="375"/>
      <c r="G92" s="340"/>
    </row>
    <row r="93" spans="1:8" ht="15.75" customHeight="1" x14ac:dyDescent="0.35">
      <c r="A93" s="357"/>
      <c r="B93" s="357"/>
      <c r="C93" s="357"/>
      <c r="D93" s="357"/>
      <c r="E93" s="357"/>
      <c r="F93" s="357"/>
      <c r="G93" s="357"/>
    </row>
    <row r="94" spans="1:8" ht="15.75" customHeight="1" x14ac:dyDescent="0.35">
      <c r="A94" s="357" t="s">
        <v>305</v>
      </c>
      <c r="B94" s="357"/>
      <c r="C94" s="357"/>
      <c r="D94" s="357"/>
      <c r="E94" s="357"/>
      <c r="F94" s="357"/>
      <c r="G94" s="357"/>
    </row>
    <row r="95" spans="1:8" ht="15.75" customHeight="1" x14ac:dyDescent="0.35">
      <c r="A95" s="357"/>
      <c r="B95" s="357"/>
      <c r="C95" s="357"/>
      <c r="D95" s="357"/>
      <c r="E95" s="357"/>
      <c r="F95" s="357"/>
      <c r="G95" s="357"/>
    </row>
    <row r="96" spans="1:8" ht="15.75" customHeight="1" x14ac:dyDescent="0.35">
      <c r="A96" s="377" t="s">
        <v>306</v>
      </c>
      <c r="B96" s="377"/>
      <c r="C96" s="377"/>
      <c r="D96" s="377"/>
      <c r="E96" s="377"/>
      <c r="F96" s="377"/>
      <c r="G96" s="357"/>
    </row>
    <row r="97" spans="1:8" ht="15.75" customHeight="1" x14ac:dyDescent="0.35">
      <c r="A97" s="357"/>
      <c r="B97" s="357"/>
      <c r="C97" s="357"/>
      <c r="D97" s="357"/>
      <c r="E97" s="357"/>
      <c r="F97" s="357"/>
      <c r="G97" s="357"/>
    </row>
    <row r="98" spans="1:8" ht="39.75" customHeight="1" x14ac:dyDescent="0.35">
      <c r="A98" s="374" t="s">
        <v>307</v>
      </c>
      <c r="B98" s="375"/>
      <c r="C98" s="375"/>
      <c r="D98" s="375"/>
      <c r="E98" s="375"/>
      <c r="F98" s="375"/>
      <c r="G98" s="340"/>
      <c r="H98" s="342"/>
    </row>
    <row r="99" spans="1:8" ht="15.75" customHeight="1" x14ac:dyDescent="0.35">
      <c r="A99" s="357"/>
      <c r="B99" s="357"/>
      <c r="C99" s="357"/>
      <c r="D99" s="357"/>
      <c r="E99" s="357"/>
      <c r="F99" s="357"/>
      <c r="G99" s="357"/>
      <c r="H99" s="342"/>
    </row>
    <row r="100" spans="1:8" ht="33" customHeight="1" x14ac:dyDescent="0.35">
      <c r="A100" s="374" t="s">
        <v>308</v>
      </c>
      <c r="B100" s="375"/>
      <c r="C100" s="375"/>
      <c r="D100" s="375"/>
      <c r="E100" s="375"/>
      <c r="F100" s="375"/>
      <c r="G100" s="340"/>
      <c r="H100" s="342"/>
    </row>
    <row r="101" spans="1:8" ht="15.75" customHeight="1" x14ac:dyDescent="0.35">
      <c r="A101" s="357"/>
      <c r="B101" s="357"/>
      <c r="C101" s="357"/>
      <c r="D101" s="357"/>
      <c r="E101" s="357"/>
      <c r="F101" s="357"/>
      <c r="G101" s="357"/>
      <c r="H101" s="342"/>
    </row>
    <row r="102" spans="1:8" ht="52.5" customHeight="1" x14ac:dyDescent="0.35">
      <c r="A102" s="374" t="s">
        <v>309</v>
      </c>
      <c r="B102" s="375"/>
      <c r="C102" s="375"/>
      <c r="D102" s="375"/>
      <c r="E102" s="375"/>
      <c r="F102" s="375"/>
      <c r="G102" s="340"/>
      <c r="H102" s="338"/>
    </row>
    <row r="103" spans="1:8" ht="15.75" customHeight="1" x14ac:dyDescent="0.35">
      <c r="A103" s="357"/>
      <c r="B103" s="357"/>
      <c r="C103" s="357"/>
      <c r="D103" s="357"/>
      <c r="E103" s="357"/>
      <c r="F103" s="357"/>
      <c r="G103" s="357"/>
      <c r="H103" s="338"/>
    </row>
    <row r="104" spans="1:8" ht="37.5" customHeight="1" x14ac:dyDescent="0.35">
      <c r="A104" s="374" t="s">
        <v>310</v>
      </c>
      <c r="B104" s="375"/>
      <c r="C104" s="375"/>
      <c r="D104" s="375"/>
      <c r="E104" s="375"/>
      <c r="F104" s="375"/>
      <c r="G104" s="340"/>
      <c r="H104" s="338"/>
    </row>
    <row r="105" spans="1:8" ht="15.75" customHeight="1" x14ac:dyDescent="0.35">
      <c r="A105" s="357"/>
      <c r="B105" s="357"/>
      <c r="C105" s="357"/>
      <c r="D105" s="357"/>
      <c r="E105" s="357"/>
      <c r="F105" s="357"/>
      <c r="G105" s="357"/>
      <c r="H105" s="338"/>
    </row>
    <row r="106" spans="1:8" ht="20.25" customHeight="1" x14ac:dyDescent="0.35">
      <c r="A106" s="374" t="s">
        <v>311</v>
      </c>
      <c r="B106" s="375"/>
      <c r="C106" s="375"/>
      <c r="D106" s="375"/>
      <c r="E106" s="375"/>
      <c r="F106" s="375"/>
      <c r="G106" s="340"/>
      <c r="H106" s="338"/>
    </row>
    <row r="107" spans="1:8" ht="15.75" customHeight="1" x14ac:dyDescent="0.35">
      <c r="A107" s="357"/>
      <c r="B107" s="357"/>
      <c r="C107" s="357"/>
      <c r="D107" s="357"/>
      <c r="E107" s="357"/>
      <c r="F107" s="357"/>
      <c r="G107" s="357"/>
      <c r="H107" s="338"/>
    </row>
    <row r="108" spans="1:8" ht="21.75" customHeight="1" x14ac:dyDescent="0.35">
      <c r="A108" s="376" t="s">
        <v>312</v>
      </c>
      <c r="B108" s="377"/>
      <c r="C108" s="377"/>
      <c r="D108" s="377"/>
      <c r="E108" s="377"/>
      <c r="F108" s="377"/>
      <c r="G108" s="343"/>
      <c r="H108" s="338"/>
    </row>
    <row r="109" spans="1:8" ht="15.75" customHeight="1" x14ac:dyDescent="0.35">
      <c r="A109" s="357"/>
      <c r="B109" s="357"/>
      <c r="C109" s="357"/>
      <c r="D109" s="357"/>
      <c r="E109" s="357"/>
      <c r="F109" s="357"/>
      <c r="G109" s="357"/>
    </row>
    <row r="110" spans="1:8" ht="29.25" customHeight="1" x14ac:dyDescent="0.35">
      <c r="A110" s="374" t="s">
        <v>313</v>
      </c>
      <c r="B110" s="375"/>
      <c r="C110" s="375"/>
      <c r="D110" s="375"/>
      <c r="E110" s="375"/>
      <c r="F110" s="375"/>
      <c r="G110" s="340"/>
    </row>
    <row r="111" spans="1:8" ht="15.75" customHeight="1" x14ac:dyDescent="0.35">
      <c r="A111" s="341"/>
      <c r="B111" s="341"/>
      <c r="C111" s="341"/>
      <c r="D111" s="341"/>
      <c r="E111" s="341"/>
      <c r="F111" s="341"/>
      <c r="G111" s="341"/>
    </row>
    <row r="112" spans="1:8" ht="54.75" customHeight="1" x14ac:dyDescent="0.35">
      <c r="A112" s="374" t="s">
        <v>314</v>
      </c>
      <c r="B112" s="375"/>
      <c r="C112" s="375"/>
      <c r="D112" s="375"/>
      <c r="E112" s="375"/>
      <c r="F112" s="375"/>
      <c r="G112" s="340"/>
    </row>
    <row r="113" spans="1:7" ht="15.75" customHeight="1" x14ac:dyDescent="0.35">
      <c r="A113" s="357"/>
      <c r="B113" s="357"/>
      <c r="C113" s="357"/>
      <c r="D113" s="357"/>
      <c r="E113" s="357"/>
      <c r="F113" s="357"/>
      <c r="G113" s="357"/>
    </row>
    <row r="114" spans="1:7" ht="36" customHeight="1" x14ac:dyDescent="0.35">
      <c r="A114" s="374" t="s">
        <v>315</v>
      </c>
      <c r="B114" s="375"/>
      <c r="C114" s="375"/>
      <c r="D114" s="375"/>
      <c r="E114" s="375"/>
      <c r="F114" s="375"/>
      <c r="G114" s="340"/>
    </row>
    <row r="116" spans="1:7" ht="42.75" customHeight="1" x14ac:dyDescent="0.35">
      <c r="A116" s="374" t="s">
        <v>316</v>
      </c>
      <c r="B116" s="375"/>
      <c r="C116" s="375"/>
      <c r="D116" s="375"/>
      <c r="E116" s="375"/>
      <c r="F116" s="375"/>
      <c r="G116" s="340"/>
    </row>
    <row r="118" spans="1:7" ht="107.25" customHeight="1" x14ac:dyDescent="0.35">
      <c r="A118" s="374" t="s">
        <v>317</v>
      </c>
      <c r="B118" s="375"/>
      <c r="C118" s="375"/>
      <c r="D118" s="375"/>
      <c r="E118" s="375"/>
      <c r="F118" s="375"/>
      <c r="G118" s="340"/>
    </row>
    <row r="119" spans="1:7" ht="15.75" customHeight="1" x14ac:dyDescent="0.35">
      <c r="B119" s="365"/>
      <c r="C119" s="365"/>
      <c r="D119" s="365"/>
      <c r="E119" s="365"/>
      <c r="F119" s="365"/>
      <c r="G119" s="365"/>
    </row>
    <row r="120" spans="1:7" ht="54" customHeight="1" x14ac:dyDescent="0.35">
      <c r="A120" s="374" t="s">
        <v>318</v>
      </c>
      <c r="B120" s="375"/>
      <c r="C120" s="375"/>
      <c r="D120" s="375"/>
      <c r="E120" s="375"/>
      <c r="F120" s="375"/>
      <c r="G120" s="340"/>
    </row>
  </sheetData>
  <mergeCells count="25">
    <mergeCell ref="A90:F90"/>
    <mergeCell ref="A92:F92"/>
    <mergeCell ref="A96:F96"/>
    <mergeCell ref="F5:G5"/>
    <mergeCell ref="A78:F78"/>
    <mergeCell ref="A82:F82"/>
    <mergeCell ref="A84:F84"/>
    <mergeCell ref="A88:F88"/>
    <mergeCell ref="B45:B46"/>
    <mergeCell ref="D45:D46"/>
    <mergeCell ref="A76:F76"/>
    <mergeCell ref="A80:F80"/>
    <mergeCell ref="A86:F86"/>
    <mergeCell ref="A98:F98"/>
    <mergeCell ref="A100:F100"/>
    <mergeCell ref="A102:F102"/>
    <mergeCell ref="A104:F104"/>
    <mergeCell ref="A106:F106"/>
    <mergeCell ref="A118:F118"/>
    <mergeCell ref="A120:F120"/>
    <mergeCell ref="A108:F108"/>
    <mergeCell ref="A110:F110"/>
    <mergeCell ref="A112:F112"/>
    <mergeCell ref="A114:F114"/>
    <mergeCell ref="A116:F116"/>
  </mergeCells>
  <conditionalFormatting sqref="D24">
    <cfRule type="cellIs" dxfId="0" priority="1" operator="greaterThan">
      <formula>$B$24</formula>
    </cfRule>
  </conditionalFormatting>
  <pageMargins left="0.70866141732283472" right="0.70866141732283472" top="0.74803149606299213" bottom="0.74803149606299213" header="0.31496062992125984" footer="0.31496062992125984"/>
  <pageSetup paperSize="8" scale="71" orientation="landscape" r:id="rId1"/>
  <headerFooter>
    <oddHeader>&amp;CLincolnshire County Council</oddHeader>
    <oddFooter>&amp;C2021/22 Special School Budget Share Calculation
Funding Summary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0E991-3D60-42D8-91C0-7E229FEBAE27}">
  <dimension ref="B2:F22"/>
  <sheetViews>
    <sheetView workbookViewId="0">
      <selection activeCell="C19" sqref="C19"/>
    </sheetView>
  </sheetViews>
  <sheetFormatPr defaultRowHeight="14.5" x14ac:dyDescent="0.35"/>
  <cols>
    <col min="2" max="2" width="23.7265625" bestFit="1" customWidth="1"/>
    <col min="3" max="3" width="8.54296875" bestFit="1" customWidth="1"/>
    <col min="4" max="4" width="11" style="346" bestFit="1" customWidth="1"/>
    <col min="5" max="5" width="11" customWidth="1"/>
    <col min="9" max="9" width="23.7265625" bestFit="1" customWidth="1"/>
  </cols>
  <sheetData>
    <row r="2" spans="2:6" x14ac:dyDescent="0.35">
      <c r="B2" s="345" t="s">
        <v>155</v>
      </c>
    </row>
    <row r="4" spans="2:6" x14ac:dyDescent="0.35">
      <c r="B4" s="347" t="s">
        <v>156</v>
      </c>
      <c r="C4" s="347" t="s">
        <v>157</v>
      </c>
      <c r="D4" s="347" t="s">
        <v>158</v>
      </c>
    </row>
    <row r="5" spans="2:6" x14ac:dyDescent="0.35">
      <c r="B5" s="348" t="s">
        <v>159</v>
      </c>
      <c r="C5" s="348" t="s">
        <v>160</v>
      </c>
      <c r="D5" s="349">
        <v>48843.789577700001</v>
      </c>
    </row>
    <row r="6" spans="2:6" x14ac:dyDescent="0.35">
      <c r="B6" s="348" t="s">
        <v>161</v>
      </c>
      <c r="C6" s="348" t="s">
        <v>162</v>
      </c>
      <c r="D6" s="349">
        <v>32450.587555309736</v>
      </c>
    </row>
    <row r="7" spans="2:6" x14ac:dyDescent="0.35">
      <c r="B7" s="348" t="s">
        <v>163</v>
      </c>
      <c r="C7" s="348" t="s">
        <v>164</v>
      </c>
      <c r="D7" s="349">
        <v>27334.659388646287</v>
      </c>
    </row>
    <row r="8" spans="2:6" x14ac:dyDescent="0.35">
      <c r="B8" s="348" t="s">
        <v>165</v>
      </c>
      <c r="C8" s="348" t="s">
        <v>166</v>
      </c>
      <c r="D8" s="349">
        <v>41077.53</v>
      </c>
    </row>
    <row r="9" spans="2:6" x14ac:dyDescent="0.35">
      <c r="B9" s="348" t="s">
        <v>167</v>
      </c>
      <c r="C9" s="348"/>
      <c r="D9" s="349">
        <v>293</v>
      </c>
    </row>
    <row r="10" spans="2:6" x14ac:dyDescent="0.35">
      <c r="B10" s="348"/>
      <c r="C10" s="348"/>
      <c r="D10" s="349"/>
    </row>
    <row r="11" spans="2:6" x14ac:dyDescent="0.35">
      <c r="B11" s="348"/>
      <c r="C11" s="348"/>
      <c r="D11" s="350">
        <f>SUM(D5:D10)</f>
        <v>149999.56652165603</v>
      </c>
    </row>
    <row r="13" spans="2:6" x14ac:dyDescent="0.35">
      <c r="B13" s="345" t="s">
        <v>168</v>
      </c>
    </row>
    <row r="15" spans="2:6" x14ac:dyDescent="0.35">
      <c r="B15" s="345"/>
      <c r="C15" s="345" t="s">
        <v>169</v>
      </c>
      <c r="D15" s="345" t="s">
        <v>170</v>
      </c>
      <c r="E15" s="345" t="s">
        <v>171</v>
      </c>
      <c r="F15" s="345" t="s">
        <v>172</v>
      </c>
    </row>
    <row r="16" spans="2:6" x14ac:dyDescent="0.35">
      <c r="B16" s="345"/>
      <c r="C16" s="345"/>
      <c r="D16"/>
      <c r="F16" s="346"/>
    </row>
    <row r="17" spans="2:6" x14ac:dyDescent="0.35">
      <c r="B17" s="346" t="s">
        <v>173</v>
      </c>
      <c r="C17" s="346">
        <v>8</v>
      </c>
      <c r="D17" s="346">
        <v>6</v>
      </c>
      <c r="E17" s="346">
        <v>2</v>
      </c>
      <c r="F17" s="346">
        <v>1</v>
      </c>
    </row>
    <row r="18" spans="2:6" x14ac:dyDescent="0.35">
      <c r="B18" s="346" t="s">
        <v>174</v>
      </c>
      <c r="C18" s="346">
        <f>C17*12</f>
        <v>96</v>
      </c>
      <c r="D18" s="346">
        <f>(4*5)+(2*12)</f>
        <v>44</v>
      </c>
      <c r="E18" s="346">
        <f>(1*12)+(1*5)</f>
        <v>17</v>
      </c>
      <c r="F18" s="346">
        <v>5</v>
      </c>
    </row>
    <row r="19" spans="2:6" x14ac:dyDescent="0.35">
      <c r="B19" s="346"/>
      <c r="C19" s="346"/>
      <c r="E19" s="346"/>
      <c r="F19" s="346"/>
    </row>
    <row r="20" spans="2:6" x14ac:dyDescent="0.35">
      <c r="B20" s="346" t="s">
        <v>175</v>
      </c>
      <c r="C20" s="351">
        <v>1</v>
      </c>
      <c r="D20" s="351">
        <f>D18/C18</f>
        <v>0.45833333333333331</v>
      </c>
      <c r="E20" s="351">
        <f>E18/C18</f>
        <v>0.17708333333333334</v>
      </c>
      <c r="F20" s="351">
        <f>F18/C18</f>
        <v>5.2083333333333336E-2</v>
      </c>
    </row>
    <row r="21" spans="2:6" x14ac:dyDescent="0.35">
      <c r="B21" s="345"/>
      <c r="C21" s="346"/>
      <c r="D21"/>
    </row>
    <row r="22" spans="2:6" x14ac:dyDescent="0.35">
      <c r="B22" s="346" t="s">
        <v>176</v>
      </c>
      <c r="C22" s="352">
        <v>122400</v>
      </c>
      <c r="D22" s="353">
        <f>D11*D20</f>
        <v>68749.801322425672</v>
      </c>
      <c r="E22" s="352">
        <f>E20*D11</f>
        <v>26562.423238209922</v>
      </c>
      <c r="F22" s="352">
        <f>D11*F20</f>
        <v>7812.4774230029188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72"/>
  <sheetViews>
    <sheetView topLeftCell="A19" zoomScaleNormal="100" workbookViewId="0">
      <selection activeCell="L42" sqref="L42"/>
    </sheetView>
  </sheetViews>
  <sheetFormatPr defaultColWidth="8.7265625" defaultRowHeight="15.5" x14ac:dyDescent="0.35"/>
  <cols>
    <col min="1" max="1" width="9.453125" style="168" customWidth="1"/>
    <col min="2" max="2" width="4.81640625" style="168" customWidth="1"/>
    <col min="3" max="3" width="16.7265625" style="168" customWidth="1"/>
    <col min="4" max="4" width="8.26953125" style="168" customWidth="1"/>
    <col min="5" max="5" width="7.26953125" style="168" customWidth="1"/>
    <col min="6" max="6" width="10.453125" style="168" customWidth="1"/>
    <col min="7" max="7" width="3.1796875" style="168" customWidth="1"/>
    <col min="8" max="8" width="8.7265625" style="168" bestFit="1" customWidth="1"/>
    <col min="9" max="9" width="3.1796875" style="168" customWidth="1"/>
    <col min="10" max="10" width="9.81640625" style="168" bestFit="1" customWidth="1"/>
    <col min="11" max="11" width="3.1796875" style="168" customWidth="1"/>
    <col min="12" max="12" width="11.54296875" style="168" bestFit="1" customWidth="1"/>
    <col min="13" max="13" width="3.1796875" style="168" customWidth="1"/>
    <col min="14" max="14" width="10.54296875" style="168" customWidth="1"/>
    <col min="15" max="17" width="3.1796875" style="168" customWidth="1"/>
    <col min="18" max="18" width="8.453125" style="168" customWidth="1"/>
    <col min="19" max="19" width="3.1796875" style="168" customWidth="1"/>
    <col min="20" max="20" width="11.26953125" style="168" customWidth="1"/>
    <col min="21" max="21" width="3.1796875" style="168" customWidth="1"/>
    <col min="22" max="22" width="20.7265625" style="168" customWidth="1"/>
    <col min="23" max="25" width="9.81640625" style="168" customWidth="1"/>
    <col min="26" max="16384" width="8.7265625" style="168"/>
  </cols>
  <sheetData>
    <row r="1" spans="1:59" s="96" customFormat="1" ht="21.5" thickTop="1" x14ac:dyDescent="0.5">
      <c r="A1" s="89"/>
      <c r="B1" s="90" t="s">
        <v>177</v>
      </c>
      <c r="C1" s="91"/>
      <c r="D1" s="91"/>
      <c r="E1" s="91"/>
      <c r="F1" s="91"/>
      <c r="G1" s="92"/>
      <c r="H1" s="91"/>
      <c r="I1" s="91"/>
      <c r="J1" s="91"/>
      <c r="K1" s="91"/>
      <c r="L1" s="91"/>
      <c r="M1" s="91"/>
      <c r="N1" s="91"/>
      <c r="O1" s="91"/>
      <c r="P1" s="91"/>
      <c r="Q1" s="91"/>
      <c r="R1" s="91"/>
      <c r="S1" s="91"/>
      <c r="T1" s="91"/>
      <c r="U1" s="93"/>
      <c r="V1" s="89"/>
      <c r="W1" s="94"/>
      <c r="X1" s="89"/>
      <c r="Y1" s="89"/>
      <c r="Z1" s="89"/>
      <c r="AA1" s="89"/>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row>
    <row r="2" spans="1:59" s="96" customFormat="1" ht="21.5" thickBot="1" x14ac:dyDescent="0.55000000000000004">
      <c r="A2" s="97" t="s">
        <v>178</v>
      </c>
      <c r="B2" s="98" t="s">
        <v>179</v>
      </c>
      <c r="C2" s="99"/>
      <c r="D2" s="99"/>
      <c r="E2" s="99"/>
      <c r="F2" s="99"/>
      <c r="G2" s="100"/>
      <c r="H2" s="99"/>
      <c r="I2" s="99"/>
      <c r="J2" s="99"/>
      <c r="K2" s="99"/>
      <c r="L2" s="99"/>
      <c r="M2" s="99"/>
      <c r="N2" s="99"/>
      <c r="O2" s="99"/>
      <c r="P2" s="99"/>
      <c r="Q2" s="99"/>
      <c r="R2" s="99"/>
      <c r="S2" s="99"/>
      <c r="T2" s="99"/>
      <c r="U2" s="99"/>
      <c r="V2" s="101"/>
      <c r="W2" s="94"/>
      <c r="X2" s="89"/>
      <c r="Y2" s="89"/>
      <c r="Z2" s="89"/>
      <c r="AA2" s="89"/>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row>
    <row r="3" spans="1:59" s="96" customFormat="1" ht="21.75" customHeight="1" x14ac:dyDescent="0.5">
      <c r="A3" s="97" t="s">
        <v>180</v>
      </c>
      <c r="B3" s="102" t="s">
        <v>181</v>
      </c>
      <c r="C3" s="103"/>
      <c r="D3" s="103"/>
      <c r="E3" s="103"/>
      <c r="F3" s="103"/>
      <c r="G3" s="104"/>
      <c r="H3" s="103"/>
      <c r="I3" s="103"/>
      <c r="J3" s="103"/>
      <c r="K3" s="103"/>
      <c r="L3" s="103"/>
      <c r="M3" s="103"/>
      <c r="N3" s="103"/>
      <c r="O3" s="103"/>
      <c r="P3" s="103"/>
      <c r="Q3" s="103"/>
      <c r="R3" s="103"/>
      <c r="S3" s="103"/>
      <c r="T3" s="103"/>
      <c r="U3" s="105"/>
      <c r="V3" s="89"/>
      <c r="W3" s="94"/>
      <c r="X3" s="89"/>
      <c r="Y3" s="89"/>
      <c r="Z3" s="89"/>
      <c r="AA3" s="89"/>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row>
    <row r="4" spans="1:59" s="96" customFormat="1" ht="21.75" customHeight="1" x14ac:dyDescent="0.5">
      <c r="A4" s="97"/>
      <c r="B4" s="106"/>
      <c r="C4" s="107"/>
      <c r="D4" s="107"/>
      <c r="E4" s="107"/>
      <c r="F4" s="107"/>
      <c r="G4" s="108"/>
      <c r="H4" s="107"/>
      <c r="I4" s="107"/>
      <c r="J4" s="107"/>
      <c r="K4" s="107"/>
      <c r="L4" s="107"/>
      <c r="M4" s="107"/>
      <c r="N4" s="107"/>
      <c r="O4" s="107"/>
      <c r="P4" s="107"/>
      <c r="Q4" s="107"/>
      <c r="R4" s="107"/>
      <c r="S4" s="107"/>
      <c r="T4" s="107"/>
      <c r="U4" s="109"/>
      <c r="V4" s="89"/>
      <c r="W4" s="94"/>
      <c r="X4" s="89"/>
      <c r="Y4" s="89"/>
      <c r="Z4" s="89"/>
      <c r="AA4" s="89"/>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row>
    <row r="5" spans="1:59" s="96" customFormat="1" ht="21.75" customHeight="1" x14ac:dyDescent="0.5">
      <c r="A5" s="97"/>
      <c r="B5" s="110" t="s">
        <v>182</v>
      </c>
      <c r="C5" s="107"/>
      <c r="D5" s="107"/>
      <c r="E5" s="107"/>
      <c r="F5" s="107"/>
      <c r="G5" s="108"/>
      <c r="H5" s="107"/>
      <c r="I5" s="107"/>
      <c r="J5" s="107"/>
      <c r="K5" s="107"/>
      <c r="L5" s="107"/>
      <c r="M5" s="107"/>
      <c r="N5" s="107"/>
      <c r="O5" s="107"/>
      <c r="P5" s="107"/>
      <c r="Q5" s="107"/>
      <c r="R5" s="107"/>
      <c r="S5" s="107"/>
      <c r="T5" s="107"/>
      <c r="U5" s="109"/>
      <c r="V5" s="89" t="s">
        <v>183</v>
      </c>
      <c r="W5" s="94"/>
      <c r="X5" s="89"/>
      <c r="Y5" s="89"/>
      <c r="Z5" s="89"/>
      <c r="AA5" s="89"/>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row>
    <row r="6" spans="1:59" s="96" customFormat="1" ht="21.75" customHeight="1" x14ac:dyDescent="0.5">
      <c r="A6" s="97"/>
      <c r="B6" s="110" t="s">
        <v>184</v>
      </c>
      <c r="C6" s="111"/>
      <c r="D6" s="111"/>
      <c r="E6" s="111"/>
      <c r="F6" s="111"/>
      <c r="G6" s="111"/>
      <c r="H6" s="111"/>
      <c r="I6" s="111"/>
      <c r="J6" s="111"/>
      <c r="K6" s="111"/>
      <c r="L6" s="111"/>
      <c r="M6" s="111"/>
      <c r="N6" s="111"/>
      <c r="O6" s="111"/>
      <c r="P6" s="111"/>
      <c r="Q6" s="111"/>
      <c r="R6" s="111"/>
      <c r="S6" s="111"/>
      <c r="T6" s="111"/>
      <c r="U6" s="112"/>
      <c r="V6" s="89"/>
      <c r="W6" s="89"/>
      <c r="X6" s="89"/>
      <c r="Y6" s="89"/>
      <c r="Z6" s="89"/>
      <c r="AA6" s="89"/>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row>
    <row r="7" spans="1:59" s="96" customFormat="1" ht="21.75" customHeight="1" x14ac:dyDescent="0.5">
      <c r="A7" s="97"/>
      <c r="B7" s="110" t="s">
        <v>185</v>
      </c>
      <c r="C7" s="111"/>
      <c r="D7" s="111"/>
      <c r="E7" s="111"/>
      <c r="F7" s="111"/>
      <c r="G7" s="111"/>
      <c r="H7" s="111"/>
      <c r="I7" s="111"/>
      <c r="J7" s="111"/>
      <c r="K7" s="111"/>
      <c r="L7" s="111"/>
      <c r="M7" s="111"/>
      <c r="N7" s="111"/>
      <c r="O7" s="111"/>
      <c r="P7" s="111"/>
      <c r="Q7" s="111"/>
      <c r="R7" s="111"/>
      <c r="S7" s="111"/>
      <c r="T7" s="111"/>
      <c r="U7" s="112"/>
      <c r="V7" s="89"/>
      <c r="W7" s="113"/>
      <c r="X7" s="113"/>
      <c r="Y7" s="113"/>
      <c r="Z7" s="89"/>
      <c r="AA7" s="89"/>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row>
    <row r="8" spans="1:59" s="96" customFormat="1" ht="21.75" customHeight="1" thickBot="1" x14ac:dyDescent="0.55000000000000004">
      <c r="A8" s="97"/>
      <c r="B8" s="114" t="s">
        <v>186</v>
      </c>
      <c r="C8" s="115"/>
      <c r="D8" s="115"/>
      <c r="E8" s="115"/>
      <c r="F8" s="115"/>
      <c r="G8" s="115"/>
      <c r="H8" s="115"/>
      <c r="I8" s="115"/>
      <c r="J8" s="115"/>
      <c r="K8" s="115"/>
      <c r="L8" s="115"/>
      <c r="M8" s="115"/>
      <c r="N8" s="115"/>
      <c r="O8" s="115"/>
      <c r="P8" s="115"/>
      <c r="Q8" s="115"/>
      <c r="R8" s="115"/>
      <c r="S8" s="115"/>
      <c r="T8" s="115"/>
      <c r="U8" s="116"/>
      <c r="V8" s="89"/>
      <c r="W8" s="113"/>
      <c r="X8" s="113"/>
      <c r="Y8" s="113"/>
      <c r="Z8" s="89"/>
      <c r="AA8" s="89"/>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row>
    <row r="9" spans="1:59" s="96" customFormat="1" ht="21.75" customHeight="1" x14ac:dyDescent="0.5">
      <c r="A9" s="97" t="s">
        <v>187</v>
      </c>
      <c r="B9" s="117"/>
      <c r="C9" s="383" t="s">
        <v>188</v>
      </c>
      <c r="D9" s="383"/>
      <c r="E9" s="118"/>
      <c r="F9" s="119" t="s">
        <v>189</v>
      </c>
      <c r="G9" s="118"/>
      <c r="H9" s="118"/>
      <c r="I9" s="118"/>
      <c r="J9" s="118"/>
      <c r="K9" s="118"/>
      <c r="L9" s="118"/>
      <c r="M9" s="118"/>
      <c r="N9" s="118"/>
      <c r="O9" s="120" t="s">
        <v>190</v>
      </c>
      <c r="P9" s="121"/>
      <c r="Q9" s="121"/>
      <c r="R9" s="122"/>
      <c r="S9" s="122"/>
      <c r="T9" s="122"/>
      <c r="U9" s="123"/>
      <c r="V9" s="97" t="s">
        <v>191</v>
      </c>
      <c r="W9" s="124" t="s">
        <v>192</v>
      </c>
      <c r="X9" s="125">
        <v>1</v>
      </c>
      <c r="Y9" s="126">
        <v>2</v>
      </c>
      <c r="Z9" s="89"/>
      <c r="AA9" s="89"/>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row>
    <row r="10" spans="1:59" s="134" customFormat="1" x14ac:dyDescent="0.45">
      <c r="A10" s="127"/>
      <c r="B10" s="128"/>
      <c r="C10" s="129">
        <f>$W$10</f>
        <v>0</v>
      </c>
      <c r="D10" s="129">
        <f>W12</f>
        <v>8840</v>
      </c>
      <c r="E10" s="129"/>
      <c r="F10" s="130" t="s">
        <v>193</v>
      </c>
      <c r="G10" s="129"/>
      <c r="H10" s="129"/>
      <c r="I10" s="129"/>
      <c r="J10" s="129"/>
      <c r="K10" s="129"/>
      <c r="L10" s="129"/>
      <c r="M10" s="129"/>
      <c r="N10" s="129"/>
      <c r="O10" s="129"/>
      <c r="P10" s="129"/>
      <c r="Q10" s="129"/>
      <c r="R10" s="129"/>
      <c r="S10" s="129"/>
      <c r="T10" s="129"/>
      <c r="U10" s="131"/>
      <c r="V10" s="132"/>
      <c r="W10" s="128">
        <v>0</v>
      </c>
      <c r="X10" s="129">
        <v>0</v>
      </c>
      <c r="Y10" s="131">
        <v>0</v>
      </c>
      <c r="Z10" s="132"/>
      <c r="AA10" s="132"/>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row>
    <row r="11" spans="1:59" s="134" customFormat="1" x14ac:dyDescent="0.45">
      <c r="A11" s="127"/>
      <c r="B11" s="128"/>
      <c r="C11" s="129">
        <f>W12</f>
        <v>8840</v>
      </c>
      <c r="D11" s="129" t="s">
        <v>194</v>
      </c>
      <c r="E11" s="129"/>
      <c r="F11" s="130" t="s">
        <v>195</v>
      </c>
      <c r="G11" s="129"/>
      <c r="H11" s="135">
        <f>$Y$12*100</f>
        <v>13.8</v>
      </c>
      <c r="I11" s="135" t="s">
        <v>196</v>
      </c>
      <c r="J11" s="129"/>
      <c r="K11" s="129"/>
      <c r="L11" s="135"/>
      <c r="M11" s="136"/>
      <c r="N11" s="129"/>
      <c r="O11" s="129"/>
      <c r="P11" s="129"/>
      <c r="Q11" s="129"/>
      <c r="R11" s="137"/>
      <c r="S11" s="129"/>
      <c r="T11" s="138"/>
      <c r="U11" s="139"/>
      <c r="V11" s="140" t="s">
        <v>197</v>
      </c>
      <c r="W11" s="128">
        <v>6240</v>
      </c>
      <c r="X11" s="141">
        <v>0</v>
      </c>
      <c r="Y11" s="142"/>
      <c r="Z11" s="132"/>
      <c r="AA11" s="132"/>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row>
    <row r="12" spans="1:59" s="134" customFormat="1" ht="16" thickBot="1" x14ac:dyDescent="0.5">
      <c r="A12" s="127"/>
      <c r="B12" s="143"/>
      <c r="C12" s="144"/>
      <c r="D12" s="144"/>
      <c r="E12" s="144"/>
      <c r="F12" s="144"/>
      <c r="G12" s="145"/>
      <c r="H12" s="146"/>
      <c r="I12" s="145"/>
      <c r="J12" s="144"/>
      <c r="K12" s="147"/>
      <c r="L12" s="148"/>
      <c r="M12" s="147"/>
      <c r="N12" s="144"/>
      <c r="O12" s="144"/>
      <c r="P12" s="149"/>
      <c r="Q12" s="144"/>
      <c r="R12" s="150"/>
      <c r="S12" s="144"/>
      <c r="T12" s="144"/>
      <c r="U12" s="151"/>
      <c r="V12" s="140" t="s">
        <v>198</v>
      </c>
      <c r="W12" s="128">
        <v>8840</v>
      </c>
      <c r="X12" s="141">
        <v>0</v>
      </c>
      <c r="Y12" s="142">
        <v>0.13800000000000001</v>
      </c>
      <c r="Z12" s="132"/>
      <c r="AA12" s="132"/>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row>
    <row r="13" spans="1:59" s="134" customFormat="1" ht="17" thickBot="1" x14ac:dyDescent="0.5">
      <c r="A13" s="97"/>
      <c r="B13" s="152"/>
      <c r="C13" s="153"/>
      <c r="D13" s="153"/>
      <c r="E13" s="154"/>
      <c r="F13" s="153"/>
      <c r="G13" s="154"/>
      <c r="H13" s="153"/>
      <c r="I13" s="154"/>
      <c r="J13" s="153"/>
      <c r="K13" s="154"/>
      <c r="L13" s="153"/>
      <c r="M13" s="154"/>
      <c r="N13" s="154"/>
      <c r="O13" s="154"/>
      <c r="P13" s="154"/>
      <c r="Q13" s="154"/>
      <c r="R13" s="154"/>
      <c r="S13" s="154"/>
      <c r="T13" s="154"/>
      <c r="U13" s="154"/>
      <c r="V13" s="140" t="s">
        <v>199</v>
      </c>
      <c r="W13" s="128">
        <v>50270</v>
      </c>
      <c r="X13" s="141">
        <v>0</v>
      </c>
      <c r="Y13" s="131"/>
      <c r="Z13" s="132"/>
      <c r="AA13" s="132"/>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row>
    <row r="14" spans="1:59" s="134" customFormat="1" ht="17.5" thickTop="1" thickBot="1" x14ac:dyDescent="0.5">
      <c r="A14" s="155"/>
      <c r="B14" s="156"/>
      <c r="C14" s="156"/>
      <c r="D14" s="156"/>
      <c r="E14" s="156"/>
      <c r="F14" s="157"/>
      <c r="G14" s="156"/>
      <c r="H14" s="156"/>
      <c r="I14" s="156"/>
      <c r="J14" s="156"/>
      <c r="K14" s="156"/>
      <c r="L14" s="156"/>
      <c r="M14" s="156"/>
      <c r="N14" s="156"/>
      <c r="O14" s="156"/>
      <c r="P14" s="156"/>
      <c r="Q14" s="156"/>
      <c r="R14" s="156"/>
      <c r="S14" s="156"/>
      <c r="T14" s="156"/>
      <c r="U14" s="156"/>
      <c r="V14" s="132"/>
      <c r="W14" s="128"/>
      <c r="X14" s="141"/>
      <c r="Y14" s="142"/>
      <c r="Z14" s="132"/>
      <c r="AA14" s="132"/>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row>
    <row r="15" spans="1:59" s="134" customFormat="1" ht="18.75" customHeight="1" thickTop="1" thickBot="1" x14ac:dyDescent="0.5">
      <c r="A15" s="97" t="s">
        <v>200</v>
      </c>
      <c r="B15" s="384" t="s">
        <v>201</v>
      </c>
      <c r="C15" s="385"/>
      <c r="D15" s="385"/>
      <c r="E15" s="385"/>
      <c r="F15" s="385"/>
      <c r="G15" s="385"/>
      <c r="H15" s="385"/>
      <c r="I15" s="385"/>
      <c r="J15" s="385"/>
      <c r="K15" s="385"/>
      <c r="L15" s="385"/>
      <c r="M15" s="386"/>
      <c r="N15" s="387" t="s">
        <v>202</v>
      </c>
      <c r="O15" s="388"/>
      <c r="P15" s="388"/>
      <c r="Q15" s="388"/>
      <c r="R15" s="388"/>
      <c r="S15" s="388"/>
      <c r="T15" s="388"/>
      <c r="U15" s="388"/>
      <c r="V15" s="158"/>
      <c r="W15" s="159" t="s">
        <v>203</v>
      </c>
      <c r="X15" s="160">
        <v>0.25900000000000001</v>
      </c>
      <c r="Y15" s="151"/>
      <c r="Z15" s="132"/>
      <c r="AA15" s="132"/>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row>
    <row r="16" spans="1:59" x14ac:dyDescent="0.35">
      <c r="A16" s="89"/>
      <c r="B16" s="161"/>
      <c r="C16" s="162" t="s">
        <v>204</v>
      </c>
      <c r="D16" s="162" t="s">
        <v>205</v>
      </c>
      <c r="E16" s="162"/>
      <c r="F16" s="163" t="s">
        <v>206</v>
      </c>
      <c r="G16" s="162"/>
      <c r="H16" s="163" t="s">
        <v>207</v>
      </c>
      <c r="I16" s="162"/>
      <c r="J16" s="163" t="s">
        <v>203</v>
      </c>
      <c r="K16" s="162"/>
      <c r="L16" s="163" t="s">
        <v>208</v>
      </c>
      <c r="M16" s="164"/>
      <c r="N16" s="165" t="s">
        <v>206</v>
      </c>
      <c r="O16" s="162"/>
      <c r="P16" s="162"/>
      <c r="Q16" s="162"/>
      <c r="R16" s="163" t="s">
        <v>207</v>
      </c>
      <c r="S16" s="162"/>
      <c r="T16" s="166" t="s">
        <v>208</v>
      </c>
      <c r="U16" s="167"/>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row>
    <row r="17" spans="1:59" ht="16" customHeight="1" thickBot="1" x14ac:dyDescent="0.4">
      <c r="A17" s="89"/>
      <c r="B17" s="169"/>
      <c r="C17" s="170"/>
      <c r="D17" s="170"/>
      <c r="E17" s="170"/>
      <c r="F17" s="170"/>
      <c r="G17" s="170"/>
      <c r="H17" s="170"/>
      <c r="I17" s="170"/>
      <c r="J17" s="170"/>
      <c r="K17" s="170"/>
      <c r="L17" s="170"/>
      <c r="M17" s="170"/>
      <c r="N17" s="171"/>
      <c r="O17" s="170"/>
      <c r="P17" s="170"/>
      <c r="Q17" s="170"/>
      <c r="R17" s="170"/>
      <c r="S17" s="170"/>
      <c r="T17" s="170"/>
      <c r="U17" s="172"/>
      <c r="V17" s="89"/>
      <c r="W17" s="89"/>
      <c r="X17" s="173"/>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row>
    <row r="18" spans="1:59" ht="16" customHeight="1" x14ac:dyDescent="0.35">
      <c r="A18" s="89"/>
      <c r="B18" s="174"/>
      <c r="C18" s="175" t="s">
        <v>209</v>
      </c>
      <c r="D18" s="176"/>
      <c r="E18" s="177"/>
      <c r="F18" s="178"/>
      <c r="G18" s="178"/>
      <c r="H18" s="178"/>
      <c r="I18" s="178"/>
      <c r="J18" s="178"/>
      <c r="K18" s="178"/>
      <c r="L18" s="178"/>
      <c r="M18" s="178"/>
      <c r="N18" s="179"/>
      <c r="O18" s="178"/>
      <c r="P18" s="178"/>
      <c r="Q18" s="178"/>
      <c r="R18" s="178"/>
      <c r="S18" s="178"/>
      <c r="T18" s="178"/>
      <c r="U18" s="180"/>
      <c r="V18" s="89"/>
      <c r="W18" s="89"/>
      <c r="X18" s="173"/>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row>
    <row r="19" spans="1:59" ht="16" customHeight="1" x14ac:dyDescent="0.35">
      <c r="A19" s="89"/>
      <c r="B19" s="174"/>
      <c r="C19" s="181" t="s">
        <v>210</v>
      </c>
      <c r="D19" s="176"/>
      <c r="E19" s="177"/>
      <c r="F19" s="178"/>
      <c r="G19" s="178"/>
      <c r="H19" s="178"/>
      <c r="I19" s="178"/>
      <c r="J19" s="178"/>
      <c r="K19" s="178"/>
      <c r="L19" s="178"/>
      <c r="M19" s="178"/>
      <c r="N19" s="179"/>
      <c r="O19" s="178"/>
      <c r="P19" s="178"/>
      <c r="Q19" s="178"/>
      <c r="R19" s="178"/>
      <c r="S19" s="178"/>
      <c r="T19" s="178"/>
      <c r="U19" s="180"/>
      <c r="V19" s="89"/>
      <c r="W19" s="182" t="s">
        <v>211</v>
      </c>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row>
    <row r="20" spans="1:59" ht="16" customHeight="1" x14ac:dyDescent="0.35">
      <c r="A20" s="89"/>
      <c r="B20" s="183"/>
      <c r="C20" s="181" t="s">
        <v>212</v>
      </c>
      <c r="D20" s="181">
        <v>6</v>
      </c>
      <c r="E20" s="177"/>
      <c r="F20" s="178">
        <v>16018.951965065502</v>
      </c>
      <c r="G20" s="178"/>
      <c r="H20" s="178">
        <f t="shared" ref="H20:H39" si="0">IF($F20&gt;$W$12,($F20-$W$12)*$Y$12,"ERROR")</f>
        <v>990.6953711790394</v>
      </c>
      <c r="I20" s="178"/>
      <c r="J20" s="178">
        <f t="shared" ref="J20:J39" si="1">$F20*$X$15</f>
        <v>4148.9085589519655</v>
      </c>
      <c r="K20" s="178"/>
      <c r="L20" s="178">
        <f t="shared" ref="L20:L39" si="2">F20+ROUND(H20,0)+ROUND(J20,0)</f>
        <v>21158.951965065502</v>
      </c>
      <c r="M20" s="178"/>
      <c r="N20" s="179">
        <f t="shared" ref="N20:N39" si="3">F20</f>
        <v>16018.951965065502</v>
      </c>
      <c r="O20" s="178"/>
      <c r="P20" s="178"/>
      <c r="Q20" s="178"/>
      <c r="R20" s="178">
        <f t="shared" ref="R20:R39" si="4">IF($N20&gt;$W$12,($N20-$W$12)*$Y$12,"ERROR")</f>
        <v>990.6953711790394</v>
      </c>
      <c r="S20" s="178"/>
      <c r="T20" s="178">
        <f t="shared" ref="T20:T39" si="5">SUM(N20:R20)</f>
        <v>17009.647336244543</v>
      </c>
      <c r="U20" s="180"/>
      <c r="V20" s="184"/>
      <c r="W20" s="182" t="s">
        <v>213</v>
      </c>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row>
    <row r="21" spans="1:59" ht="16" customHeight="1" x14ac:dyDescent="0.35">
      <c r="A21" s="89"/>
      <c r="B21" s="183"/>
      <c r="C21" s="181" t="s">
        <v>209</v>
      </c>
      <c r="D21" s="181">
        <v>7</v>
      </c>
      <c r="E21" s="177"/>
      <c r="F21" s="178">
        <v>16328.908296943231</v>
      </c>
      <c r="G21" s="178"/>
      <c r="H21" s="178">
        <f t="shared" si="0"/>
        <v>1033.469344978166</v>
      </c>
      <c r="I21" s="178"/>
      <c r="J21" s="178">
        <f t="shared" si="1"/>
        <v>4229.1872489082971</v>
      </c>
      <c r="K21" s="178"/>
      <c r="L21" s="178">
        <f t="shared" si="2"/>
        <v>21590.908296943231</v>
      </c>
      <c r="M21" s="178"/>
      <c r="N21" s="179">
        <f t="shared" si="3"/>
        <v>16328.908296943231</v>
      </c>
      <c r="O21" s="178"/>
      <c r="P21" s="178"/>
      <c r="Q21" s="178"/>
      <c r="R21" s="178">
        <f t="shared" si="4"/>
        <v>1033.469344978166</v>
      </c>
      <c r="S21" s="178"/>
      <c r="T21" s="178">
        <f t="shared" si="5"/>
        <v>17362.377641921397</v>
      </c>
      <c r="U21" s="180"/>
      <c r="V21" s="184"/>
      <c r="W21" s="182"/>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row>
    <row r="22" spans="1:59" ht="16" customHeight="1" x14ac:dyDescent="0.35">
      <c r="A22" s="89"/>
      <c r="B22" s="183"/>
      <c r="C22" s="181" t="s">
        <v>209</v>
      </c>
      <c r="D22" s="181">
        <v>8</v>
      </c>
      <c r="E22" s="177"/>
      <c r="F22" s="178">
        <v>16675.48034934498</v>
      </c>
      <c r="G22" s="178"/>
      <c r="H22" s="178">
        <f t="shared" si="0"/>
        <v>1081.2962882096074</v>
      </c>
      <c r="I22" s="178"/>
      <c r="J22" s="178">
        <f t="shared" si="1"/>
        <v>4318.9494104803498</v>
      </c>
      <c r="K22" s="178"/>
      <c r="L22" s="178">
        <f t="shared" si="2"/>
        <v>22075.48034934498</v>
      </c>
      <c r="M22" s="178"/>
      <c r="N22" s="179">
        <f t="shared" si="3"/>
        <v>16675.48034934498</v>
      </c>
      <c r="O22" s="178"/>
      <c r="P22" s="178"/>
      <c r="Q22" s="178"/>
      <c r="R22" s="178">
        <f t="shared" si="4"/>
        <v>1081.2962882096074</v>
      </c>
      <c r="S22" s="178"/>
      <c r="T22" s="178">
        <f t="shared" si="5"/>
        <v>17756.776637554587</v>
      </c>
      <c r="U22" s="180"/>
      <c r="V22" s="184"/>
      <c r="W22" s="182" t="s">
        <v>214</v>
      </c>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row>
    <row r="23" spans="1:59" ht="16" customHeight="1" x14ac:dyDescent="0.35">
      <c r="A23" s="89"/>
      <c r="B23" s="183"/>
      <c r="C23" s="185" t="s">
        <v>209</v>
      </c>
      <c r="D23" s="185">
        <v>9</v>
      </c>
      <c r="E23" s="186"/>
      <c r="F23" s="187">
        <v>16986.288209606988</v>
      </c>
      <c r="G23" s="187"/>
      <c r="H23" s="187">
        <f t="shared" si="0"/>
        <v>1124.1877729257644</v>
      </c>
      <c r="I23" s="187"/>
      <c r="J23" s="187">
        <f t="shared" si="1"/>
        <v>4399.4486462882096</v>
      </c>
      <c r="K23" s="187"/>
      <c r="L23" s="187">
        <f t="shared" si="2"/>
        <v>22509.288209606988</v>
      </c>
      <c r="M23" s="187"/>
      <c r="N23" s="188">
        <f t="shared" si="3"/>
        <v>16986.288209606988</v>
      </c>
      <c r="O23" s="187"/>
      <c r="P23" s="187"/>
      <c r="Q23" s="187"/>
      <c r="R23" s="187">
        <f t="shared" si="4"/>
        <v>1124.1877729257644</v>
      </c>
      <c r="S23" s="187"/>
      <c r="T23" s="187">
        <f t="shared" si="5"/>
        <v>18110.475982532753</v>
      </c>
      <c r="U23" s="180"/>
      <c r="V23" s="89"/>
      <c r="W23" s="182" t="s">
        <v>215</v>
      </c>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row>
    <row r="24" spans="1:59" ht="16" customHeight="1" x14ac:dyDescent="0.35">
      <c r="A24" s="89"/>
      <c r="B24" s="183"/>
      <c r="C24" s="181" t="s">
        <v>216</v>
      </c>
      <c r="D24" s="181">
        <v>12</v>
      </c>
      <c r="E24" s="177"/>
      <c r="F24" s="178">
        <v>18012.379912663757</v>
      </c>
      <c r="G24" s="178"/>
      <c r="H24" s="178">
        <f t="shared" si="0"/>
        <v>1265.7884279475986</v>
      </c>
      <c r="I24" s="178"/>
      <c r="J24" s="178">
        <f t="shared" si="1"/>
        <v>4665.2063973799131</v>
      </c>
      <c r="K24" s="178"/>
      <c r="L24" s="178">
        <f t="shared" si="2"/>
        <v>23943.379912663757</v>
      </c>
      <c r="M24" s="178"/>
      <c r="N24" s="179">
        <f t="shared" si="3"/>
        <v>18012.379912663757</v>
      </c>
      <c r="O24" s="178"/>
      <c r="P24" s="178"/>
      <c r="Q24" s="178"/>
      <c r="R24" s="178">
        <f t="shared" si="4"/>
        <v>1265.7884279475986</v>
      </c>
      <c r="S24" s="178"/>
      <c r="T24" s="178">
        <f t="shared" si="5"/>
        <v>19278.168340611355</v>
      </c>
      <c r="U24" s="180"/>
      <c r="V24" s="184"/>
      <c r="W24" s="182"/>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row>
    <row r="25" spans="1:59" ht="16" customHeight="1" x14ac:dyDescent="0.35">
      <c r="A25" s="89"/>
      <c r="B25" s="183"/>
      <c r="C25" s="181" t="s">
        <v>217</v>
      </c>
      <c r="D25" s="181">
        <v>13</v>
      </c>
      <c r="E25" s="177"/>
      <c r="F25" s="178">
        <v>18717.445414847163</v>
      </c>
      <c r="G25" s="178"/>
      <c r="H25" s="178">
        <f t="shared" si="0"/>
        <v>1363.0874672489085</v>
      </c>
      <c r="I25" s="178"/>
      <c r="J25" s="178">
        <f t="shared" si="1"/>
        <v>4847.818362445415</v>
      </c>
      <c r="K25" s="178"/>
      <c r="L25" s="178">
        <f t="shared" si="2"/>
        <v>24928.445414847163</v>
      </c>
      <c r="M25" s="178"/>
      <c r="N25" s="179">
        <f t="shared" si="3"/>
        <v>18717.445414847163</v>
      </c>
      <c r="O25" s="178"/>
      <c r="P25" s="178"/>
      <c r="Q25" s="178"/>
      <c r="R25" s="178">
        <f t="shared" si="4"/>
        <v>1363.0874672489085</v>
      </c>
      <c r="S25" s="178"/>
      <c r="T25" s="178">
        <f t="shared" si="5"/>
        <v>20080.532882096071</v>
      </c>
      <c r="U25" s="180"/>
      <c r="V25" s="184"/>
      <c r="W25" s="182" t="s">
        <v>218</v>
      </c>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row>
    <row r="26" spans="1:59" ht="16" customHeight="1" x14ac:dyDescent="0.35">
      <c r="A26" s="89"/>
      <c r="B26" s="183"/>
      <c r="C26" s="181" t="s">
        <v>209</v>
      </c>
      <c r="D26" s="181">
        <v>14</v>
      </c>
      <c r="E26" s="177"/>
      <c r="F26" s="178">
        <v>19489.781659388645</v>
      </c>
      <c r="G26" s="178"/>
      <c r="H26" s="178">
        <f t="shared" si="0"/>
        <v>1469.6698689956331</v>
      </c>
      <c r="I26" s="178"/>
      <c r="J26" s="178">
        <f t="shared" si="1"/>
        <v>5047.853449781659</v>
      </c>
      <c r="K26" s="178"/>
      <c r="L26" s="178">
        <f t="shared" si="2"/>
        <v>26007.781659388645</v>
      </c>
      <c r="M26" s="189"/>
      <c r="N26" s="178">
        <f t="shared" si="3"/>
        <v>19489.781659388645</v>
      </c>
      <c r="O26" s="178"/>
      <c r="P26" s="178"/>
      <c r="Q26" s="178"/>
      <c r="R26" s="178">
        <f t="shared" si="4"/>
        <v>1469.6698689956331</v>
      </c>
      <c r="S26" s="178"/>
      <c r="T26" s="178">
        <f t="shared" si="5"/>
        <v>20959.451528384277</v>
      </c>
      <c r="U26" s="180"/>
      <c r="V26" s="184"/>
      <c r="W26" s="182" t="s">
        <v>219</v>
      </c>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row>
    <row r="27" spans="1:59" ht="16" customHeight="1" x14ac:dyDescent="0.35">
      <c r="A27" s="89"/>
      <c r="B27" s="183"/>
      <c r="C27" s="185" t="s">
        <v>209</v>
      </c>
      <c r="D27" s="185">
        <v>15</v>
      </c>
      <c r="E27" s="186"/>
      <c r="F27" s="187">
        <v>20258.711790393012</v>
      </c>
      <c r="G27" s="187"/>
      <c r="H27" s="187">
        <f t="shared" si="0"/>
        <v>1575.7822270742358</v>
      </c>
      <c r="I27" s="187"/>
      <c r="J27" s="187">
        <f t="shared" si="1"/>
        <v>5247.0063537117903</v>
      </c>
      <c r="K27" s="187"/>
      <c r="L27" s="187">
        <f t="shared" si="2"/>
        <v>27081.711790393012</v>
      </c>
      <c r="M27" s="187"/>
      <c r="N27" s="188">
        <f t="shared" si="3"/>
        <v>20258.711790393012</v>
      </c>
      <c r="O27" s="187"/>
      <c r="P27" s="187"/>
      <c r="Q27" s="187"/>
      <c r="R27" s="187">
        <f t="shared" si="4"/>
        <v>1575.7822270742358</v>
      </c>
      <c r="S27" s="187"/>
      <c r="T27" s="187">
        <f t="shared" si="5"/>
        <v>21834.494017467248</v>
      </c>
      <c r="U27" s="180"/>
      <c r="V27" s="184"/>
      <c r="W27" s="182"/>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row>
    <row r="28" spans="1:59" ht="16" customHeight="1" x14ac:dyDescent="0.35">
      <c r="A28" s="89"/>
      <c r="B28" s="183"/>
      <c r="C28" s="181" t="s">
        <v>220</v>
      </c>
      <c r="D28" s="181">
        <v>15</v>
      </c>
      <c r="E28" s="177"/>
      <c r="F28" s="178">
        <v>20258.711790393012</v>
      </c>
      <c r="G28" s="178"/>
      <c r="H28" s="178">
        <f t="shared" si="0"/>
        <v>1575.7822270742358</v>
      </c>
      <c r="I28" s="178"/>
      <c r="J28" s="178">
        <f t="shared" si="1"/>
        <v>5247.0063537117903</v>
      </c>
      <c r="K28" s="178"/>
      <c r="L28" s="178">
        <f t="shared" si="2"/>
        <v>27081.711790393012</v>
      </c>
      <c r="M28" s="178"/>
      <c r="N28" s="179">
        <f t="shared" si="3"/>
        <v>20258.711790393012</v>
      </c>
      <c r="O28" s="178"/>
      <c r="P28" s="178"/>
      <c r="Q28" s="178"/>
      <c r="R28" s="178">
        <f t="shared" si="4"/>
        <v>1575.7822270742358</v>
      </c>
      <c r="S28" s="178"/>
      <c r="T28" s="178">
        <f t="shared" si="5"/>
        <v>21834.494017467248</v>
      </c>
      <c r="U28" s="180"/>
      <c r="V28" s="184"/>
      <c r="W28" s="182" t="s">
        <v>221</v>
      </c>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row>
    <row r="29" spans="1:59" ht="16" customHeight="1" x14ac:dyDescent="0.35">
      <c r="A29" s="89"/>
      <c r="B29" s="183"/>
      <c r="C29" s="181" t="s">
        <v>222</v>
      </c>
      <c r="D29" s="181">
        <v>16</v>
      </c>
      <c r="E29" s="177"/>
      <c r="F29" s="178">
        <v>20720.24017467249</v>
      </c>
      <c r="G29" s="178"/>
      <c r="H29" s="178">
        <f t="shared" si="0"/>
        <v>1639.4731441048039</v>
      </c>
      <c r="I29" s="178"/>
      <c r="J29" s="178">
        <f t="shared" si="1"/>
        <v>5366.5422052401755</v>
      </c>
      <c r="K29" s="178"/>
      <c r="L29" s="178">
        <f t="shared" si="2"/>
        <v>27726.24017467249</v>
      </c>
      <c r="M29" s="178"/>
      <c r="N29" s="179">
        <f t="shared" si="3"/>
        <v>20720.24017467249</v>
      </c>
      <c r="O29" s="178"/>
      <c r="P29" s="178"/>
      <c r="Q29" s="178"/>
      <c r="R29" s="178">
        <f t="shared" si="4"/>
        <v>1639.4731441048039</v>
      </c>
      <c r="S29" s="178"/>
      <c r="T29" s="178">
        <f t="shared" si="5"/>
        <v>22359.713318777292</v>
      </c>
      <c r="U29" s="180"/>
      <c r="V29" s="184"/>
      <c r="W29" s="182" t="s">
        <v>223</v>
      </c>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row>
    <row r="30" spans="1:59" ht="16" customHeight="1" x14ac:dyDescent="0.35">
      <c r="A30" s="89"/>
      <c r="B30" s="183"/>
      <c r="C30" s="181" t="s">
        <v>224</v>
      </c>
      <c r="D30" s="181">
        <v>17</v>
      </c>
      <c r="E30" s="177"/>
      <c r="F30" s="178">
        <v>21392.947598253275</v>
      </c>
      <c r="G30" s="178"/>
      <c r="H30" s="178">
        <f t="shared" si="0"/>
        <v>1732.3067685589522</v>
      </c>
      <c r="I30" s="178"/>
      <c r="J30" s="178">
        <f t="shared" si="1"/>
        <v>5540.7734279475981</v>
      </c>
      <c r="K30" s="178"/>
      <c r="L30" s="178">
        <f t="shared" si="2"/>
        <v>28665.947598253275</v>
      </c>
      <c r="M30" s="178"/>
      <c r="N30" s="179">
        <f t="shared" si="3"/>
        <v>21392.947598253275</v>
      </c>
      <c r="O30" s="178"/>
      <c r="P30" s="178"/>
      <c r="Q30" s="178"/>
      <c r="R30" s="178">
        <f t="shared" si="4"/>
        <v>1732.3067685589522</v>
      </c>
      <c r="S30" s="178"/>
      <c r="T30" s="178">
        <f t="shared" si="5"/>
        <v>23125.254366812227</v>
      </c>
      <c r="U30" s="180"/>
      <c r="V30" s="184"/>
      <c r="W30" s="182" t="s">
        <v>225</v>
      </c>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row>
    <row r="31" spans="1:59" ht="16" customHeight="1" x14ac:dyDescent="0.35">
      <c r="A31" s="89"/>
      <c r="B31" s="183"/>
      <c r="C31" s="185" t="s">
        <v>209</v>
      </c>
      <c r="D31" s="185">
        <v>18</v>
      </c>
      <c r="E31" s="186"/>
      <c r="F31" s="187">
        <v>22132.074235807861</v>
      </c>
      <c r="G31" s="187"/>
      <c r="H31" s="187">
        <f t="shared" si="0"/>
        <v>1834.3062445414848</v>
      </c>
      <c r="I31" s="187"/>
      <c r="J31" s="187">
        <f t="shared" si="1"/>
        <v>5732.2072270742365</v>
      </c>
      <c r="K31" s="187"/>
      <c r="L31" s="196">
        <f t="shared" si="2"/>
        <v>29698.074235807861</v>
      </c>
      <c r="M31" s="187"/>
      <c r="N31" s="188">
        <f t="shared" si="3"/>
        <v>22132.074235807861</v>
      </c>
      <c r="O31" s="187"/>
      <c r="P31" s="187"/>
      <c r="Q31" s="187"/>
      <c r="R31" s="187">
        <f t="shared" si="4"/>
        <v>1834.3062445414848</v>
      </c>
      <c r="S31" s="187"/>
      <c r="T31" s="187">
        <f t="shared" si="5"/>
        <v>23966.380480349344</v>
      </c>
      <c r="U31" s="180"/>
      <c r="V31" s="184"/>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row>
    <row r="32" spans="1:59" ht="16" customHeight="1" x14ac:dyDescent="0.35">
      <c r="A32" s="89"/>
      <c r="B32" s="183"/>
      <c r="C32" s="181" t="s">
        <v>226</v>
      </c>
      <c r="D32" s="181">
        <v>18</v>
      </c>
      <c r="E32" s="177"/>
      <c r="F32" s="178">
        <v>22132.074235807861</v>
      </c>
      <c r="G32" s="178"/>
      <c r="H32" s="178">
        <f t="shared" si="0"/>
        <v>1834.3062445414848</v>
      </c>
      <c r="I32" s="178"/>
      <c r="J32" s="178">
        <f t="shared" si="1"/>
        <v>5732.2072270742365</v>
      </c>
      <c r="K32" s="178"/>
      <c r="L32" s="178">
        <f>F32+ROUND(H32,0)+ROUND(J32,0)</f>
        <v>29698.074235807861</v>
      </c>
      <c r="M32" s="178"/>
      <c r="N32" s="179">
        <f>F32</f>
        <v>22132.074235807861</v>
      </c>
      <c r="O32" s="178"/>
      <c r="P32" s="178"/>
      <c r="Q32" s="178"/>
      <c r="R32" s="178">
        <f t="shared" si="4"/>
        <v>1834.3062445414848</v>
      </c>
      <c r="S32" s="178"/>
      <c r="T32" s="178">
        <f>SUM(N32:R32)</f>
        <v>23966.380480349344</v>
      </c>
      <c r="U32" s="180"/>
      <c r="V32" s="184"/>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row>
    <row r="33" spans="1:59" ht="16" customHeight="1" x14ac:dyDescent="0.35">
      <c r="A33" s="89"/>
      <c r="B33" s="183"/>
      <c r="C33" s="181" t="s">
        <v>227</v>
      </c>
      <c r="D33" s="181">
        <v>19</v>
      </c>
      <c r="E33" s="177"/>
      <c r="F33" s="178">
        <v>22808.187772925765</v>
      </c>
      <c r="G33" s="178"/>
      <c r="H33" s="178">
        <f t="shared" si="0"/>
        <v>1927.6099126637557</v>
      </c>
      <c r="I33" s="178"/>
      <c r="J33" s="178">
        <f t="shared" si="1"/>
        <v>5907.3206331877736</v>
      </c>
      <c r="K33" s="178"/>
      <c r="L33" s="178">
        <f>F33+ROUND(H33,0)+ROUND(J33,0)</f>
        <v>30643.187772925765</v>
      </c>
      <c r="M33" s="178"/>
      <c r="N33" s="179">
        <f>F33</f>
        <v>22808.187772925765</v>
      </c>
      <c r="O33" s="178"/>
      <c r="P33" s="178"/>
      <c r="Q33" s="178"/>
      <c r="R33" s="178">
        <f t="shared" si="4"/>
        <v>1927.6099126637557</v>
      </c>
      <c r="S33" s="178"/>
      <c r="T33" s="178">
        <f>SUM(N33:R33)</f>
        <v>24735.797685589521</v>
      </c>
      <c r="U33" s="180"/>
      <c r="V33" s="184"/>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row>
    <row r="34" spans="1:59" ht="16" customHeight="1" x14ac:dyDescent="0.35">
      <c r="A34" s="89"/>
      <c r="B34" s="183"/>
      <c r="C34" s="181" t="s">
        <v>228</v>
      </c>
      <c r="D34" s="181">
        <v>20</v>
      </c>
      <c r="E34" s="177"/>
      <c r="F34" s="178">
        <v>23612.03056768559</v>
      </c>
      <c r="G34" s="178"/>
      <c r="H34" s="178">
        <f t="shared" si="0"/>
        <v>2038.5402183406115</v>
      </c>
      <c r="I34" s="178"/>
      <c r="J34" s="178">
        <f t="shared" si="1"/>
        <v>6115.5159170305678</v>
      </c>
      <c r="K34" s="178"/>
      <c r="L34" s="178">
        <f>F34+ROUND(H34,0)+ROUND(J34,0)</f>
        <v>31767.03056768559</v>
      </c>
      <c r="M34" s="178"/>
      <c r="N34" s="179">
        <f>F34</f>
        <v>23612.03056768559</v>
      </c>
      <c r="O34" s="178"/>
      <c r="P34" s="178"/>
      <c r="Q34" s="178"/>
      <c r="R34" s="178">
        <f t="shared" si="4"/>
        <v>2038.5402183406115</v>
      </c>
      <c r="S34" s="178"/>
      <c r="T34" s="178">
        <f>SUM(N34:R34)</f>
        <v>25650.570786026201</v>
      </c>
      <c r="U34" s="180"/>
      <c r="V34" s="184"/>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row>
    <row r="35" spans="1:59" ht="16" customHeight="1" x14ac:dyDescent="0.35">
      <c r="A35" s="89"/>
      <c r="B35" s="183"/>
      <c r="C35" s="185" t="s">
        <v>209</v>
      </c>
      <c r="D35" s="185">
        <v>21</v>
      </c>
      <c r="E35" s="186"/>
      <c r="F35" s="187">
        <v>24415.021834061135</v>
      </c>
      <c r="G35" s="187"/>
      <c r="H35" s="187">
        <f t="shared" si="0"/>
        <v>2149.3530131004368</v>
      </c>
      <c r="I35" s="187"/>
      <c r="J35" s="187">
        <f t="shared" si="1"/>
        <v>6323.4906550218338</v>
      </c>
      <c r="K35" s="187"/>
      <c r="L35" s="187">
        <f>F35+ROUND(H35,0)+ROUND(J35,0)</f>
        <v>32887.021834061132</v>
      </c>
      <c r="M35" s="187"/>
      <c r="N35" s="188">
        <f>F35</f>
        <v>24415.021834061135</v>
      </c>
      <c r="O35" s="187"/>
      <c r="P35" s="187"/>
      <c r="Q35" s="187"/>
      <c r="R35" s="187">
        <f t="shared" si="4"/>
        <v>2149.3530131004368</v>
      </c>
      <c r="S35" s="187"/>
      <c r="T35" s="187">
        <f>SUM(N35:R35)</f>
        <v>26564.374847161573</v>
      </c>
      <c r="U35" s="180"/>
      <c r="V35" s="184"/>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row>
    <row r="36" spans="1:59" ht="16" customHeight="1" x14ac:dyDescent="0.35">
      <c r="A36" s="89"/>
      <c r="B36" s="183"/>
      <c r="C36" s="181" t="s">
        <v>229</v>
      </c>
      <c r="D36" s="181">
        <v>21</v>
      </c>
      <c r="E36" s="177"/>
      <c r="F36" s="178">
        <v>24739.115044247788</v>
      </c>
      <c r="G36" s="178"/>
      <c r="H36" s="178">
        <f t="shared" si="0"/>
        <v>2194.0778761061952</v>
      </c>
      <c r="I36" s="178"/>
      <c r="J36" s="178">
        <f t="shared" si="1"/>
        <v>6407.4307964601776</v>
      </c>
      <c r="K36" s="178"/>
      <c r="L36" s="178">
        <f t="shared" si="2"/>
        <v>33340.115044247788</v>
      </c>
      <c r="M36" s="178"/>
      <c r="N36" s="179">
        <f t="shared" si="3"/>
        <v>24739.115044247788</v>
      </c>
      <c r="O36" s="178"/>
      <c r="P36" s="178"/>
      <c r="Q36" s="178"/>
      <c r="R36" s="178">
        <f t="shared" si="4"/>
        <v>2194.0778761061952</v>
      </c>
      <c r="S36" s="178"/>
      <c r="T36" s="178">
        <f t="shared" si="5"/>
        <v>26933.192920353984</v>
      </c>
      <c r="U36" s="180"/>
      <c r="V36" s="184"/>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row>
    <row r="37" spans="1:59" ht="16" customHeight="1" x14ac:dyDescent="0.35">
      <c r="A37" s="89"/>
      <c r="B37" s="183"/>
      <c r="C37" s="181" t="s">
        <v>230</v>
      </c>
      <c r="D37" s="181">
        <v>22</v>
      </c>
      <c r="E37" s="177"/>
      <c r="F37" s="178">
        <v>25815.929203539825</v>
      </c>
      <c r="G37" s="178"/>
      <c r="H37" s="178">
        <f t="shared" si="0"/>
        <v>2342.6782300884961</v>
      </c>
      <c r="I37" s="178"/>
      <c r="J37" s="178">
        <f t="shared" si="1"/>
        <v>6686.3256637168151</v>
      </c>
      <c r="K37" s="178"/>
      <c r="L37" s="178">
        <f t="shared" si="2"/>
        <v>34844.929203539825</v>
      </c>
      <c r="M37" s="178"/>
      <c r="N37" s="179">
        <f t="shared" si="3"/>
        <v>25815.929203539825</v>
      </c>
      <c r="O37" s="178"/>
      <c r="P37" s="178"/>
      <c r="Q37" s="178"/>
      <c r="R37" s="178">
        <f t="shared" si="4"/>
        <v>2342.6782300884961</v>
      </c>
      <c r="S37" s="178"/>
      <c r="T37" s="178">
        <f t="shared" si="5"/>
        <v>28158.60743362832</v>
      </c>
      <c r="U37" s="180"/>
      <c r="V37" s="184"/>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row>
    <row r="38" spans="1:59" ht="16" customHeight="1" x14ac:dyDescent="0.35">
      <c r="A38" s="89"/>
      <c r="B38" s="183"/>
      <c r="C38" s="181" t="s">
        <v>231</v>
      </c>
      <c r="D38" s="181">
        <v>23</v>
      </c>
      <c r="E38" s="177"/>
      <c r="F38" s="178">
        <v>26793.517699115044</v>
      </c>
      <c r="G38" s="178"/>
      <c r="H38" s="178">
        <f t="shared" si="0"/>
        <v>2477.5854424778763</v>
      </c>
      <c r="I38" s="178"/>
      <c r="J38" s="178">
        <f t="shared" si="1"/>
        <v>6939.5210840707969</v>
      </c>
      <c r="K38" s="178"/>
      <c r="L38" s="178">
        <f>F38+ROUND(H38,0)+ROUND(J38,0)</f>
        <v>36211.517699115044</v>
      </c>
      <c r="M38" s="178"/>
      <c r="N38" s="179">
        <f>F38</f>
        <v>26793.517699115044</v>
      </c>
      <c r="O38" s="178"/>
      <c r="P38" s="178"/>
      <c r="Q38" s="178"/>
      <c r="R38" s="178">
        <f t="shared" si="4"/>
        <v>2477.5854424778763</v>
      </c>
      <c r="S38" s="178"/>
      <c r="T38" s="178">
        <f>SUM(N38:R38)</f>
        <v>29271.103141592921</v>
      </c>
      <c r="U38" s="180"/>
      <c r="V38" s="184"/>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row>
    <row r="39" spans="1:59" ht="16" customHeight="1" x14ac:dyDescent="0.35">
      <c r="A39" s="89"/>
      <c r="B39" s="183"/>
      <c r="C39" s="181" t="s">
        <v>209</v>
      </c>
      <c r="D39" s="181">
        <v>24</v>
      </c>
      <c r="E39" s="177"/>
      <c r="F39" s="178">
        <v>27812.522123893807</v>
      </c>
      <c r="G39" s="178"/>
      <c r="H39" s="178">
        <f t="shared" si="0"/>
        <v>2618.2080530973453</v>
      </c>
      <c r="I39" s="178"/>
      <c r="J39" s="178">
        <f t="shared" si="1"/>
        <v>7203.4432300884964</v>
      </c>
      <c r="K39" s="178"/>
      <c r="L39" s="178">
        <f t="shared" si="2"/>
        <v>37633.52212389381</v>
      </c>
      <c r="M39" s="178"/>
      <c r="N39" s="179">
        <f t="shared" si="3"/>
        <v>27812.522123893807</v>
      </c>
      <c r="O39" s="178"/>
      <c r="P39" s="178"/>
      <c r="Q39" s="178"/>
      <c r="R39" s="178">
        <f t="shared" si="4"/>
        <v>2618.2080530973453</v>
      </c>
      <c r="S39" s="178"/>
      <c r="T39" s="178">
        <f t="shared" si="5"/>
        <v>30430.73017699115</v>
      </c>
      <c r="U39" s="180"/>
      <c r="V39" s="184"/>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row>
    <row r="40" spans="1:59" ht="16" customHeight="1" thickBot="1" x14ac:dyDescent="0.4">
      <c r="A40" s="89"/>
      <c r="B40" s="190"/>
      <c r="C40" s="191"/>
      <c r="D40" s="191"/>
      <c r="E40" s="192"/>
      <c r="F40" s="193"/>
      <c r="G40" s="193"/>
      <c r="H40" s="193"/>
      <c r="I40" s="193"/>
      <c r="J40" s="193"/>
      <c r="K40" s="193"/>
      <c r="L40" s="193"/>
      <c r="M40" s="193"/>
      <c r="N40" s="194"/>
      <c r="O40" s="193"/>
      <c r="P40" s="193"/>
      <c r="Q40" s="193"/>
      <c r="R40" s="193"/>
      <c r="S40" s="193"/>
      <c r="T40" s="193"/>
      <c r="U40" s="195"/>
      <c r="V40" s="184"/>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row>
    <row r="41" spans="1:59" ht="16" customHeight="1" x14ac:dyDescent="0.35">
      <c r="A41" s="89"/>
      <c r="B41" s="89"/>
      <c r="C41" s="89"/>
      <c r="D41" s="89"/>
      <c r="E41" s="89"/>
      <c r="F41" s="89"/>
      <c r="G41" s="89"/>
      <c r="H41" s="89"/>
      <c r="I41" s="89"/>
      <c r="J41" s="89"/>
      <c r="K41" s="89"/>
      <c r="L41" s="89"/>
      <c r="M41" s="89"/>
      <c r="N41" s="89"/>
      <c r="O41" s="89"/>
      <c r="P41" s="89"/>
      <c r="Q41" s="89"/>
      <c r="R41" s="89"/>
      <c r="S41" s="89"/>
      <c r="T41" s="89"/>
      <c r="U41" s="89"/>
      <c r="V41" s="267" t="s">
        <v>232</v>
      </c>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row>
    <row r="42" spans="1:59" ht="16" customHeight="1" x14ac:dyDescent="0.35">
      <c r="A42" s="89"/>
      <c r="B42" s="89"/>
      <c r="C42" s="89"/>
      <c r="D42" s="185">
        <v>18</v>
      </c>
      <c r="E42" s="186"/>
      <c r="F42" s="187">
        <f>22132.0742358079*1.02</f>
        <v>22574.715720524058</v>
      </c>
      <c r="G42" s="187"/>
      <c r="H42" s="187">
        <f t="shared" ref="H42" si="6">IF($F42&gt;$W$12,($F42-$W$12)*$Y$12,"ERROR")</f>
        <v>1895.3907694323202</v>
      </c>
      <c r="I42" s="187"/>
      <c r="J42" s="187">
        <f>$F42*($X$15+0.01)</f>
        <v>6072.5985288209722</v>
      </c>
      <c r="K42" s="187"/>
      <c r="L42" s="196">
        <f t="shared" ref="L42" si="7">F42+ROUND(H42,0)+ROUND(J42,0)</f>
        <v>30542.715720524058</v>
      </c>
      <c r="M42" s="89"/>
      <c r="N42" s="89"/>
      <c r="O42" s="89"/>
      <c r="P42" s="89"/>
      <c r="Q42" s="89"/>
      <c r="R42" s="89"/>
      <c r="S42" s="89"/>
      <c r="T42" s="89"/>
      <c r="U42" s="89"/>
      <c r="V42" s="268">
        <f>F42*1.25%</f>
        <v>282.18394650655074</v>
      </c>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row>
    <row r="43" spans="1:59" x14ac:dyDescent="0.35">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row>
    <row r="44" spans="1:59" x14ac:dyDescent="0.35">
      <c r="A44" s="89"/>
      <c r="B44" s="89"/>
      <c r="C44" s="89"/>
      <c r="D44" s="89"/>
      <c r="E44" s="89"/>
      <c r="F44" s="89"/>
      <c r="G44" s="89"/>
      <c r="H44" s="89"/>
      <c r="I44" s="89"/>
      <c r="J44" s="89"/>
      <c r="K44" s="89"/>
      <c r="L44" s="272">
        <f>ROUND((L42*1.03),-1)</f>
        <v>31460</v>
      </c>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row>
    <row r="45" spans="1:59" x14ac:dyDescent="0.35">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row>
    <row r="46" spans="1:59" x14ac:dyDescent="0.35">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row>
    <row r="47" spans="1:59" x14ac:dyDescent="0.35">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row>
    <row r="48" spans="1:59" x14ac:dyDescent="0.3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row>
    <row r="49" spans="1:59" x14ac:dyDescent="0.3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row>
    <row r="50" spans="1:59" x14ac:dyDescent="0.3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row>
    <row r="51" spans="1:59" x14ac:dyDescent="0.35">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row>
    <row r="52" spans="1:59" x14ac:dyDescent="0.35">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row>
    <row r="53" spans="1:59" x14ac:dyDescent="0.35">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row>
    <row r="54" spans="1:59" x14ac:dyDescent="0.3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row>
    <row r="55" spans="1:59" x14ac:dyDescent="0.35">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row>
    <row r="56" spans="1:59" x14ac:dyDescent="0.35">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row>
    <row r="57" spans="1:59" x14ac:dyDescent="0.3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row>
    <row r="58" spans="1:59" x14ac:dyDescent="0.3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row>
    <row r="59" spans="1:59" x14ac:dyDescent="0.3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row>
    <row r="60" spans="1:59" x14ac:dyDescent="0.35">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row>
    <row r="61" spans="1:59" x14ac:dyDescent="0.35">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row>
    <row r="62" spans="1:59" x14ac:dyDescent="0.35">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row>
    <row r="63" spans="1:59" x14ac:dyDescent="0.35">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row>
    <row r="64" spans="1:59" x14ac:dyDescent="0.35">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row>
    <row r="65" spans="1:59" x14ac:dyDescent="0.35">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row>
    <row r="66" spans="1:59" x14ac:dyDescent="0.35">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row>
    <row r="67" spans="1:59" x14ac:dyDescent="0.3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row>
    <row r="68" spans="1:59" x14ac:dyDescent="0.35">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row>
    <row r="69" spans="1:59" x14ac:dyDescent="0.35">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row>
    <row r="70" spans="1:59" x14ac:dyDescent="0.35">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row>
    <row r="71" spans="1:59" x14ac:dyDescent="0.35">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row>
    <row r="72" spans="1:59" x14ac:dyDescent="0.35">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row>
  </sheetData>
  <mergeCells count="3">
    <mergeCell ref="C9:D9"/>
    <mergeCell ref="B15:M15"/>
    <mergeCell ref="N15:U15"/>
  </mergeCells>
  <pageMargins left="0.35433070866141736" right="0.35433070866141736" top="0.98425196850393704" bottom="0.98425196850393704" header="0.51181102362204722" footer="0.51181102362204722"/>
  <pageSetup paperSize="9" scale="72"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29"/>
  <sheetViews>
    <sheetView zoomScaleNormal="100" workbookViewId="0">
      <selection activeCell="K26" sqref="K26"/>
    </sheetView>
  </sheetViews>
  <sheetFormatPr defaultColWidth="9.1796875" defaultRowHeight="12.5" x14ac:dyDescent="0.25"/>
  <cols>
    <col min="1" max="1" width="11.26953125" style="197" customWidth="1"/>
    <col min="2" max="2" width="20.7265625" style="198" customWidth="1"/>
    <col min="3" max="3" width="61.7265625" style="197" customWidth="1"/>
    <col min="4" max="4" width="9.1796875" style="197"/>
    <col min="5" max="7" width="15.7265625" style="198" customWidth="1"/>
    <col min="8" max="8" width="11.54296875" style="198" customWidth="1"/>
    <col min="9" max="16384" width="9.1796875" style="197"/>
  </cols>
  <sheetData>
    <row r="1" spans="1:19" ht="12.75" customHeight="1" x14ac:dyDescent="0.25"/>
    <row r="2" spans="1:19" x14ac:dyDescent="0.25">
      <c r="A2" s="199" t="s">
        <v>233</v>
      </c>
      <c r="G2" s="197"/>
      <c r="H2" s="197"/>
    </row>
    <row r="3" spans="1:19" ht="39" x14ac:dyDescent="0.3">
      <c r="B3" s="200" t="s">
        <v>117</v>
      </c>
      <c r="C3" s="200" t="s">
        <v>234</v>
      </c>
      <c r="E3" s="201" t="s">
        <v>235</v>
      </c>
      <c r="F3" s="201" t="s">
        <v>236</v>
      </c>
      <c r="G3" s="201" t="s">
        <v>237</v>
      </c>
      <c r="H3" s="202" t="s">
        <v>238</v>
      </c>
      <c r="K3" s="203" t="s">
        <v>239</v>
      </c>
      <c r="L3" s="203" t="s">
        <v>240</v>
      </c>
      <c r="M3" s="204" t="s">
        <v>241</v>
      </c>
      <c r="N3" s="198" t="s">
        <v>242</v>
      </c>
      <c r="O3" s="205" t="s">
        <v>243</v>
      </c>
      <c r="P3" s="205"/>
      <c r="Q3" s="205" t="s">
        <v>244</v>
      </c>
      <c r="R3" s="205" t="s">
        <v>245</v>
      </c>
    </row>
    <row r="4" spans="1:19" x14ac:dyDescent="0.25">
      <c r="K4" s="206"/>
      <c r="L4" s="206"/>
      <c r="M4" s="206"/>
      <c r="N4" s="207"/>
      <c r="O4" s="207"/>
    </row>
    <row r="5" spans="1:19" x14ac:dyDescent="0.25">
      <c r="A5" s="197" t="s">
        <v>110</v>
      </c>
      <c r="B5" s="198" t="s">
        <v>128</v>
      </c>
      <c r="C5" s="197" t="s">
        <v>129</v>
      </c>
      <c r="E5" s="207">
        <v>5389.75</v>
      </c>
      <c r="F5" s="207">
        <v>8314.3681768558963</v>
      </c>
      <c r="G5" s="207">
        <v>300.11777569980694</v>
      </c>
      <c r="H5" s="208">
        <v>14004.235952555704</v>
      </c>
      <c r="J5" s="209"/>
      <c r="K5" s="206">
        <v>6120.2340168749997</v>
      </c>
      <c r="L5" s="206">
        <v>8578.5707014192139</v>
      </c>
      <c r="M5" s="206">
        <f>G5</f>
        <v>300.11777569980694</v>
      </c>
      <c r="N5" s="207">
        <f>SUM(K5:M5)</f>
        <v>14998.922493994021</v>
      </c>
      <c r="O5" s="207">
        <f>N5-H5</f>
        <v>994.68654143831736</v>
      </c>
      <c r="P5" s="210"/>
      <c r="Q5" s="211">
        <f>K5-E5</f>
        <v>730.48401687499972</v>
      </c>
      <c r="R5" s="207"/>
      <c r="S5" s="209"/>
    </row>
    <row r="6" spans="1:19" x14ac:dyDescent="0.25">
      <c r="E6" s="207"/>
      <c r="H6" s="207"/>
      <c r="J6" s="209"/>
      <c r="K6" s="206"/>
      <c r="L6" s="204"/>
      <c r="M6" s="206"/>
      <c r="N6" s="207"/>
      <c r="O6" s="207"/>
      <c r="P6" s="210"/>
      <c r="Q6" s="211"/>
      <c r="R6" s="207"/>
      <c r="S6" s="209"/>
    </row>
    <row r="7" spans="1:19" x14ac:dyDescent="0.25">
      <c r="E7" s="207"/>
      <c r="F7" s="207"/>
      <c r="G7" s="207"/>
      <c r="H7" s="207"/>
      <c r="J7" s="209"/>
      <c r="K7" s="206"/>
      <c r="L7" s="206"/>
      <c r="M7" s="206"/>
      <c r="N7" s="207"/>
      <c r="O7" s="207"/>
      <c r="P7" s="210"/>
      <c r="Q7" s="211"/>
      <c r="R7" s="207"/>
      <c r="S7" s="209"/>
    </row>
    <row r="8" spans="1:19" x14ac:dyDescent="0.25">
      <c r="A8" s="197" t="s">
        <v>108</v>
      </c>
      <c r="B8" s="198" t="s">
        <v>123</v>
      </c>
      <c r="C8" s="197" t="s">
        <v>246</v>
      </c>
      <c r="E8" s="207">
        <v>4311.8</v>
      </c>
      <c r="F8" s="207">
        <v>2217.1648471615722</v>
      </c>
      <c r="G8" s="207">
        <v>300.11777569980694</v>
      </c>
      <c r="H8" s="208">
        <v>6829.0826228613796</v>
      </c>
      <c r="J8" s="209"/>
      <c r="K8" s="206">
        <v>4896.1872134999994</v>
      </c>
      <c r="L8" s="206">
        <v>2287.6188537117905</v>
      </c>
      <c r="M8" s="206">
        <f>G8</f>
        <v>300.11777569980694</v>
      </c>
      <c r="N8" s="207">
        <f>SUM(K8:M8)</f>
        <v>7483.9238429115967</v>
      </c>
      <c r="O8" s="207">
        <f>N8-H8</f>
        <v>654.84122005021709</v>
      </c>
      <c r="P8" s="210"/>
      <c r="Q8" s="211">
        <f t="shared" ref="Q8:Q22" si="0">K8-E8</f>
        <v>584.38721349999923</v>
      </c>
      <c r="R8" s="207"/>
      <c r="S8" s="209"/>
    </row>
    <row r="9" spans="1:19" x14ac:dyDescent="0.25">
      <c r="E9" s="207"/>
      <c r="F9" s="207"/>
      <c r="G9" s="207"/>
      <c r="H9" s="207"/>
      <c r="J9" s="209"/>
      <c r="K9" s="206"/>
      <c r="L9" s="206"/>
      <c r="M9" s="206"/>
      <c r="N9" s="207"/>
      <c r="O9" s="207"/>
      <c r="P9" s="210"/>
      <c r="Q9" s="211"/>
      <c r="R9" s="207"/>
      <c r="S9" s="209"/>
    </row>
    <row r="10" spans="1:19" x14ac:dyDescent="0.25">
      <c r="E10" s="207"/>
      <c r="F10" s="207"/>
      <c r="G10" s="207"/>
      <c r="H10" s="207"/>
      <c r="J10" s="209"/>
      <c r="K10" s="206"/>
      <c r="L10" s="206"/>
      <c r="M10" s="206"/>
      <c r="N10" s="207"/>
      <c r="O10" s="207"/>
      <c r="P10" s="210"/>
      <c r="Q10" s="211"/>
      <c r="R10" s="207"/>
      <c r="S10" s="209"/>
    </row>
    <row r="11" spans="1:19" x14ac:dyDescent="0.25">
      <c r="A11" s="213" t="s">
        <v>107</v>
      </c>
      <c r="B11" s="198" t="s">
        <v>121</v>
      </c>
      <c r="C11" s="197" t="s">
        <v>122</v>
      </c>
      <c r="D11" s="209"/>
      <c r="E11" s="207">
        <v>3593.1666666666665</v>
      </c>
      <c r="F11" s="207">
        <v>1847.6373726346435</v>
      </c>
      <c r="G11" s="207">
        <v>300.11777569980694</v>
      </c>
      <c r="H11" s="208">
        <v>5740.9218150011166</v>
      </c>
      <c r="J11" s="209"/>
      <c r="K11" s="206">
        <v>4080.1560112499997</v>
      </c>
      <c r="L11" s="206">
        <v>1906.3490447598253</v>
      </c>
      <c r="M11" s="206">
        <f>G11</f>
        <v>300.11777569980694</v>
      </c>
      <c r="N11" s="207">
        <f>SUM(K11:M11)</f>
        <v>6286.622831709632</v>
      </c>
      <c r="O11" s="207">
        <f>N11-H11</f>
        <v>545.70101670851545</v>
      </c>
      <c r="P11" s="210"/>
      <c r="Q11" s="211">
        <f t="shared" si="0"/>
        <v>486.98934458333315</v>
      </c>
      <c r="R11" s="207">
        <f>L11-F11</f>
        <v>58.711672125181849</v>
      </c>
      <c r="S11" s="209"/>
    </row>
    <row r="12" spans="1:19" x14ac:dyDescent="0.25">
      <c r="E12" s="207"/>
      <c r="F12" s="207"/>
      <c r="G12" s="207"/>
      <c r="H12" s="207"/>
      <c r="J12" s="209"/>
      <c r="K12" s="206"/>
      <c r="L12" s="206"/>
      <c r="M12" s="206"/>
      <c r="N12" s="207"/>
      <c r="O12" s="207"/>
      <c r="P12" s="210"/>
      <c r="Q12" s="211"/>
      <c r="R12" s="207"/>
      <c r="S12" s="209"/>
    </row>
    <row r="13" spans="1:19" x14ac:dyDescent="0.25">
      <c r="E13" s="207"/>
      <c r="F13" s="207"/>
      <c r="G13" s="207"/>
      <c r="H13" s="207"/>
      <c r="J13" s="209"/>
      <c r="K13" s="206"/>
      <c r="L13" s="206"/>
      <c r="M13" s="206"/>
      <c r="N13" s="207"/>
      <c r="O13" s="207"/>
      <c r="P13" s="210"/>
      <c r="Q13" s="211"/>
      <c r="R13" s="207"/>
      <c r="S13" s="209"/>
    </row>
    <row r="14" spans="1:19" x14ac:dyDescent="0.25">
      <c r="A14" s="197" t="s">
        <v>111</v>
      </c>
      <c r="B14" s="198" t="s">
        <v>128</v>
      </c>
      <c r="C14" s="197" t="s">
        <v>129</v>
      </c>
      <c r="E14" s="207">
        <v>5389.75</v>
      </c>
      <c r="F14" s="207">
        <v>8314.3681768558963</v>
      </c>
      <c r="G14" s="207">
        <v>300.11777569980694</v>
      </c>
      <c r="H14" s="208">
        <v>14004.235952555704</v>
      </c>
      <c r="J14" s="209"/>
      <c r="K14" s="206">
        <v>6120.2340168749997</v>
      </c>
      <c r="L14" s="206">
        <v>8578.5707014192139</v>
      </c>
      <c r="M14" s="206">
        <f>G14</f>
        <v>300.11777569980694</v>
      </c>
      <c r="N14" s="207">
        <f>SUM(K14:M14)</f>
        <v>14998.922493994021</v>
      </c>
      <c r="O14" s="207">
        <f>N14-H14</f>
        <v>994.68654143831736</v>
      </c>
      <c r="P14" s="210"/>
      <c r="Q14" s="211">
        <f t="shared" si="0"/>
        <v>730.48401687499972</v>
      </c>
      <c r="R14" s="207"/>
      <c r="S14" s="209"/>
    </row>
    <row r="15" spans="1:19" x14ac:dyDescent="0.25">
      <c r="E15" s="207"/>
      <c r="F15" s="207"/>
      <c r="G15" s="207"/>
      <c r="H15" s="207"/>
      <c r="J15" s="209"/>
      <c r="K15" s="206"/>
      <c r="L15" s="206"/>
      <c r="M15" s="206"/>
      <c r="N15" s="207"/>
      <c r="O15" s="207"/>
      <c r="P15" s="210"/>
      <c r="Q15" s="211"/>
      <c r="R15" s="207"/>
      <c r="S15" s="209"/>
    </row>
    <row r="16" spans="1:19" x14ac:dyDescent="0.25">
      <c r="E16" s="207"/>
      <c r="F16" s="207"/>
      <c r="G16" s="207"/>
      <c r="H16" s="207"/>
      <c r="J16" s="209"/>
      <c r="K16" s="206"/>
      <c r="L16" s="206"/>
      <c r="M16" s="206"/>
      <c r="N16" s="207"/>
      <c r="O16" s="207"/>
      <c r="P16" s="210"/>
      <c r="Q16" s="211"/>
      <c r="R16" s="207"/>
      <c r="S16" s="209"/>
    </row>
    <row r="17" spans="1:21" x14ac:dyDescent="0.25">
      <c r="A17" s="197" t="s">
        <v>109</v>
      </c>
      <c r="B17" s="198" t="s">
        <v>247</v>
      </c>
      <c r="C17" s="197" t="s">
        <v>248</v>
      </c>
      <c r="E17" s="207">
        <v>4311.8</v>
      </c>
      <c r="F17" s="207">
        <v>6651.494541484717</v>
      </c>
      <c r="G17" s="207">
        <v>300.11777569980694</v>
      </c>
      <c r="H17" s="208">
        <v>11263.412317184524</v>
      </c>
      <c r="J17" s="209"/>
      <c r="K17" s="206">
        <v>4896.1872134999994</v>
      </c>
      <c r="L17" s="206">
        <v>6862.8565611353715</v>
      </c>
      <c r="M17" s="206">
        <f>G17</f>
        <v>300.11777569980694</v>
      </c>
      <c r="N17" s="207">
        <f>SUM(K17:M17)</f>
        <v>12059.161550335179</v>
      </c>
      <c r="O17" s="207">
        <f>N17-H17</f>
        <v>795.74923315065462</v>
      </c>
      <c r="P17" s="210"/>
      <c r="Q17" s="211">
        <f t="shared" si="0"/>
        <v>584.38721349999923</v>
      </c>
      <c r="R17" s="207">
        <f>L17-F17</f>
        <v>211.36201965065447</v>
      </c>
      <c r="S17" s="209"/>
    </row>
    <row r="18" spans="1:21" x14ac:dyDescent="0.25">
      <c r="K18" s="204"/>
      <c r="L18" s="204"/>
      <c r="M18" s="206"/>
      <c r="N18" s="207"/>
      <c r="O18" s="198"/>
      <c r="Q18" s="211"/>
      <c r="R18" s="207"/>
      <c r="S18" s="209"/>
    </row>
    <row r="19" spans="1:21" x14ac:dyDescent="0.25">
      <c r="K19" s="204"/>
      <c r="L19" s="204"/>
      <c r="M19" s="206"/>
      <c r="N19" s="207"/>
      <c r="O19" s="198"/>
      <c r="Q19" s="211"/>
      <c r="R19" s="207"/>
      <c r="S19" s="209"/>
    </row>
    <row r="20" spans="1:21" ht="25" x14ac:dyDescent="0.25">
      <c r="A20" s="197" t="s">
        <v>249</v>
      </c>
      <c r="C20" s="212" t="s">
        <v>250</v>
      </c>
      <c r="E20" s="207">
        <v>0</v>
      </c>
      <c r="F20" s="207">
        <v>0</v>
      </c>
      <c r="G20" s="207">
        <v>0</v>
      </c>
      <c r="H20" s="208">
        <v>2635</v>
      </c>
      <c r="K20" s="204"/>
      <c r="L20" s="204"/>
      <c r="M20" s="206">
        <v>2635</v>
      </c>
      <c r="N20" s="207">
        <f t="shared" ref="N20" si="1">SUM(K20:M20)</f>
        <v>2635</v>
      </c>
      <c r="O20" s="198"/>
      <c r="Q20" s="211"/>
      <c r="R20" s="207"/>
      <c r="S20" s="209"/>
    </row>
    <row r="21" spans="1:21" x14ac:dyDescent="0.25">
      <c r="C21" s="199"/>
      <c r="E21" s="207"/>
      <c r="F21" s="207"/>
      <c r="G21" s="207"/>
      <c r="H21" s="207"/>
      <c r="K21" s="204"/>
      <c r="L21" s="204"/>
      <c r="M21" s="206"/>
      <c r="N21" s="207"/>
      <c r="O21" s="198"/>
      <c r="Q21" s="211"/>
      <c r="R21" s="207"/>
      <c r="S21" s="209"/>
    </row>
    <row r="22" spans="1:21" x14ac:dyDescent="0.25">
      <c r="A22" s="197" t="s">
        <v>112</v>
      </c>
      <c r="B22" s="198" t="s">
        <v>128</v>
      </c>
      <c r="C22" s="197" t="s">
        <v>130</v>
      </c>
      <c r="E22" s="207">
        <v>7186.333333333333</v>
      </c>
      <c r="F22" s="207">
        <v>7390.549490538574</v>
      </c>
      <c r="G22" s="207">
        <v>300.11777569980694</v>
      </c>
      <c r="H22" s="208">
        <v>14877.000599571715</v>
      </c>
      <c r="K22" s="206">
        <v>8160.3120224999993</v>
      </c>
      <c r="L22" s="206">
        <v>7625.3961790393014</v>
      </c>
      <c r="M22" s="206">
        <f>G22</f>
        <v>300.11777569980694</v>
      </c>
      <c r="N22" s="207">
        <f>SUM(K22:M22)</f>
        <v>16085.825977239108</v>
      </c>
      <c r="O22" s="198"/>
      <c r="Q22" s="211">
        <f t="shared" si="0"/>
        <v>973.9786891666663</v>
      </c>
      <c r="R22" s="207"/>
      <c r="S22" s="209"/>
    </row>
    <row r="23" spans="1:21" x14ac:dyDescent="0.25">
      <c r="E23" s="207"/>
      <c r="F23" s="207"/>
      <c r="G23" s="207"/>
      <c r="H23" s="207"/>
      <c r="K23" s="206"/>
      <c r="L23" s="204"/>
      <c r="M23" s="206"/>
      <c r="N23" s="207"/>
      <c r="O23" s="198"/>
      <c r="Q23" s="211"/>
      <c r="R23" s="207"/>
      <c r="S23" s="209"/>
    </row>
    <row r="24" spans="1:21" x14ac:dyDescent="0.25">
      <c r="A24" s="197" t="s">
        <v>113</v>
      </c>
      <c r="B24" s="198" t="s">
        <v>131</v>
      </c>
      <c r="C24" s="197" t="s">
        <v>251</v>
      </c>
      <c r="E24" s="207">
        <v>0</v>
      </c>
      <c r="F24" s="207">
        <v>22512.750755794426</v>
      </c>
      <c r="G24" s="207">
        <v>0</v>
      </c>
      <c r="H24" s="208">
        <v>22512.750755794426</v>
      </c>
      <c r="K24" s="206"/>
      <c r="L24" s="206">
        <v>22876.188537117905</v>
      </c>
      <c r="M24" s="206">
        <f>G24</f>
        <v>0</v>
      </c>
      <c r="N24" s="207">
        <f>SUM(K24:M24)</f>
        <v>22876.188537117905</v>
      </c>
      <c r="O24" s="198"/>
      <c r="Q24" s="211"/>
      <c r="R24" s="207"/>
      <c r="S24" s="209"/>
    </row>
    <row r="25" spans="1:21" x14ac:dyDescent="0.25">
      <c r="G25" s="197"/>
      <c r="H25" s="197"/>
      <c r="K25" s="206"/>
      <c r="L25" s="206"/>
      <c r="M25" s="206"/>
      <c r="N25" s="207"/>
      <c r="Q25" s="211"/>
    </row>
    <row r="26" spans="1:21" x14ac:dyDescent="0.25">
      <c r="A26" s="213" t="s">
        <v>252</v>
      </c>
      <c r="B26" s="198" t="s">
        <v>253</v>
      </c>
      <c r="C26" s="197" t="s">
        <v>254</v>
      </c>
      <c r="E26" s="207">
        <v>5046.875</v>
      </c>
      <c r="F26" s="207">
        <v>5542.9121179039303</v>
      </c>
      <c r="G26" s="207">
        <v>300.11777569980694</v>
      </c>
      <c r="H26" s="207">
        <v>10889.904893603738</v>
      </c>
      <c r="K26" s="206">
        <v>5730.1090168749997</v>
      </c>
      <c r="L26" s="206">
        <v>5719.0471342794763</v>
      </c>
      <c r="M26" s="206">
        <f>G26</f>
        <v>300.11777569980694</v>
      </c>
      <c r="N26" s="207">
        <f t="shared" ref="N26" si="2">SUM(K26:M26)</f>
        <v>11749.273926854283</v>
      </c>
      <c r="Q26" s="211">
        <f>K26-E26</f>
        <v>683.23401687499972</v>
      </c>
      <c r="R26" s="207">
        <f>L26-F26</f>
        <v>176.135016375546</v>
      </c>
      <c r="S26" s="197" t="s">
        <v>255</v>
      </c>
    </row>
    <row r="27" spans="1:21" x14ac:dyDescent="0.25">
      <c r="E27" s="207"/>
      <c r="F27" s="207"/>
      <c r="G27" s="207"/>
      <c r="H27" s="207"/>
      <c r="K27" s="207"/>
      <c r="L27" s="207"/>
      <c r="M27" s="207"/>
      <c r="N27" s="207"/>
      <c r="Q27" s="214"/>
      <c r="R27" s="207"/>
    </row>
    <row r="28" spans="1:21" x14ac:dyDescent="0.25">
      <c r="G28" s="197"/>
      <c r="H28" s="197"/>
      <c r="U28" s="207"/>
    </row>
    <row r="29" spans="1:21" x14ac:dyDescent="0.25">
      <c r="C29" s="197" t="s">
        <v>256</v>
      </c>
      <c r="E29" s="207">
        <v>5389.75</v>
      </c>
      <c r="F29" s="207">
        <v>2771.4560589519651</v>
      </c>
      <c r="G29" s="207">
        <v>300</v>
      </c>
      <c r="H29" s="207">
        <f>SUM(E29:G29)</f>
        <v>8461.2060589519642</v>
      </c>
      <c r="I29" s="207"/>
      <c r="J29" s="207"/>
      <c r="K29" s="207">
        <v>6120.2340168749997</v>
      </c>
      <c r="L29" s="207">
        <v>2859.5235671397381</v>
      </c>
      <c r="M29" s="207">
        <v>300.11777569980694</v>
      </c>
      <c r="N29" s="207">
        <f>SUM(K29:M29)</f>
        <v>9279.875359714546</v>
      </c>
      <c r="O29" s="207"/>
      <c r="P29" s="207"/>
      <c r="Q29" s="207">
        <f>K29-E29</f>
        <v>730.48401687499972</v>
      </c>
      <c r="R29" s="207">
        <f>L29-F29</f>
        <v>88.067508187773001</v>
      </c>
      <c r="S29" s="197" t="s">
        <v>257</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F902-BAE2-4866-960F-BD00541CA640}">
  <sheetPr>
    <tabColor rgb="FFFFFF00"/>
  </sheetPr>
  <dimension ref="A1:BS48"/>
  <sheetViews>
    <sheetView topLeftCell="AR1" workbookViewId="0">
      <selection activeCell="BK26" sqref="BK26"/>
    </sheetView>
  </sheetViews>
  <sheetFormatPr defaultColWidth="9.1796875" defaultRowHeight="12.5" x14ac:dyDescent="0.25"/>
  <cols>
    <col min="1" max="1" width="19.26953125" style="222" customWidth="1"/>
    <col min="2" max="2" width="20.7265625" style="223" customWidth="1"/>
    <col min="3" max="6" width="15.7265625" style="223" customWidth="1"/>
    <col min="7" max="7" width="61.7265625" style="222" customWidth="1"/>
    <col min="8" max="8" width="9.1796875" style="222"/>
    <col min="9" max="11" width="15.7265625" style="223" customWidth="1"/>
    <col min="12" max="12" width="11.54296875" style="223" customWidth="1"/>
    <col min="13" max="15" width="9.1796875" style="222"/>
    <col min="16" max="16" width="9.1796875" style="223"/>
    <col min="17" max="17" width="10.1796875" style="222" bestFit="1" customWidth="1"/>
    <col min="18" max="31" width="9.1796875" style="222"/>
    <col min="32" max="32" width="10.453125" style="222" customWidth="1"/>
    <col min="33" max="40" width="9.1796875" style="222"/>
    <col min="41" max="41" width="10.1796875" style="222" bestFit="1" customWidth="1"/>
    <col min="42" max="42" width="12" style="222" customWidth="1"/>
    <col min="43" max="53" width="9.1796875" style="222"/>
    <col min="54" max="54" width="11.7265625" style="222" customWidth="1"/>
    <col min="55" max="58" width="9.1796875" style="222"/>
    <col min="59" max="60" width="9.1796875" style="223"/>
    <col min="61" max="61" width="9.453125" style="223" bestFit="1" customWidth="1"/>
    <col min="62" max="62" width="9.1796875" style="222"/>
    <col min="63" max="63" width="13.1796875" style="223" customWidth="1"/>
    <col min="64" max="16384" width="9.1796875" style="222"/>
  </cols>
  <sheetData>
    <row r="1" spans="1:71" x14ac:dyDescent="0.25">
      <c r="E1" s="224" t="s">
        <v>258</v>
      </c>
      <c r="N1" s="389" t="s">
        <v>259</v>
      </c>
      <c r="P1" s="225" t="s">
        <v>260</v>
      </c>
      <c r="Q1" s="226">
        <v>484.95</v>
      </c>
    </row>
    <row r="2" spans="1:71" ht="28.5" customHeight="1" x14ac:dyDescent="0.25">
      <c r="A2" s="227" t="s">
        <v>233</v>
      </c>
      <c r="D2" s="224"/>
      <c r="K2" s="222"/>
      <c r="L2" s="222"/>
      <c r="N2" s="389"/>
      <c r="P2" s="225" t="s">
        <v>261</v>
      </c>
      <c r="Q2" s="226">
        <v>72.91</v>
      </c>
      <c r="V2" s="223" t="s">
        <v>262</v>
      </c>
      <c r="BQ2" s="390" t="s">
        <v>263</v>
      </c>
      <c r="BR2" s="390"/>
      <c r="BS2" s="390"/>
    </row>
    <row r="3" spans="1:71" ht="63" x14ac:dyDescent="0.3">
      <c r="B3" s="228" t="s">
        <v>117</v>
      </c>
      <c r="C3" s="229" t="s">
        <v>235</v>
      </c>
      <c r="D3" s="229" t="s">
        <v>236</v>
      </c>
      <c r="E3" s="229" t="s">
        <v>237</v>
      </c>
      <c r="F3" s="228" t="s">
        <v>118</v>
      </c>
      <c r="G3" s="228" t="s">
        <v>234</v>
      </c>
      <c r="I3" s="230" t="s">
        <v>235</v>
      </c>
      <c r="J3" s="230" t="s">
        <v>236</v>
      </c>
      <c r="K3" s="230" t="s">
        <v>237</v>
      </c>
      <c r="L3" s="231" t="s">
        <v>264</v>
      </c>
      <c r="N3" s="389"/>
      <c r="P3" s="232" t="s">
        <v>265</v>
      </c>
      <c r="Q3" s="228" t="s">
        <v>266</v>
      </c>
      <c r="R3" s="223" t="s">
        <v>267</v>
      </c>
      <c r="U3" s="223" t="s">
        <v>268</v>
      </c>
      <c r="V3" s="223" t="s">
        <v>269</v>
      </c>
      <c r="W3" s="223" t="s">
        <v>241</v>
      </c>
      <c r="X3" s="223" t="s">
        <v>242</v>
      </c>
      <c r="Y3" s="232" t="s">
        <v>243</v>
      </c>
      <c r="AA3" s="223" t="s">
        <v>270</v>
      </c>
      <c r="AB3" s="223" t="s">
        <v>271</v>
      </c>
      <c r="AC3" s="223" t="s">
        <v>241</v>
      </c>
      <c r="AD3" s="223" t="s">
        <v>242</v>
      </c>
      <c r="AE3" s="232" t="s">
        <v>243</v>
      </c>
      <c r="AF3" s="223"/>
      <c r="AG3" s="233" t="s">
        <v>272</v>
      </c>
      <c r="AH3" s="233" t="s">
        <v>273</v>
      </c>
      <c r="AI3" s="234" t="s">
        <v>241</v>
      </c>
      <c r="AJ3" s="234" t="s">
        <v>242</v>
      </c>
      <c r="AK3" s="233" t="s">
        <v>243</v>
      </c>
      <c r="AL3" s="235" t="s">
        <v>274</v>
      </c>
      <c r="AN3" s="232" t="s">
        <v>275</v>
      </c>
      <c r="AO3" s="236" t="s">
        <v>240</v>
      </c>
      <c r="AP3" s="223" t="s">
        <v>241</v>
      </c>
      <c r="AQ3" s="223" t="s">
        <v>242</v>
      </c>
      <c r="AR3" s="232" t="s">
        <v>243</v>
      </c>
      <c r="AS3" s="232" t="s">
        <v>276</v>
      </c>
      <c r="AT3" s="232" t="s">
        <v>277</v>
      </c>
      <c r="AX3" s="236" t="s">
        <v>239</v>
      </c>
      <c r="AY3" s="232" t="s">
        <v>278</v>
      </c>
      <c r="AZ3" s="237" t="s">
        <v>241</v>
      </c>
      <c r="BA3" s="223" t="s">
        <v>242</v>
      </c>
      <c r="BB3" s="232" t="s">
        <v>243</v>
      </c>
      <c r="BE3" s="232" t="s">
        <v>279</v>
      </c>
      <c r="BF3" s="238"/>
      <c r="BG3" s="239" t="s">
        <v>280</v>
      </c>
      <c r="BH3" s="239" t="s">
        <v>281</v>
      </c>
      <c r="BI3" s="239" t="s">
        <v>282</v>
      </c>
      <c r="BJ3" s="238"/>
      <c r="BK3" s="240" t="s">
        <v>283</v>
      </c>
      <c r="BM3" s="232" t="s">
        <v>284</v>
      </c>
      <c r="BN3" s="232" t="s">
        <v>285</v>
      </c>
      <c r="BO3" s="232" t="s">
        <v>286</v>
      </c>
      <c r="BQ3" s="232" t="s">
        <v>287</v>
      </c>
      <c r="BR3" s="232" t="s">
        <v>288</v>
      </c>
      <c r="BS3" s="232" t="s">
        <v>289</v>
      </c>
    </row>
    <row r="4" spans="1:71" x14ac:dyDescent="0.25">
      <c r="Y4" s="223"/>
      <c r="AE4" s="223"/>
      <c r="AG4" s="241"/>
      <c r="AH4" s="241"/>
      <c r="AI4" s="241"/>
      <c r="AJ4" s="241"/>
      <c r="AK4" s="234"/>
      <c r="AL4" s="241"/>
      <c r="AN4" s="242"/>
      <c r="AO4" s="243"/>
      <c r="AP4" s="242"/>
      <c r="AQ4" s="242"/>
      <c r="AR4" s="242"/>
      <c r="AX4" s="243"/>
      <c r="AY4" s="242"/>
      <c r="AZ4" s="243"/>
      <c r="BA4" s="242"/>
      <c r="BB4" s="242"/>
      <c r="BE4" s="223"/>
      <c r="BK4" s="244"/>
      <c r="BQ4" s="223"/>
      <c r="BR4" s="223"/>
    </row>
    <row r="5" spans="1:71" x14ac:dyDescent="0.25">
      <c r="A5" s="222" t="s">
        <v>110</v>
      </c>
      <c r="B5" s="223" t="s">
        <v>128</v>
      </c>
      <c r="C5" s="242">
        <v>6235.9162500000002</v>
      </c>
      <c r="D5" s="242">
        <v>8769.6246042576422</v>
      </c>
      <c r="E5" s="242">
        <v>353.33239604699571</v>
      </c>
      <c r="F5" s="245">
        <f>SUM(C5:E5)</f>
        <v>15358.873250304638</v>
      </c>
      <c r="G5" s="222" t="s">
        <v>129</v>
      </c>
      <c r="I5" s="242">
        <v>5389.75</v>
      </c>
      <c r="J5" s="242">
        <v>8314.3681768558963</v>
      </c>
      <c r="K5" s="242">
        <v>300.11777569980694</v>
      </c>
      <c r="L5" s="245">
        <v>14004.235952555704</v>
      </c>
      <c r="N5" s="242">
        <f>D5+E5-J5-K5</f>
        <v>508.47104774893415</v>
      </c>
      <c r="P5" s="242">
        <f>C5-I5</f>
        <v>846.16625000000022</v>
      </c>
      <c r="Q5" s="242">
        <f>$Q$1+$Q$2</f>
        <v>557.86</v>
      </c>
      <c r="R5" s="242">
        <f>P5-Q5</f>
        <v>288.3062500000002</v>
      </c>
      <c r="T5" s="246"/>
      <c r="U5" s="242">
        <v>5836.8826874999995</v>
      </c>
      <c r="V5" s="242">
        <v>8769.6246042576422</v>
      </c>
      <c r="W5" s="242">
        <v>353.33239604699571</v>
      </c>
      <c r="X5" s="245">
        <f>SUM(U5:W5)</f>
        <v>14959.839687804637</v>
      </c>
      <c r="Y5" s="242">
        <f>X5-L5</f>
        <v>955.60373524893294</v>
      </c>
      <c r="AA5" s="242">
        <v>6235.9162500000002</v>
      </c>
      <c r="AB5" s="242">
        <v>8291.6148471615725</v>
      </c>
      <c r="AC5" s="242">
        <v>353.33239604699571</v>
      </c>
      <c r="AD5" s="245">
        <f>SUM(AA5:AC5)</f>
        <v>14880.863493208568</v>
      </c>
      <c r="AE5" s="242">
        <f>AD5-L5</f>
        <v>876.6275406528639</v>
      </c>
      <c r="AG5" s="247">
        <v>6156.1095375000004</v>
      </c>
      <c r="AH5" s="247">
        <v>8674.097652838429</v>
      </c>
      <c r="AI5" s="247">
        <v>353.33239604699571</v>
      </c>
      <c r="AJ5" s="247">
        <f>SUM(AG5:AI5)</f>
        <v>15183.539586385425</v>
      </c>
      <c r="AK5" s="247">
        <f>AJ5-L5</f>
        <v>1179.3036338297206</v>
      </c>
      <c r="AL5" s="247">
        <f>AJ5-F5</f>
        <v>-175.333663919213</v>
      </c>
      <c r="AM5" s="246">
        <f>AN5-I5</f>
        <v>686.55282499999976</v>
      </c>
      <c r="AN5" s="242">
        <v>6076.3028249999998</v>
      </c>
      <c r="AO5" s="243">
        <v>8578.5707014192139</v>
      </c>
      <c r="AP5" s="242">
        <f>K5</f>
        <v>300.11777569980694</v>
      </c>
      <c r="AQ5" s="242">
        <f>SUM(AN5:AP5)</f>
        <v>14954.991302119022</v>
      </c>
      <c r="AR5" s="242">
        <f>AQ5-L5</f>
        <v>950.7553495633183</v>
      </c>
      <c r="AS5" s="210">
        <f>AR5/L5</f>
        <v>6.7890554885274568E-2</v>
      </c>
      <c r="AT5" s="210">
        <f>(AO5-J5)/L5</f>
        <v>1.8865900678794404E-2</v>
      </c>
      <c r="AU5" s="242">
        <f>AO5-J5</f>
        <v>264.20252456331764</v>
      </c>
      <c r="AV5" s="246">
        <f>AO5-J5</f>
        <v>264.20252456331764</v>
      </c>
      <c r="AX5" s="243">
        <v>6120.2340168749997</v>
      </c>
      <c r="AY5" s="242">
        <v>8626.1466771288215</v>
      </c>
      <c r="AZ5" s="243">
        <f>K5</f>
        <v>300.11777569980694</v>
      </c>
      <c r="BA5" s="242">
        <f>SUM(AX5:AZ5)</f>
        <v>15046.498469703629</v>
      </c>
      <c r="BB5" s="242">
        <f>BA5-V5</f>
        <v>6276.8738654459867</v>
      </c>
      <c r="BE5" s="242">
        <f>AX5+AO5+AZ5</f>
        <v>14998.922493994021</v>
      </c>
      <c r="BG5" s="248">
        <v>8885.4271154475973</v>
      </c>
      <c r="BH5" s="242">
        <v>6242.9736972125002</v>
      </c>
      <c r="BI5" s="242">
        <f>AZ5</f>
        <v>300.11777569980694</v>
      </c>
      <c r="BK5" s="249">
        <f>SUM(BG5:BI5)</f>
        <v>15428.518588359904</v>
      </c>
      <c r="BL5" s="250">
        <f>BM5/BE5</f>
        <v>2.864179707161664E-2</v>
      </c>
      <c r="BM5" s="242">
        <f>BK5-BE5</f>
        <v>429.59609436588289</v>
      </c>
      <c r="BN5" s="242">
        <v>299.47109436588289</v>
      </c>
      <c r="BO5" s="242">
        <f>BM5-BN5</f>
        <v>130.125</v>
      </c>
      <c r="BQ5" s="242">
        <v>56.890296215156255</v>
      </c>
      <c r="BR5" s="242">
        <v>81.349088943094984</v>
      </c>
      <c r="BS5" s="242">
        <f>SUM(BQ5:BR5)</f>
        <v>138.23938515825125</v>
      </c>
    </row>
    <row r="6" spans="1:71" x14ac:dyDescent="0.25">
      <c r="C6" s="242"/>
      <c r="F6" s="242"/>
      <c r="I6" s="242"/>
      <c r="L6" s="242"/>
      <c r="N6" s="242"/>
      <c r="P6" s="242"/>
      <c r="Q6" s="242"/>
      <c r="R6" s="242"/>
      <c r="T6" s="246"/>
      <c r="U6" s="242"/>
      <c r="V6" s="223"/>
      <c r="W6" s="223"/>
      <c r="X6" s="242"/>
      <c r="Y6" s="242"/>
      <c r="AA6" s="242"/>
      <c r="AB6" s="223"/>
      <c r="AC6" s="223"/>
      <c r="AD6" s="242"/>
      <c r="AE6" s="242"/>
      <c r="AG6" s="247"/>
      <c r="AH6" s="234"/>
      <c r="AI6" s="234"/>
      <c r="AJ6" s="247"/>
      <c r="AK6" s="247"/>
      <c r="AL6" s="247"/>
      <c r="AM6" s="246">
        <f t="shared" ref="AM6:AM17" si="0">AN6-I6</f>
        <v>0</v>
      </c>
      <c r="AN6" s="242"/>
      <c r="AO6" s="237"/>
      <c r="AP6" s="242"/>
      <c r="AQ6" s="242"/>
      <c r="AR6" s="242"/>
      <c r="AS6" s="210"/>
      <c r="AT6" s="210"/>
      <c r="AU6" s="242"/>
      <c r="AV6" s="246">
        <f t="shared" ref="AV6:AV24" si="1">AO6-J6</f>
        <v>0</v>
      </c>
      <c r="AX6" s="243"/>
      <c r="AY6" s="223"/>
      <c r="AZ6" s="243"/>
      <c r="BA6" s="242"/>
      <c r="BB6" s="242"/>
      <c r="BE6" s="242"/>
      <c r="BK6" s="244"/>
      <c r="BL6" s="250"/>
      <c r="BO6" s="242"/>
      <c r="BQ6" s="242"/>
      <c r="BR6" s="242"/>
      <c r="BS6" s="242"/>
    </row>
    <row r="7" spans="1:71" x14ac:dyDescent="0.25">
      <c r="C7" s="242"/>
      <c r="D7" s="242"/>
      <c r="E7" s="242"/>
      <c r="F7" s="242"/>
      <c r="I7" s="242"/>
      <c r="J7" s="242"/>
      <c r="K7" s="242"/>
      <c r="L7" s="242"/>
      <c r="N7" s="242"/>
      <c r="P7" s="242"/>
      <c r="Q7" s="242"/>
      <c r="R7" s="242"/>
      <c r="T7" s="246"/>
      <c r="U7" s="242"/>
      <c r="V7" s="242"/>
      <c r="W7" s="242"/>
      <c r="X7" s="242"/>
      <c r="Y7" s="242"/>
      <c r="AA7" s="242"/>
      <c r="AB7" s="242"/>
      <c r="AC7" s="242"/>
      <c r="AD7" s="242"/>
      <c r="AE7" s="242"/>
      <c r="AG7" s="247"/>
      <c r="AH7" s="247"/>
      <c r="AI7" s="247"/>
      <c r="AJ7" s="247"/>
      <c r="AK7" s="247"/>
      <c r="AL7" s="247"/>
      <c r="AM7" s="246">
        <f t="shared" si="0"/>
        <v>0</v>
      </c>
      <c r="AN7" s="242"/>
      <c r="AO7" s="243"/>
      <c r="AP7" s="242"/>
      <c r="AQ7" s="242"/>
      <c r="AR7" s="242"/>
      <c r="AS7" s="210"/>
      <c r="AT7" s="210"/>
      <c r="AU7" s="242"/>
      <c r="AV7" s="246">
        <f t="shared" si="1"/>
        <v>0</v>
      </c>
      <c r="AX7" s="243"/>
      <c r="AY7" s="242"/>
      <c r="AZ7" s="243"/>
      <c r="BA7" s="242"/>
      <c r="BB7" s="242"/>
      <c r="BE7" s="242"/>
      <c r="BK7" s="244"/>
      <c r="BL7" s="250"/>
      <c r="BO7" s="242"/>
      <c r="BQ7" s="242"/>
      <c r="BR7" s="242"/>
      <c r="BS7" s="242"/>
    </row>
    <row r="8" spans="1:71" x14ac:dyDescent="0.25">
      <c r="A8" s="222" t="s">
        <v>108</v>
      </c>
      <c r="B8" s="223" t="s">
        <v>123</v>
      </c>
      <c r="C8" s="242">
        <v>4988.7330000000002</v>
      </c>
      <c r="D8" s="242">
        <v>2338.5665611353716</v>
      </c>
      <c r="E8" s="242">
        <v>353.33239604699571</v>
      </c>
      <c r="F8" s="245">
        <f>SUM(C8:E8)</f>
        <v>7680.6319571823678</v>
      </c>
      <c r="G8" s="222" t="s">
        <v>246</v>
      </c>
      <c r="I8" s="242">
        <v>4311.8</v>
      </c>
      <c r="J8" s="242">
        <v>2217.1648471615722</v>
      </c>
      <c r="K8" s="242">
        <v>300.11777569980694</v>
      </c>
      <c r="L8" s="245">
        <v>6829.0826228613796</v>
      </c>
      <c r="N8" s="242">
        <f>D8+E8-J8-K8</f>
        <v>174.61633432098807</v>
      </c>
      <c r="P8" s="242">
        <f>C8-I8</f>
        <v>676.93299999999999</v>
      </c>
      <c r="Q8" s="242">
        <f>$Q$1+$Q$2</f>
        <v>557.86</v>
      </c>
      <c r="R8" s="242">
        <f>P8-Q8</f>
        <v>119.07299999999998</v>
      </c>
      <c r="T8" s="246"/>
      <c r="U8" s="242">
        <v>4669.5061499999993</v>
      </c>
      <c r="V8" s="242">
        <v>2338.5665611353716</v>
      </c>
      <c r="W8" s="242">
        <v>353.33239604699571</v>
      </c>
      <c r="X8" s="245">
        <f>SUM(U8:W8)</f>
        <v>7361.4051071823669</v>
      </c>
      <c r="Y8" s="242">
        <f>X8-L8</f>
        <v>532.32248432098731</v>
      </c>
      <c r="AA8" s="242">
        <v>4988.7330000000002</v>
      </c>
      <c r="AB8" s="242">
        <v>2211.097292576419</v>
      </c>
      <c r="AC8" s="242">
        <v>353.33239604699571</v>
      </c>
      <c r="AD8" s="245">
        <f>SUM(AA8:AC8)</f>
        <v>7553.1626886234153</v>
      </c>
      <c r="AE8" s="242">
        <f>AD8-L8</f>
        <v>724.0800657620357</v>
      </c>
      <c r="AG8" s="247">
        <v>4924.8876300000002</v>
      </c>
      <c r="AH8" s="247">
        <v>2313.092707423581</v>
      </c>
      <c r="AI8" s="247">
        <v>353.33239604699571</v>
      </c>
      <c r="AJ8" s="247">
        <f>SUM(AG8:AI8)</f>
        <v>7591.3127334705778</v>
      </c>
      <c r="AK8" s="247">
        <f t="shared" ref="AK8:AK17" si="2">AJ8-L8</f>
        <v>762.23011060919816</v>
      </c>
      <c r="AL8" s="247">
        <f t="shared" ref="AL8:AL17" si="3">AJ8-F8</f>
        <v>-89.319223711790073</v>
      </c>
      <c r="AM8" s="246">
        <f t="shared" si="0"/>
        <v>549.24225999999999</v>
      </c>
      <c r="AN8" s="242">
        <v>4861.0422600000002</v>
      </c>
      <c r="AO8" s="243">
        <v>2287.6188537117905</v>
      </c>
      <c r="AP8" s="242">
        <f t="shared" ref="AP8:AP22" si="4">K8</f>
        <v>300.11777569980694</v>
      </c>
      <c r="AQ8" s="242">
        <f t="shared" ref="AQ8:AQ24" si="5">SUM(AN8:AP8)</f>
        <v>7448.7788894115974</v>
      </c>
      <c r="AR8" s="242">
        <f t="shared" ref="AR8:AR17" si="6">AQ8-L8</f>
        <v>619.69626655021784</v>
      </c>
      <c r="AS8" s="210">
        <f t="shared" ref="AS8:AS17" si="7">AR8/L8</f>
        <v>9.0743706112983838E-2</v>
      </c>
      <c r="AT8" s="210">
        <f t="shared" ref="AT8:AT17" si="8">(AO8-J8)/L8</f>
        <v>1.0316760016105668E-2</v>
      </c>
      <c r="AU8" s="242">
        <f t="shared" ref="AU8:AU22" si="9">AO8-J8</f>
        <v>70.45400655021831</v>
      </c>
      <c r="AV8" s="246">
        <f t="shared" si="1"/>
        <v>70.45400655021831</v>
      </c>
      <c r="AX8" s="243">
        <v>4896.1872134999994</v>
      </c>
      <c r="AY8" s="242">
        <v>2300.3057805676858</v>
      </c>
      <c r="AZ8" s="243">
        <f t="shared" ref="AZ8:AZ28" si="10">K8</f>
        <v>300.11777569980694</v>
      </c>
      <c r="BA8" s="242">
        <f t="shared" ref="BA8" si="11">SUM(AX8:AZ8)</f>
        <v>7496.6107697674915</v>
      </c>
      <c r="BB8" s="242">
        <f t="shared" ref="BB8" si="12">BA8-V8</f>
        <v>5158.04420863212</v>
      </c>
      <c r="BE8" s="242">
        <f t="shared" ref="BE8:BE24" si="13">AX8+AO8+AZ8</f>
        <v>7483.9238429115967</v>
      </c>
      <c r="BG8" s="248">
        <v>2369.447230786026</v>
      </c>
      <c r="BH8" s="242">
        <v>4994.3789577699999</v>
      </c>
      <c r="BI8" s="242">
        <f>AZ8</f>
        <v>300.11777569980694</v>
      </c>
      <c r="BK8" s="249">
        <f>SUM(BG8:BI8)</f>
        <v>7663.9439642558327</v>
      </c>
      <c r="BL8" s="250">
        <f t="shared" ref="BL8:BL30" si="14">BM8/BE8</f>
        <v>2.4054242817388129E-2</v>
      </c>
      <c r="BM8" s="242">
        <f>BK8-BE8</f>
        <v>180.02012134423603</v>
      </c>
      <c r="BN8" s="242">
        <v>145.32012134423621</v>
      </c>
      <c r="BO8" s="242">
        <f t="shared" ref="BO8:BO30" si="15">BM8-BN8</f>
        <v>34.699999999999818</v>
      </c>
      <c r="BQ8" s="242">
        <v>45.512236972125002</v>
      </c>
      <c r="BR8" s="242">
        <v>21.693090384825329</v>
      </c>
      <c r="BS8" s="242">
        <f t="shared" ref="BS8:BS30" si="16">SUM(BQ8:BR8)</f>
        <v>67.205327356950335</v>
      </c>
    </row>
    <row r="9" spans="1:71" x14ac:dyDescent="0.25">
      <c r="C9" s="242"/>
      <c r="D9" s="242"/>
      <c r="E9" s="242"/>
      <c r="F9" s="242"/>
      <c r="I9" s="242"/>
      <c r="J9" s="242"/>
      <c r="K9" s="242"/>
      <c r="L9" s="242"/>
      <c r="N9" s="242"/>
      <c r="P9" s="242"/>
      <c r="Q9" s="242"/>
      <c r="R9" s="242"/>
      <c r="T9" s="246"/>
      <c r="U9" s="242"/>
      <c r="V9" s="242"/>
      <c r="W9" s="242"/>
      <c r="X9" s="242"/>
      <c r="Y9" s="242"/>
      <c r="AA9" s="242"/>
      <c r="AB9" s="242"/>
      <c r="AC9" s="242"/>
      <c r="AD9" s="242"/>
      <c r="AE9" s="242"/>
      <c r="AG9" s="247"/>
      <c r="AH9" s="247"/>
      <c r="AI9" s="247"/>
      <c r="AJ9" s="247"/>
      <c r="AK9" s="247"/>
      <c r="AL9" s="247"/>
      <c r="AM9" s="246">
        <f t="shared" si="0"/>
        <v>0</v>
      </c>
      <c r="AN9" s="242"/>
      <c r="AO9" s="243"/>
      <c r="AP9" s="242"/>
      <c r="AQ9" s="242"/>
      <c r="AR9" s="242"/>
      <c r="AS9" s="210"/>
      <c r="AT9" s="210"/>
      <c r="AU9" s="242"/>
      <c r="AV9" s="246">
        <f t="shared" si="1"/>
        <v>0</v>
      </c>
      <c r="AX9" s="243"/>
      <c r="AY9" s="242"/>
      <c r="AZ9" s="243"/>
      <c r="BA9" s="242"/>
      <c r="BB9" s="242"/>
      <c r="BE9" s="242"/>
      <c r="BK9" s="244"/>
      <c r="BL9" s="250"/>
      <c r="BO9" s="242"/>
      <c r="BQ9" s="242"/>
      <c r="BR9" s="242"/>
      <c r="BS9" s="242"/>
    </row>
    <row r="10" spans="1:71" x14ac:dyDescent="0.25">
      <c r="C10" s="242"/>
      <c r="D10" s="242"/>
      <c r="E10" s="242"/>
      <c r="F10" s="242"/>
      <c r="I10" s="242"/>
      <c r="J10" s="242"/>
      <c r="K10" s="242"/>
      <c r="L10" s="242"/>
      <c r="N10" s="242"/>
      <c r="P10" s="242"/>
      <c r="Q10" s="242"/>
      <c r="R10" s="242"/>
      <c r="T10" s="246"/>
      <c r="U10" s="242"/>
      <c r="V10" s="242"/>
      <c r="W10" s="242"/>
      <c r="X10" s="242"/>
      <c r="Y10" s="242"/>
      <c r="AA10" s="242"/>
      <c r="AB10" s="242"/>
      <c r="AC10" s="242"/>
      <c r="AD10" s="242"/>
      <c r="AE10" s="242"/>
      <c r="AG10" s="247"/>
      <c r="AH10" s="247"/>
      <c r="AI10" s="247"/>
      <c r="AJ10" s="247"/>
      <c r="AK10" s="247"/>
      <c r="AL10" s="247"/>
      <c r="AM10" s="246">
        <f t="shared" si="0"/>
        <v>0</v>
      </c>
      <c r="AN10" s="242"/>
      <c r="AO10" s="243"/>
      <c r="AP10" s="242"/>
      <c r="AQ10" s="242"/>
      <c r="AR10" s="242"/>
      <c r="AS10" s="210"/>
      <c r="AT10" s="210"/>
      <c r="AU10" s="242"/>
      <c r="AV10" s="246">
        <f t="shared" si="1"/>
        <v>0</v>
      </c>
      <c r="AX10" s="243"/>
      <c r="AY10" s="242"/>
      <c r="AZ10" s="243"/>
      <c r="BA10" s="242"/>
      <c r="BB10" s="242"/>
      <c r="BE10" s="242"/>
      <c r="BK10" s="244"/>
      <c r="BL10" s="250"/>
      <c r="BO10" s="242"/>
      <c r="BQ10" s="242"/>
      <c r="BR10" s="242"/>
      <c r="BS10" s="242"/>
    </row>
    <row r="11" spans="1:71" x14ac:dyDescent="0.25">
      <c r="A11" s="222" t="s">
        <v>107</v>
      </c>
      <c r="B11" s="223" t="s">
        <v>121</v>
      </c>
      <c r="C11" s="242">
        <v>4157.2775000000001</v>
      </c>
      <c r="D11" s="242">
        <v>1948.8054676128095</v>
      </c>
      <c r="E11" s="242">
        <v>353.33239604699571</v>
      </c>
      <c r="F11" s="245">
        <f>SUM(C11:E11)</f>
        <v>6459.4153636598057</v>
      </c>
      <c r="G11" s="222" t="s">
        <v>122</v>
      </c>
      <c r="H11" s="246"/>
      <c r="I11" s="242">
        <v>3593.1666666666665</v>
      </c>
      <c r="J11" s="242">
        <v>1847.6373726346435</v>
      </c>
      <c r="K11" s="242">
        <v>300.11777569980694</v>
      </c>
      <c r="L11" s="245">
        <v>5740.9218150011166</v>
      </c>
      <c r="N11" s="242">
        <f>D11+E11-J11-K11</f>
        <v>154.3827153253547</v>
      </c>
      <c r="P11" s="242">
        <f>C11-I11</f>
        <v>564.11083333333363</v>
      </c>
      <c r="Q11" s="242">
        <f>$Q$1+$Q$2</f>
        <v>557.86</v>
      </c>
      <c r="R11" s="242">
        <f>P11-Q11</f>
        <v>6.2508333333336168</v>
      </c>
      <c r="T11" s="246"/>
      <c r="U11" s="242">
        <v>3891.2551249999997</v>
      </c>
      <c r="V11" s="242">
        <v>1948.8054676128095</v>
      </c>
      <c r="W11" s="242">
        <v>353.33239604699571</v>
      </c>
      <c r="X11" s="245">
        <f>SUM(U11:W11)</f>
        <v>6193.3929886598053</v>
      </c>
      <c r="Y11" s="242">
        <f>X11-L11</f>
        <v>452.47117365868871</v>
      </c>
      <c r="AA11" s="242">
        <v>4157.2775000000001</v>
      </c>
      <c r="AB11" s="242">
        <v>1842.581077147016</v>
      </c>
      <c r="AC11" s="242">
        <v>353.33239604699571</v>
      </c>
      <c r="AD11" s="245">
        <f>SUM(AA11:AC11)</f>
        <v>6353.1909731940123</v>
      </c>
      <c r="AE11" s="242">
        <f>AD11-L11</f>
        <v>612.2691581928957</v>
      </c>
      <c r="AG11" s="247">
        <v>4104.0730250000006</v>
      </c>
      <c r="AH11" s="247">
        <v>1927.5772561863175</v>
      </c>
      <c r="AI11" s="247">
        <v>353.33239604699571</v>
      </c>
      <c r="AJ11" s="247">
        <f>SUM(AG11:AI11)</f>
        <v>6384.9826772333145</v>
      </c>
      <c r="AK11" s="247">
        <f t="shared" si="2"/>
        <v>644.06086223219791</v>
      </c>
      <c r="AL11" s="247">
        <f t="shared" si="3"/>
        <v>-74.432686426491273</v>
      </c>
      <c r="AM11" s="246">
        <f t="shared" si="0"/>
        <v>457.70188333333317</v>
      </c>
      <c r="AN11" s="242">
        <v>4050.8685499999997</v>
      </c>
      <c r="AO11" s="243">
        <v>1906.3490447598253</v>
      </c>
      <c r="AP11" s="242">
        <f t="shared" si="4"/>
        <v>300.11777569980694</v>
      </c>
      <c r="AQ11" s="242">
        <f t="shared" si="5"/>
        <v>6257.335370459632</v>
      </c>
      <c r="AR11" s="242">
        <f t="shared" si="6"/>
        <v>516.41355545851548</v>
      </c>
      <c r="AS11" s="210">
        <f t="shared" si="7"/>
        <v>8.9953072363591319E-2</v>
      </c>
      <c r="AT11" s="210">
        <f t="shared" si="8"/>
        <v>1.0226871923558922E-2</v>
      </c>
      <c r="AU11" s="242">
        <f t="shared" si="9"/>
        <v>58.711672125181849</v>
      </c>
      <c r="AV11" s="246">
        <f t="shared" si="1"/>
        <v>58.711672125181849</v>
      </c>
      <c r="AX11" s="243">
        <v>4080.1560112499997</v>
      </c>
      <c r="AY11" s="242">
        <v>1916.9214838064047</v>
      </c>
      <c r="AZ11" s="243">
        <f t="shared" si="10"/>
        <v>300.11777569980694</v>
      </c>
      <c r="BA11" s="242">
        <f t="shared" ref="BA11" si="17">SUM(AX11:AZ11)</f>
        <v>6297.1952707562114</v>
      </c>
      <c r="BB11" s="242">
        <f t="shared" ref="BB11" si="18">BA11-V11</f>
        <v>4348.3898031434019</v>
      </c>
      <c r="BE11" s="242">
        <f t="shared" si="13"/>
        <v>6286.622831709632</v>
      </c>
      <c r="BG11" s="248">
        <v>1974.5393589883552</v>
      </c>
      <c r="BH11" s="242">
        <v>4161.9824648083331</v>
      </c>
      <c r="BI11" s="242">
        <f>AZ11</f>
        <v>300.11777569980694</v>
      </c>
      <c r="BK11" s="249">
        <f>SUM(BG11:BI11)</f>
        <v>6436.6395994964951</v>
      </c>
      <c r="BL11" s="250">
        <f t="shared" si="14"/>
        <v>2.386285479545245E-2</v>
      </c>
      <c r="BM11" s="242">
        <f>BK11-BE11</f>
        <v>150.01676778686306</v>
      </c>
      <c r="BN11" s="242">
        <v>121.10010112019609</v>
      </c>
      <c r="BO11" s="242">
        <f t="shared" si="15"/>
        <v>28.91666666666697</v>
      </c>
      <c r="BQ11" s="242">
        <v>37.926864143437506</v>
      </c>
      <c r="BR11" s="242">
        <v>18.077575320687775</v>
      </c>
      <c r="BS11" s="242">
        <f t="shared" si="16"/>
        <v>56.004439464125284</v>
      </c>
    </row>
    <row r="12" spans="1:71" x14ac:dyDescent="0.25">
      <c r="C12" s="242"/>
      <c r="D12" s="242"/>
      <c r="E12" s="242"/>
      <c r="F12" s="242"/>
      <c r="I12" s="242"/>
      <c r="J12" s="242"/>
      <c r="K12" s="242"/>
      <c r="L12" s="242"/>
      <c r="N12" s="242"/>
      <c r="P12" s="242"/>
      <c r="Q12" s="242"/>
      <c r="R12" s="242"/>
      <c r="T12" s="246"/>
      <c r="U12" s="242"/>
      <c r="V12" s="242"/>
      <c r="W12" s="242"/>
      <c r="X12" s="242"/>
      <c r="Y12" s="242"/>
      <c r="AA12" s="242"/>
      <c r="AB12" s="242"/>
      <c r="AC12" s="242"/>
      <c r="AD12" s="242"/>
      <c r="AE12" s="242"/>
      <c r="AG12" s="247"/>
      <c r="AH12" s="247"/>
      <c r="AI12" s="247"/>
      <c r="AJ12" s="247"/>
      <c r="AK12" s="247"/>
      <c r="AL12" s="247"/>
      <c r="AM12" s="246">
        <f t="shared" si="0"/>
        <v>0</v>
      </c>
      <c r="AN12" s="242"/>
      <c r="AO12" s="243"/>
      <c r="AP12" s="242"/>
      <c r="AQ12" s="242"/>
      <c r="AR12" s="242"/>
      <c r="AS12" s="210"/>
      <c r="AT12" s="210"/>
      <c r="AU12" s="242"/>
      <c r="AV12" s="246">
        <f t="shared" si="1"/>
        <v>0</v>
      </c>
      <c r="AX12" s="243"/>
      <c r="AY12" s="242"/>
      <c r="AZ12" s="243"/>
      <c r="BA12" s="242"/>
      <c r="BB12" s="242"/>
      <c r="BE12" s="242"/>
      <c r="BK12" s="244"/>
      <c r="BL12" s="250"/>
      <c r="BO12" s="242"/>
      <c r="BQ12" s="242"/>
      <c r="BR12" s="242"/>
      <c r="BS12" s="242"/>
    </row>
    <row r="13" spans="1:71" x14ac:dyDescent="0.25">
      <c r="C13" s="242"/>
      <c r="D13" s="242"/>
      <c r="E13" s="242"/>
      <c r="F13" s="242"/>
      <c r="I13" s="242"/>
      <c r="J13" s="242"/>
      <c r="K13" s="242"/>
      <c r="L13" s="242"/>
      <c r="N13" s="242"/>
      <c r="P13" s="242"/>
      <c r="Q13" s="242"/>
      <c r="R13" s="242"/>
      <c r="T13" s="246"/>
      <c r="U13" s="242"/>
      <c r="V13" s="242"/>
      <c r="W13" s="242"/>
      <c r="X13" s="242"/>
      <c r="Y13" s="242"/>
      <c r="AA13" s="242"/>
      <c r="AB13" s="242"/>
      <c r="AC13" s="242"/>
      <c r="AD13" s="242"/>
      <c r="AE13" s="242"/>
      <c r="AG13" s="247"/>
      <c r="AH13" s="247"/>
      <c r="AI13" s="247"/>
      <c r="AJ13" s="247"/>
      <c r="AK13" s="247"/>
      <c r="AL13" s="247"/>
      <c r="AM13" s="246">
        <f t="shared" si="0"/>
        <v>0</v>
      </c>
      <c r="AN13" s="242"/>
      <c r="AO13" s="243"/>
      <c r="AP13" s="242"/>
      <c r="AQ13" s="242"/>
      <c r="AR13" s="242"/>
      <c r="AS13" s="210"/>
      <c r="AT13" s="210"/>
      <c r="AU13" s="242"/>
      <c r="AV13" s="246">
        <f t="shared" si="1"/>
        <v>0</v>
      </c>
      <c r="AX13" s="243"/>
      <c r="AY13" s="242"/>
      <c r="AZ13" s="243"/>
      <c r="BA13" s="242"/>
      <c r="BB13" s="242"/>
      <c r="BE13" s="242"/>
      <c r="BK13" s="244"/>
      <c r="BL13" s="250"/>
      <c r="BO13" s="242"/>
      <c r="BQ13" s="242"/>
      <c r="BR13" s="242"/>
      <c r="BS13" s="242"/>
    </row>
    <row r="14" spans="1:71" x14ac:dyDescent="0.25">
      <c r="A14" s="222" t="s">
        <v>111</v>
      </c>
      <c r="B14" s="223" t="s">
        <v>128</v>
      </c>
      <c r="C14" s="242">
        <v>6235.9162500000002</v>
      </c>
      <c r="D14" s="242">
        <v>8769.6246042576422</v>
      </c>
      <c r="E14" s="242">
        <v>353.33239604699571</v>
      </c>
      <c r="F14" s="245">
        <f>SUM(C14:E14)</f>
        <v>15358.873250304638</v>
      </c>
      <c r="G14" s="222" t="s">
        <v>129</v>
      </c>
      <c r="I14" s="242">
        <v>5389.75</v>
      </c>
      <c r="J14" s="242">
        <v>8314.3681768558963</v>
      </c>
      <c r="K14" s="242">
        <v>300.11777569980694</v>
      </c>
      <c r="L14" s="245">
        <v>14004.235952555704</v>
      </c>
      <c r="N14" s="242">
        <f>D14+E14-J14-K14</f>
        <v>508.47104774893415</v>
      </c>
      <c r="P14" s="242">
        <f>C14-I14</f>
        <v>846.16625000000022</v>
      </c>
      <c r="Q14" s="242">
        <f>$Q$1+$Q$2</f>
        <v>557.86</v>
      </c>
      <c r="R14" s="242">
        <f>P14-Q14</f>
        <v>288.3062500000002</v>
      </c>
      <c r="T14" s="246"/>
      <c r="U14" s="242">
        <v>5836.8826874999995</v>
      </c>
      <c r="V14" s="242">
        <v>8769.6246042576422</v>
      </c>
      <c r="W14" s="242">
        <v>353.33239604699571</v>
      </c>
      <c r="X14" s="245">
        <f>SUM(U14:W14)</f>
        <v>14959.839687804637</v>
      </c>
      <c r="Y14" s="242">
        <f>X14-L14</f>
        <v>955.60373524893294</v>
      </c>
      <c r="AA14" s="242">
        <v>6235.9162500000002</v>
      </c>
      <c r="AB14" s="242">
        <v>8291.6148471615725</v>
      </c>
      <c r="AC14" s="242">
        <v>353.33239604699571</v>
      </c>
      <c r="AD14" s="245">
        <f>SUM(AA14:AC14)</f>
        <v>14880.863493208568</v>
      </c>
      <c r="AE14" s="242">
        <f>AD14-L14</f>
        <v>876.6275406528639</v>
      </c>
      <c r="AG14" s="247">
        <v>6156.1095375000004</v>
      </c>
      <c r="AH14" s="247">
        <v>8674.097652838429</v>
      </c>
      <c r="AI14" s="247">
        <v>353.33239604699571</v>
      </c>
      <c r="AJ14" s="247">
        <f>SUM(AG14:AI14)</f>
        <v>15183.539586385425</v>
      </c>
      <c r="AK14" s="247">
        <f t="shared" si="2"/>
        <v>1179.3036338297206</v>
      </c>
      <c r="AL14" s="247">
        <f t="shared" si="3"/>
        <v>-175.333663919213</v>
      </c>
      <c r="AM14" s="246">
        <f t="shared" si="0"/>
        <v>686.55282499999976</v>
      </c>
      <c r="AN14" s="242">
        <v>6076.3028249999998</v>
      </c>
      <c r="AO14" s="243">
        <v>8578.5707014192139</v>
      </c>
      <c r="AP14" s="242">
        <f t="shared" si="4"/>
        <v>300.11777569980694</v>
      </c>
      <c r="AQ14" s="242">
        <f t="shared" si="5"/>
        <v>14954.991302119022</v>
      </c>
      <c r="AR14" s="242">
        <f t="shared" si="6"/>
        <v>950.7553495633183</v>
      </c>
      <c r="AS14" s="210">
        <f t="shared" si="7"/>
        <v>6.7890554885274568E-2</v>
      </c>
      <c r="AT14" s="210">
        <f t="shared" si="8"/>
        <v>1.8865900678794404E-2</v>
      </c>
      <c r="AU14" s="242">
        <f t="shared" si="9"/>
        <v>264.20252456331764</v>
      </c>
      <c r="AV14" s="246">
        <f t="shared" si="1"/>
        <v>264.20252456331764</v>
      </c>
      <c r="AX14" s="243">
        <v>6120.2340168749997</v>
      </c>
      <c r="AY14" s="242">
        <v>8626.1466771288215</v>
      </c>
      <c r="AZ14" s="243">
        <f t="shared" si="10"/>
        <v>300.11777569980694</v>
      </c>
      <c r="BA14" s="242">
        <f t="shared" ref="BA14" si="19">SUM(AX14:AZ14)</f>
        <v>15046.498469703629</v>
      </c>
      <c r="BB14" s="242">
        <f t="shared" ref="BB14" si="20">BA14-V14</f>
        <v>6276.8738654459867</v>
      </c>
      <c r="BE14" s="242">
        <f t="shared" si="13"/>
        <v>14998.922493994021</v>
      </c>
      <c r="BG14" s="248">
        <v>8885.4271154475973</v>
      </c>
      <c r="BH14" s="242">
        <v>6242.9736972125002</v>
      </c>
      <c r="BI14" s="242">
        <f>AZ14</f>
        <v>300.11777569980694</v>
      </c>
      <c r="BK14" s="249">
        <f>SUM(BG14:BI14)</f>
        <v>15428.518588359904</v>
      </c>
      <c r="BL14" s="250">
        <f t="shared" si="14"/>
        <v>2.864179707161664E-2</v>
      </c>
      <c r="BM14" s="242">
        <f>BK14-BE14</f>
        <v>429.59609436588289</v>
      </c>
      <c r="BN14" s="242">
        <v>299.47109436588289</v>
      </c>
      <c r="BO14" s="242">
        <f t="shared" si="15"/>
        <v>130.125</v>
      </c>
      <c r="BQ14" s="242">
        <v>56.890296215156255</v>
      </c>
      <c r="BR14" s="242">
        <v>81.349088943094984</v>
      </c>
      <c r="BS14" s="242">
        <f t="shared" si="16"/>
        <v>138.23938515825125</v>
      </c>
    </row>
    <row r="15" spans="1:71" x14ac:dyDescent="0.25">
      <c r="C15" s="242"/>
      <c r="D15" s="242"/>
      <c r="E15" s="242"/>
      <c r="F15" s="242"/>
      <c r="I15" s="242"/>
      <c r="J15" s="242"/>
      <c r="K15" s="242"/>
      <c r="L15" s="242"/>
      <c r="N15" s="242"/>
      <c r="P15" s="242"/>
      <c r="Q15" s="242"/>
      <c r="R15" s="242"/>
      <c r="T15" s="246"/>
      <c r="U15" s="242"/>
      <c r="V15" s="242"/>
      <c r="W15" s="242"/>
      <c r="X15" s="242"/>
      <c r="Y15" s="242"/>
      <c r="AA15" s="242"/>
      <c r="AB15" s="242"/>
      <c r="AC15" s="242"/>
      <c r="AD15" s="242"/>
      <c r="AE15" s="242"/>
      <c r="AG15" s="247"/>
      <c r="AH15" s="247"/>
      <c r="AI15" s="247"/>
      <c r="AJ15" s="247"/>
      <c r="AK15" s="247"/>
      <c r="AL15" s="247"/>
      <c r="AM15" s="246">
        <f t="shared" si="0"/>
        <v>0</v>
      </c>
      <c r="AN15" s="242"/>
      <c r="AO15" s="243"/>
      <c r="AP15" s="242"/>
      <c r="AQ15" s="242"/>
      <c r="AR15" s="242"/>
      <c r="AS15" s="210"/>
      <c r="AT15" s="210"/>
      <c r="AU15" s="242"/>
      <c r="AV15" s="246">
        <f t="shared" si="1"/>
        <v>0</v>
      </c>
      <c r="AX15" s="243"/>
      <c r="AY15" s="242"/>
      <c r="AZ15" s="243"/>
      <c r="BA15" s="242"/>
      <c r="BB15" s="242"/>
      <c r="BE15" s="242"/>
      <c r="BK15" s="244"/>
      <c r="BL15" s="250"/>
      <c r="BO15" s="242"/>
      <c r="BQ15" s="242"/>
      <c r="BR15" s="242"/>
      <c r="BS15" s="242"/>
    </row>
    <row r="16" spans="1:71" x14ac:dyDescent="0.25">
      <c r="C16" s="242"/>
      <c r="D16" s="242"/>
      <c r="E16" s="242"/>
      <c r="F16" s="242"/>
      <c r="I16" s="242"/>
      <c r="J16" s="242"/>
      <c r="K16" s="242"/>
      <c r="L16" s="242"/>
      <c r="N16" s="242"/>
      <c r="P16" s="242"/>
      <c r="Q16" s="242"/>
      <c r="R16" s="242"/>
      <c r="T16" s="246"/>
      <c r="U16" s="242"/>
      <c r="V16" s="242"/>
      <c r="W16" s="242"/>
      <c r="X16" s="242"/>
      <c r="Y16" s="242"/>
      <c r="AA16" s="242"/>
      <c r="AB16" s="242"/>
      <c r="AC16" s="242"/>
      <c r="AD16" s="242"/>
      <c r="AE16" s="242"/>
      <c r="AG16" s="247"/>
      <c r="AH16" s="247"/>
      <c r="AI16" s="247"/>
      <c r="AJ16" s="247"/>
      <c r="AK16" s="247"/>
      <c r="AL16" s="247"/>
      <c r="AM16" s="246">
        <f t="shared" si="0"/>
        <v>0</v>
      </c>
      <c r="AN16" s="242"/>
      <c r="AO16" s="243"/>
      <c r="AP16" s="242"/>
      <c r="AQ16" s="242"/>
      <c r="AR16" s="242"/>
      <c r="AS16" s="210"/>
      <c r="AT16" s="210"/>
      <c r="AU16" s="242"/>
      <c r="AV16" s="246">
        <f t="shared" si="1"/>
        <v>0</v>
      </c>
      <c r="AX16" s="243"/>
      <c r="AY16" s="242"/>
      <c r="AZ16" s="243"/>
      <c r="BA16" s="242"/>
      <c r="BB16" s="242"/>
      <c r="BE16" s="242"/>
      <c r="BK16" s="244"/>
      <c r="BL16" s="250"/>
      <c r="BO16" s="242"/>
      <c r="BQ16" s="242"/>
      <c r="BR16" s="242"/>
      <c r="BS16" s="242"/>
    </row>
    <row r="17" spans="1:71" x14ac:dyDescent="0.25">
      <c r="A17" s="222" t="s">
        <v>109</v>
      </c>
      <c r="B17" s="223" t="s">
        <v>247</v>
      </c>
      <c r="C17" s="242">
        <v>4988.7330000000002</v>
      </c>
      <c r="D17" s="242">
        <v>7015.6996834061147</v>
      </c>
      <c r="E17" s="242">
        <v>353.33239604699571</v>
      </c>
      <c r="F17" s="245">
        <f>SUM(C17:E17)</f>
        <v>12357.765079453109</v>
      </c>
      <c r="G17" s="222" t="s">
        <v>248</v>
      </c>
      <c r="I17" s="242">
        <v>4311.8</v>
      </c>
      <c r="J17" s="242">
        <v>6651.494541484717</v>
      </c>
      <c r="K17" s="242">
        <v>300.11777569980694</v>
      </c>
      <c r="L17" s="245">
        <v>11263.412317184524</v>
      </c>
      <c r="N17" s="242">
        <f>D17+E17-J17-K17</f>
        <v>417.41976226858679</v>
      </c>
      <c r="P17" s="242">
        <f>C17-I17</f>
        <v>676.93299999999999</v>
      </c>
      <c r="Q17" s="242">
        <f>$Q$1+$Q$2</f>
        <v>557.86</v>
      </c>
      <c r="R17" s="242">
        <f>P17-Q17</f>
        <v>119.07299999999998</v>
      </c>
      <c r="T17" s="246"/>
      <c r="U17" s="242">
        <v>4669.5061499999993</v>
      </c>
      <c r="V17" s="242">
        <v>7015.6996834061147</v>
      </c>
      <c r="W17" s="242">
        <v>353.33239604699571</v>
      </c>
      <c r="X17" s="245">
        <f>SUM(U17:W17)</f>
        <v>12038.53822945311</v>
      </c>
      <c r="Y17" s="242">
        <f>X17-L17</f>
        <v>775.12591226858603</v>
      </c>
      <c r="AA17" s="242">
        <v>4988.7330000000002</v>
      </c>
      <c r="AB17" s="242">
        <v>6633.2918777292571</v>
      </c>
      <c r="AC17" s="242">
        <v>353.33239604699571</v>
      </c>
      <c r="AD17" s="245">
        <f>SUM(AA17:AC17)</f>
        <v>11975.357273776253</v>
      </c>
      <c r="AE17" s="242">
        <f>AD17-L17</f>
        <v>711.94495659172935</v>
      </c>
      <c r="AG17" s="247">
        <v>4924.8876300000002</v>
      </c>
      <c r="AH17" s="247">
        <v>6939.2781222707436</v>
      </c>
      <c r="AI17" s="247">
        <v>353.33239604699571</v>
      </c>
      <c r="AJ17" s="247">
        <f>SUM(AG17:AI17)</f>
        <v>12217.498148317738</v>
      </c>
      <c r="AK17" s="247">
        <f t="shared" si="2"/>
        <v>954.08583113321401</v>
      </c>
      <c r="AL17" s="247">
        <f t="shared" si="3"/>
        <v>-140.26693113537112</v>
      </c>
      <c r="AM17" s="246">
        <f t="shared" si="0"/>
        <v>549.24225999999999</v>
      </c>
      <c r="AN17" s="242">
        <v>4861.0422600000002</v>
      </c>
      <c r="AO17" s="243">
        <v>6862.8565611353715</v>
      </c>
      <c r="AP17" s="242">
        <f t="shared" si="4"/>
        <v>300.11777569980694</v>
      </c>
      <c r="AQ17" s="242">
        <f t="shared" si="5"/>
        <v>12024.016596835179</v>
      </c>
      <c r="AR17" s="242">
        <f t="shared" si="6"/>
        <v>760.60427965065537</v>
      </c>
      <c r="AS17" s="210">
        <f t="shared" si="7"/>
        <v>6.7528761110006219E-2</v>
      </c>
      <c r="AT17" s="210">
        <f t="shared" si="8"/>
        <v>1.8765362902340054E-2</v>
      </c>
      <c r="AU17" s="242">
        <f t="shared" si="9"/>
        <v>211.36201965065447</v>
      </c>
      <c r="AV17" s="246">
        <f>AO17-J17</f>
        <v>211.36201965065447</v>
      </c>
      <c r="AX17" s="243">
        <v>4896.1872134999994</v>
      </c>
      <c r="AY17" s="242">
        <v>6900.9173417030579</v>
      </c>
      <c r="AZ17" s="243">
        <f t="shared" si="10"/>
        <v>300.11777569980694</v>
      </c>
      <c r="BA17" s="242">
        <f t="shared" ref="BA17" si="21">SUM(AX17:AZ17)</f>
        <v>12097.222330902865</v>
      </c>
      <c r="BB17" s="242">
        <f t="shared" ref="BB17" si="22">BA17-V17</f>
        <v>5081.5226474967503</v>
      </c>
      <c r="BE17" s="242">
        <f>AX17+AO17+AZ17</f>
        <v>12059.161550335179</v>
      </c>
      <c r="BG17" s="248">
        <v>7108.341692358078</v>
      </c>
      <c r="BH17" s="242">
        <v>4994.3789577699999</v>
      </c>
      <c r="BI17" s="242">
        <f>AZ17</f>
        <v>300.11777569980694</v>
      </c>
      <c r="BK17" s="249"/>
      <c r="BL17" s="250"/>
      <c r="BM17" s="242"/>
      <c r="BN17" s="242"/>
      <c r="BO17" s="242"/>
      <c r="BQ17" s="242">
        <v>45.512236972125002</v>
      </c>
      <c r="BR17" s="242">
        <v>65.07927115447599</v>
      </c>
      <c r="BS17" s="242">
        <f t="shared" si="16"/>
        <v>110.59150812660098</v>
      </c>
    </row>
    <row r="18" spans="1:71" x14ac:dyDescent="0.25">
      <c r="C18" s="242"/>
      <c r="D18" s="242"/>
      <c r="E18" s="242"/>
      <c r="F18" s="242"/>
      <c r="N18" s="242"/>
      <c r="P18" s="242"/>
      <c r="Q18" s="242"/>
      <c r="R18" s="242"/>
      <c r="AN18" s="223"/>
      <c r="AO18" s="237"/>
      <c r="AP18" s="242"/>
      <c r="AQ18" s="242"/>
      <c r="AR18" s="223"/>
      <c r="AU18" s="242"/>
      <c r="AV18" s="246">
        <f t="shared" si="1"/>
        <v>0</v>
      </c>
      <c r="AX18" s="237"/>
      <c r="AY18" s="223"/>
      <c r="AZ18" s="243"/>
      <c r="BA18" s="242"/>
      <c r="BB18" s="223"/>
      <c r="BE18" s="242"/>
      <c r="BK18" s="244"/>
      <c r="BL18" s="250"/>
      <c r="BO18" s="242"/>
      <c r="BQ18" s="242"/>
      <c r="BR18" s="242"/>
      <c r="BS18" s="242"/>
    </row>
    <row r="19" spans="1:71" x14ac:dyDescent="0.25">
      <c r="C19" s="242"/>
      <c r="D19" s="242"/>
      <c r="E19" s="242"/>
      <c r="F19" s="242"/>
      <c r="N19" s="242"/>
      <c r="P19" s="242"/>
      <c r="Q19" s="242"/>
      <c r="R19" s="242"/>
      <c r="AN19" s="223"/>
      <c r="AO19" s="237"/>
      <c r="AP19" s="242"/>
      <c r="AQ19" s="242"/>
      <c r="AR19" s="223"/>
      <c r="AU19" s="242"/>
      <c r="AV19" s="246">
        <f t="shared" si="1"/>
        <v>0</v>
      </c>
      <c r="AX19" s="237"/>
      <c r="AY19" s="223"/>
      <c r="AZ19" s="243"/>
      <c r="BA19" s="242"/>
      <c r="BB19" s="223"/>
      <c r="BE19" s="242"/>
      <c r="BK19" s="244"/>
      <c r="BL19" s="250"/>
      <c r="BO19" s="242"/>
      <c r="BQ19" s="242"/>
      <c r="BR19" s="242"/>
      <c r="BS19" s="242"/>
    </row>
    <row r="20" spans="1:71" ht="25" x14ac:dyDescent="0.25">
      <c r="A20" s="222" t="s">
        <v>249</v>
      </c>
      <c r="C20" s="242">
        <v>0</v>
      </c>
      <c r="D20" s="242">
        <v>0</v>
      </c>
      <c r="E20" s="242">
        <v>0</v>
      </c>
      <c r="F20" s="245">
        <v>2635</v>
      </c>
      <c r="G20" s="251" t="s">
        <v>250</v>
      </c>
      <c r="I20" s="242">
        <v>0</v>
      </c>
      <c r="J20" s="242">
        <v>0</v>
      </c>
      <c r="K20" s="242">
        <v>0</v>
      </c>
      <c r="L20" s="245">
        <v>2635</v>
      </c>
      <c r="N20" s="242">
        <f>D20+E20-J20-K20</f>
        <v>0</v>
      </c>
      <c r="P20" s="242">
        <f>C20-I20</f>
        <v>0</v>
      </c>
      <c r="Q20" s="242"/>
      <c r="R20" s="242"/>
      <c r="AN20" s="223"/>
      <c r="AO20" s="237"/>
      <c r="AP20" s="242"/>
      <c r="AQ20" s="242">
        <f>F20</f>
        <v>2635</v>
      </c>
      <c r="AR20" s="223"/>
      <c r="AU20" s="242"/>
      <c r="AV20" s="246">
        <f t="shared" si="1"/>
        <v>0</v>
      </c>
      <c r="AX20" s="237"/>
      <c r="AY20" s="223"/>
      <c r="AZ20" s="243">
        <v>2635</v>
      </c>
      <c r="BA20" s="242"/>
      <c r="BB20" s="223"/>
      <c r="BE20" s="242">
        <f>AX20+AO20+AZ20</f>
        <v>2635</v>
      </c>
      <c r="BK20" s="244"/>
      <c r="BL20" s="250"/>
      <c r="BM20" s="242"/>
      <c r="BN20" s="242"/>
      <c r="BO20" s="242"/>
      <c r="BQ20" s="242"/>
      <c r="BR20" s="242"/>
      <c r="BS20" s="242"/>
    </row>
    <row r="21" spans="1:71" x14ac:dyDescent="0.25">
      <c r="C21" s="242"/>
      <c r="D21" s="242"/>
      <c r="E21" s="242"/>
      <c r="F21" s="242"/>
      <c r="G21" s="227"/>
      <c r="I21" s="242"/>
      <c r="J21" s="242"/>
      <c r="K21" s="242"/>
      <c r="L21" s="242"/>
      <c r="N21" s="242"/>
      <c r="P21" s="242"/>
      <c r="Q21" s="242"/>
      <c r="R21" s="242"/>
      <c r="X21" s="238" t="s">
        <v>290</v>
      </c>
      <c r="AD21" s="248">
        <v>22386.188537117905</v>
      </c>
      <c r="AN21" s="223"/>
      <c r="AO21" s="237"/>
      <c r="AP21" s="242"/>
      <c r="AQ21" s="242"/>
      <c r="AR21" s="223"/>
      <c r="AU21" s="242"/>
      <c r="AV21" s="246">
        <f t="shared" si="1"/>
        <v>0</v>
      </c>
      <c r="AX21" s="237"/>
      <c r="AY21" s="223"/>
      <c r="AZ21" s="243"/>
      <c r="BA21" s="242"/>
      <c r="BB21" s="223"/>
      <c r="BE21" s="242"/>
      <c r="BK21" s="244"/>
      <c r="BL21" s="250"/>
      <c r="BO21" s="242"/>
      <c r="BQ21" s="242"/>
      <c r="BR21" s="242"/>
      <c r="BS21" s="242"/>
    </row>
    <row r="22" spans="1:71" x14ac:dyDescent="0.25">
      <c r="A22" s="222" t="s">
        <v>112</v>
      </c>
      <c r="B22" s="223" t="s">
        <v>128</v>
      </c>
      <c r="C22" s="242">
        <v>8314.5550000000003</v>
      </c>
      <c r="D22" s="242">
        <v>7795.2218704512379</v>
      </c>
      <c r="E22" s="242">
        <v>353.33239604699571</v>
      </c>
      <c r="F22" s="245">
        <f>SUM(C22:E22)</f>
        <v>16463.109266498235</v>
      </c>
      <c r="G22" s="222" t="s">
        <v>130</v>
      </c>
      <c r="I22" s="242">
        <v>7186.333333333333</v>
      </c>
      <c r="J22" s="242">
        <v>7390.549490538574</v>
      </c>
      <c r="K22" s="242">
        <v>300.11777569980694</v>
      </c>
      <c r="L22" s="245">
        <v>14877.000599571715</v>
      </c>
      <c r="N22" s="242">
        <f>D22+E22-J22-K22</f>
        <v>457.8870002598531</v>
      </c>
      <c r="P22" s="242">
        <f>C22-I22</f>
        <v>1128.2216666666673</v>
      </c>
      <c r="Q22" s="242">
        <f>$Q$1+$Q$2</f>
        <v>557.86</v>
      </c>
      <c r="R22" s="242">
        <f>P22-Q22</f>
        <v>570.36166666666725</v>
      </c>
      <c r="AG22" s="247">
        <v>8208.1460500000012</v>
      </c>
      <c r="AH22" s="247">
        <v>7710.3090247452701</v>
      </c>
      <c r="AI22" s="247">
        <v>353.33239604699571</v>
      </c>
      <c r="AJ22" s="247">
        <f>SUM(AG22:AI22)</f>
        <v>16271.787470792266</v>
      </c>
      <c r="AK22" s="247">
        <f>AJ22-L22</f>
        <v>1394.7868712205509</v>
      </c>
      <c r="AL22" s="247">
        <f>AJ22-F22</f>
        <v>-191.32179570596963</v>
      </c>
      <c r="AN22" s="242">
        <v>8101.7370999999994</v>
      </c>
      <c r="AO22" s="243">
        <v>7625.3961790393014</v>
      </c>
      <c r="AP22" s="242">
        <f t="shared" si="4"/>
        <v>300.11777569980694</v>
      </c>
      <c r="AQ22" s="242">
        <f t="shared" si="5"/>
        <v>16027.251054739108</v>
      </c>
      <c r="AR22" s="223"/>
      <c r="AU22" s="242">
        <f t="shared" si="9"/>
        <v>234.8466885007274</v>
      </c>
      <c r="AV22" s="246">
        <f t="shared" si="1"/>
        <v>234.8466885007274</v>
      </c>
      <c r="AX22" s="243">
        <v>8160.3120224999993</v>
      </c>
      <c r="AY22" s="242">
        <v>7667.6859352256188</v>
      </c>
      <c r="AZ22" s="243">
        <f t="shared" si="10"/>
        <v>300.11777569980694</v>
      </c>
      <c r="BA22" s="242">
        <f t="shared" ref="BA22" si="23">SUM(AX22:AZ22)</f>
        <v>16128.115733425426</v>
      </c>
      <c r="BB22" s="223"/>
      <c r="BE22" s="242">
        <f t="shared" si="13"/>
        <v>16085.825977239108</v>
      </c>
      <c r="BG22" s="248">
        <v>7898.1574359534206</v>
      </c>
      <c r="BH22" s="242">
        <v>8323.9649296166663</v>
      </c>
      <c r="BI22" s="242">
        <f>AZ22</f>
        <v>300.11777569980694</v>
      </c>
      <c r="BK22" s="249">
        <f>SUM(BG22:BI22)</f>
        <v>16522.240141269893</v>
      </c>
      <c r="BL22" s="250">
        <f t="shared" si="14"/>
        <v>2.7130354676738109E-2</v>
      </c>
      <c r="BM22" s="242">
        <f>BK22-BE22</f>
        <v>436.41416403078438</v>
      </c>
      <c r="BN22" s="242">
        <v>320.74749736412014</v>
      </c>
      <c r="BO22" s="242">
        <f t="shared" si="15"/>
        <v>115.66666666666424</v>
      </c>
      <c r="BQ22" s="242">
        <v>75.853728286875011</v>
      </c>
      <c r="BR22" s="242">
        <v>72.310301282751098</v>
      </c>
      <c r="BS22" s="242">
        <f t="shared" si="16"/>
        <v>148.16402956962611</v>
      </c>
    </row>
    <row r="23" spans="1:71" x14ac:dyDescent="0.25">
      <c r="C23" s="242"/>
      <c r="D23" s="242"/>
      <c r="E23" s="242"/>
      <c r="F23" s="242"/>
      <c r="I23" s="242"/>
      <c r="J23" s="242"/>
      <c r="K23" s="242"/>
      <c r="L23" s="242"/>
      <c r="N23" s="242"/>
      <c r="P23" s="242"/>
      <c r="Q23" s="242"/>
      <c r="R23" s="242"/>
      <c r="AH23" s="247"/>
      <c r="AN23" s="223"/>
      <c r="AO23" s="237"/>
      <c r="AP23" s="223"/>
      <c r="AQ23" s="242"/>
      <c r="AR23" s="223"/>
      <c r="AU23" s="242"/>
      <c r="AV23" s="246">
        <f t="shared" si="1"/>
        <v>0</v>
      </c>
      <c r="AX23" s="243"/>
      <c r="AY23" s="223"/>
      <c r="AZ23" s="243"/>
      <c r="BA23" s="242"/>
      <c r="BB23" s="223"/>
      <c r="BE23" s="242"/>
      <c r="BK23" s="244"/>
      <c r="BL23" s="250"/>
      <c r="BO23" s="242"/>
      <c r="BQ23" s="242"/>
      <c r="BR23" s="242"/>
      <c r="BS23" s="242"/>
    </row>
    <row r="24" spans="1:71" x14ac:dyDescent="0.25">
      <c r="A24" s="222" t="s">
        <v>113</v>
      </c>
      <c r="B24" s="223" t="s">
        <v>131</v>
      </c>
      <c r="C24" s="242">
        <v>0</v>
      </c>
      <c r="D24" s="242">
        <v>23385.665611353714</v>
      </c>
      <c r="E24" s="242">
        <v>0</v>
      </c>
      <c r="F24" s="245">
        <f>SUM(C24:E24)</f>
        <v>23385.665611353714</v>
      </c>
      <c r="G24" s="222" t="s">
        <v>251</v>
      </c>
      <c r="I24" s="242">
        <v>0</v>
      </c>
      <c r="J24" s="242">
        <v>22512.750755794426</v>
      </c>
      <c r="K24" s="242">
        <v>0</v>
      </c>
      <c r="L24" s="245">
        <v>22512.750755794426</v>
      </c>
      <c r="N24" s="242">
        <f>D24+E24-J24-K24</f>
        <v>872.91485555928739</v>
      </c>
      <c r="P24" s="242">
        <f>C24-I24</f>
        <v>0</v>
      </c>
      <c r="Q24" s="242"/>
      <c r="R24" s="242"/>
      <c r="AH24" s="247">
        <v>23130.927074235809</v>
      </c>
      <c r="AK24" s="247">
        <f>AH24-J24</f>
        <v>618.17631844138305</v>
      </c>
      <c r="AL24" s="247">
        <f>AH24-D24</f>
        <v>-254.73853711790434</v>
      </c>
      <c r="AN24" s="223"/>
      <c r="AO24" s="243">
        <v>22876.188537117905</v>
      </c>
      <c r="AP24" s="223">
        <v>0</v>
      </c>
      <c r="AQ24" s="242">
        <f t="shared" si="5"/>
        <v>22876.188537117905</v>
      </c>
      <c r="AR24" s="223"/>
      <c r="AU24" s="242">
        <f>AO24-J24</f>
        <v>363.4377813234787</v>
      </c>
      <c r="AV24" s="246">
        <f t="shared" si="1"/>
        <v>363.4377813234787</v>
      </c>
      <c r="AX24" s="243"/>
      <c r="AY24" s="242"/>
      <c r="AZ24" s="243">
        <f t="shared" si="10"/>
        <v>0</v>
      </c>
      <c r="BA24" s="242">
        <f t="shared" ref="BA24" si="24">SUM(AX24:AZ24)</f>
        <v>0</v>
      </c>
      <c r="BB24" s="223"/>
      <c r="BE24" s="242">
        <f t="shared" si="13"/>
        <v>22876.188537117905</v>
      </c>
      <c r="BG24" s="248">
        <v>23694.472307860262</v>
      </c>
      <c r="BH24" s="242">
        <v>0</v>
      </c>
      <c r="BI24" s="242">
        <f>AZ24</f>
        <v>0</v>
      </c>
      <c r="BK24" s="249">
        <f>SUM(BG24:BI24)</f>
        <v>23694.472307860262</v>
      </c>
      <c r="BL24" s="250">
        <f t="shared" si="14"/>
        <v>3.57701095798649E-2</v>
      </c>
      <c r="BM24" s="242">
        <f>BK24-BE24</f>
        <v>818.28377074235686</v>
      </c>
      <c r="BN24" s="242">
        <v>471.28377074235686</v>
      </c>
      <c r="BO24" s="242">
        <f t="shared" si="15"/>
        <v>347</v>
      </c>
      <c r="BQ24" s="242">
        <v>0</v>
      </c>
      <c r="BR24" s="242">
        <v>216.93090384825328</v>
      </c>
      <c r="BS24" s="242">
        <f t="shared" si="16"/>
        <v>216.93090384825328</v>
      </c>
    </row>
    <row r="25" spans="1:71" x14ac:dyDescent="0.25">
      <c r="K25" s="222"/>
      <c r="L25" s="222"/>
      <c r="AF25" s="222" t="s">
        <v>291</v>
      </c>
      <c r="AH25" s="247">
        <v>22749.319268558953</v>
      </c>
      <c r="AK25" s="247">
        <f>AH25-J24</f>
        <v>236.56851276452653</v>
      </c>
      <c r="AL25" s="247">
        <f>AH25-D24</f>
        <v>-636.34634279476086</v>
      </c>
      <c r="AO25" s="243"/>
      <c r="AX25" s="243"/>
      <c r="AY25" s="242"/>
      <c r="AZ25" s="243"/>
      <c r="BE25" s="223"/>
      <c r="BG25" s="248"/>
      <c r="BH25" s="242"/>
      <c r="BI25" s="242"/>
      <c r="BK25" s="249"/>
      <c r="BL25" s="250"/>
      <c r="BM25" s="242"/>
      <c r="BO25" s="242"/>
      <c r="BQ25" s="242"/>
      <c r="BR25" s="242"/>
      <c r="BS25" s="242"/>
    </row>
    <row r="26" spans="1:71" x14ac:dyDescent="0.25">
      <c r="A26" s="222" t="s">
        <v>292</v>
      </c>
      <c r="B26" s="223" t="s">
        <v>253</v>
      </c>
      <c r="G26" s="222" t="s">
        <v>254</v>
      </c>
      <c r="I26" s="242">
        <v>5046.875</v>
      </c>
      <c r="J26" s="242">
        <v>5542.9121179039303</v>
      </c>
      <c r="K26" s="242">
        <v>300.11777569980694</v>
      </c>
      <c r="L26" s="242">
        <v>10889.904893603738</v>
      </c>
      <c r="AO26" s="243">
        <v>5719.0471342794763</v>
      </c>
      <c r="AX26" s="243">
        <v>5730.1090168749997</v>
      </c>
      <c r="AY26" s="242"/>
      <c r="AZ26" s="243">
        <f t="shared" si="10"/>
        <v>300.11777569980694</v>
      </c>
      <c r="BE26" s="242">
        <f>AX26+AO26+AZ26</f>
        <v>11749.273926854283</v>
      </c>
      <c r="BG26" s="248">
        <v>5923.6180769650655</v>
      </c>
      <c r="BH26" s="242">
        <v>5845.0486972125</v>
      </c>
      <c r="BI26" s="242">
        <f t="shared" ref="BI26" si="25">AZ26</f>
        <v>300.11777569980694</v>
      </c>
      <c r="BK26" s="245">
        <f>ROUND((SUM(BG26:BI26)*1.03),1)</f>
        <v>12430.8</v>
      </c>
      <c r="BL26" s="250">
        <f t="shared" si="14"/>
        <v>5.800580337036932E-2</v>
      </c>
      <c r="BM26" s="242">
        <f>BK26-BE26</f>
        <v>681.52607314571651</v>
      </c>
      <c r="BN26" s="242">
        <v>232.76062302309037</v>
      </c>
      <c r="BO26" s="242">
        <f t="shared" si="15"/>
        <v>448.76545012262613</v>
      </c>
      <c r="BQ26" s="242">
        <v>53.272483715156255</v>
      </c>
      <c r="BR26" s="242">
        <v>54.23272596206332</v>
      </c>
      <c r="BS26" s="242">
        <f t="shared" ref="BS26" si="26">SUM(BQ26:BR26)</f>
        <v>107.50520967721957</v>
      </c>
    </row>
    <row r="27" spans="1:71" x14ac:dyDescent="0.25">
      <c r="K27" s="222"/>
      <c r="L27" s="222"/>
      <c r="AX27" s="242"/>
      <c r="BE27" s="223"/>
      <c r="BK27" s="244"/>
      <c r="BL27" s="250"/>
      <c r="BO27" s="242"/>
      <c r="BQ27" s="242"/>
      <c r="BR27" s="242"/>
      <c r="BS27" s="242"/>
    </row>
    <row r="28" spans="1:71" x14ac:dyDescent="0.25">
      <c r="A28" s="222" t="s">
        <v>125</v>
      </c>
      <c r="G28" s="222" t="s">
        <v>127</v>
      </c>
      <c r="K28" s="242">
        <v>300.11777569980694</v>
      </c>
      <c r="AO28" s="243">
        <v>8273.8097577603712</v>
      </c>
      <c r="AX28" s="243">
        <v>6120.2340168749997</v>
      </c>
      <c r="AZ28" s="243">
        <f t="shared" si="10"/>
        <v>300.11777569980694</v>
      </c>
      <c r="BE28" s="242">
        <f>AX28+AO28+AZ28</f>
        <v>14694.161550335179</v>
      </c>
      <c r="BG28" s="248">
        <v>8569.7648394384141</v>
      </c>
      <c r="BH28" s="242">
        <v>6242.9736972125002</v>
      </c>
      <c r="BI28" s="242">
        <f>AZ28</f>
        <v>300.11777569980694</v>
      </c>
      <c r="BK28" s="249">
        <f>SUM(BG28:BI28)</f>
        <v>15112.856312350723</v>
      </c>
      <c r="BL28" s="250">
        <f t="shared" si="14"/>
        <v>2.8493953913688509E-2</v>
      </c>
      <c r="BM28" s="242">
        <f>BK28-BE28</f>
        <v>418.69476201554426</v>
      </c>
      <c r="BN28" s="242">
        <v>293.1925621501905</v>
      </c>
      <c r="BO28" s="242">
        <f t="shared" si="15"/>
        <v>125.50219986535376</v>
      </c>
      <c r="BQ28" s="242">
        <v>56.890296215156255</v>
      </c>
      <c r="BR28" s="242">
        <v>78.459094097218937</v>
      </c>
      <c r="BS28" s="242">
        <f t="shared" si="16"/>
        <v>135.34939031237519</v>
      </c>
    </row>
    <row r="29" spans="1:71" x14ac:dyDescent="0.25">
      <c r="C29" s="242"/>
      <c r="D29" s="242"/>
      <c r="E29" s="242"/>
      <c r="F29" s="242"/>
      <c r="BE29" s="242"/>
      <c r="BH29" s="242"/>
      <c r="BI29" s="242"/>
      <c r="BK29" s="249"/>
      <c r="BL29" s="250"/>
      <c r="BM29" s="242"/>
      <c r="BO29" s="242"/>
      <c r="BQ29" s="242"/>
      <c r="BR29" s="242"/>
      <c r="BS29" s="242"/>
    </row>
    <row r="30" spans="1:71" x14ac:dyDescent="0.25">
      <c r="A30" s="222" t="s">
        <v>4</v>
      </c>
      <c r="C30" s="242"/>
      <c r="D30" s="242"/>
      <c r="E30" s="242"/>
      <c r="F30" s="242"/>
      <c r="G30" s="219" t="s">
        <v>256</v>
      </c>
      <c r="H30" s="219"/>
      <c r="I30" s="220">
        <v>5389.75</v>
      </c>
      <c r="J30" s="220">
        <v>2771.4560589519651</v>
      </c>
      <c r="K30" s="220">
        <v>300</v>
      </c>
      <c r="L30" s="220">
        <f>SUM(I30:K30)</f>
        <v>8461.2060589519642</v>
      </c>
      <c r="M30" s="220"/>
      <c r="N30" s="220"/>
      <c r="P30" s="222"/>
      <c r="AO30" s="243">
        <v>2859.5235671397381</v>
      </c>
      <c r="AX30" s="243">
        <v>6120.2340168749997</v>
      </c>
      <c r="AZ30" s="221">
        <v>300.11777569980694</v>
      </c>
      <c r="BA30" s="220"/>
      <c r="BB30" s="220"/>
      <c r="BC30" s="220"/>
      <c r="BD30" s="220"/>
      <c r="BE30" s="242">
        <f t="shared" ref="BE30" si="27">AX30+AO30+AZ30</f>
        <v>9279.875359714546</v>
      </c>
      <c r="BF30" s="219"/>
      <c r="BG30" s="248">
        <v>2961.8090384825327</v>
      </c>
      <c r="BH30" s="242">
        <v>6242.9736972125002</v>
      </c>
      <c r="BI30" s="242">
        <f t="shared" ref="BI30" si="28">AZ30</f>
        <v>300.11777569980694</v>
      </c>
      <c r="BK30" s="245">
        <f>SUM(BG30:BI30)*1.03</f>
        <v>9790.0475267366855</v>
      </c>
      <c r="BL30" s="250">
        <f t="shared" si="14"/>
        <v>5.4976187421318205E-2</v>
      </c>
      <c r="BM30" s="242">
        <f t="shared" ref="BM30" si="29">BK30-BE30</f>
        <v>510.17216702213955</v>
      </c>
      <c r="BN30" s="242">
        <v>181.65015168029458</v>
      </c>
      <c r="BO30" s="242">
        <f t="shared" si="15"/>
        <v>328.52201534184496</v>
      </c>
      <c r="BQ30" s="242">
        <v>56.890296215156255</v>
      </c>
      <c r="BR30" s="242">
        <v>27.11636298103166</v>
      </c>
      <c r="BS30" s="242">
        <f t="shared" si="16"/>
        <v>84.006659196187911</v>
      </c>
    </row>
    <row r="31" spans="1:71" x14ac:dyDescent="0.25">
      <c r="Q31" s="252"/>
    </row>
    <row r="32" spans="1:71" x14ac:dyDescent="0.25">
      <c r="Q32" s="252"/>
      <c r="AO32" s="253">
        <f>BE17+BE20-AX28-AZ28</f>
        <v>8273.8097577603712</v>
      </c>
      <c r="AP32" s="254" t="s">
        <v>293</v>
      </c>
    </row>
    <row r="33" spans="3:64" x14ac:dyDescent="0.25">
      <c r="C33" s="242"/>
      <c r="D33" s="242"/>
      <c r="E33" s="242"/>
      <c r="F33" s="242"/>
      <c r="AO33" s="255"/>
      <c r="AP33" s="255"/>
      <c r="BL33" s="256">
        <f>AVERAGE(BL5:BL30)</f>
        <v>3.4397455635339219E-2</v>
      </c>
    </row>
    <row r="34" spans="3:64" x14ac:dyDescent="0.25">
      <c r="I34" s="222"/>
      <c r="J34" s="222"/>
      <c r="K34" s="222"/>
      <c r="L34" s="222"/>
      <c r="AO34" s="257">
        <f>AO32*8</f>
        <v>66190.47806208297</v>
      </c>
      <c r="AP34" s="255" t="s">
        <v>294</v>
      </c>
      <c r="BI34" s="355">
        <f>SUM(BG26:BI26)</f>
        <v>12068.784549877373</v>
      </c>
    </row>
    <row r="35" spans="3:64" x14ac:dyDescent="0.25">
      <c r="C35" s="242"/>
      <c r="D35" s="242"/>
      <c r="E35" s="242"/>
      <c r="F35" s="242"/>
      <c r="I35" s="222"/>
      <c r="J35" s="222"/>
      <c r="K35" s="222"/>
      <c r="L35" s="222"/>
      <c r="AO35" s="258">
        <v>22876.188537117905</v>
      </c>
      <c r="AP35" s="255" t="s">
        <v>295</v>
      </c>
      <c r="BI35" s="223">
        <f>BI34*1.03</f>
        <v>12430.848086373695</v>
      </c>
    </row>
    <row r="36" spans="3:64" x14ac:dyDescent="0.25">
      <c r="I36" s="222"/>
      <c r="J36" s="222"/>
      <c r="K36" s="222"/>
      <c r="L36" s="222"/>
      <c r="AO36" s="259">
        <f>AO34/AO35</f>
        <v>2.8934224752818936</v>
      </c>
      <c r="AP36" s="259" t="s">
        <v>296</v>
      </c>
    </row>
    <row r="37" spans="3:64" x14ac:dyDescent="0.25">
      <c r="C37" s="242"/>
      <c r="D37" s="242"/>
      <c r="E37" s="242"/>
      <c r="F37" s="242"/>
      <c r="I37" s="222"/>
      <c r="J37" s="222"/>
      <c r="K37" s="222"/>
      <c r="L37" s="222"/>
    </row>
    <row r="38" spans="3:64" x14ac:dyDescent="0.25">
      <c r="I38" s="222"/>
      <c r="J38" s="222"/>
      <c r="K38" s="222"/>
      <c r="L38" s="222"/>
    </row>
    <row r="39" spans="3:64" x14ac:dyDescent="0.25">
      <c r="C39" s="242"/>
      <c r="D39" s="242"/>
      <c r="E39" s="242"/>
      <c r="F39" s="242"/>
      <c r="I39" s="222"/>
      <c r="J39" s="222"/>
      <c r="K39" s="222"/>
      <c r="L39" s="222"/>
    </row>
    <row r="40" spans="3:64" x14ac:dyDescent="0.25">
      <c r="I40" s="222"/>
      <c r="J40" s="222"/>
      <c r="K40" s="222"/>
      <c r="L40" s="222"/>
    </row>
    <row r="41" spans="3:64" x14ac:dyDescent="0.25">
      <c r="C41" s="242"/>
      <c r="D41" s="242"/>
      <c r="E41" s="242"/>
      <c r="F41" s="242"/>
      <c r="I41" s="222"/>
      <c r="J41" s="222"/>
      <c r="K41" s="222"/>
      <c r="L41" s="222"/>
    </row>
    <row r="42" spans="3:64" x14ac:dyDescent="0.25">
      <c r="I42" s="222"/>
      <c r="J42" s="222"/>
      <c r="K42" s="222"/>
      <c r="L42" s="222"/>
    </row>
    <row r="43" spans="3:64" ht="14" x14ac:dyDescent="0.3">
      <c r="C43" s="242"/>
      <c r="D43" s="242"/>
      <c r="E43" s="242"/>
      <c r="F43" s="242"/>
      <c r="I43" s="222"/>
      <c r="J43" s="222"/>
      <c r="K43" s="222"/>
      <c r="L43" s="222"/>
      <c r="BB43" s="13">
        <f>41002</f>
        <v>41002</v>
      </c>
    </row>
    <row r="44" spans="3:64" ht="14" x14ac:dyDescent="0.3">
      <c r="BB44" s="13">
        <v>54669</v>
      </c>
    </row>
    <row r="45" spans="3:64" ht="14" x14ac:dyDescent="0.3">
      <c r="BB45" s="271">
        <f>(BB44-BB43)/2</f>
        <v>6833.5</v>
      </c>
    </row>
    <row r="46" spans="3:64" ht="14" x14ac:dyDescent="0.3">
      <c r="BB46" s="271">
        <f>BB43+BB45</f>
        <v>47835.5</v>
      </c>
    </row>
    <row r="47" spans="3:64" ht="14" x14ac:dyDescent="0.3">
      <c r="BB47" s="10">
        <v>27335</v>
      </c>
    </row>
    <row r="48" spans="3:64" ht="14" x14ac:dyDescent="0.3">
      <c r="BB48" s="271">
        <f>BB46-BB47</f>
        <v>20500.5</v>
      </c>
    </row>
  </sheetData>
  <mergeCells count="2">
    <mergeCell ref="N1:N3"/>
    <mergeCell ref="BQ2:BS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9362BF6053446B9BDD52D50F95214" ma:contentTypeVersion="6" ma:contentTypeDescription="Create a new document." ma:contentTypeScope="" ma:versionID="8ddc70a9d24e16cfc1cc8c00d6807109">
  <xsd:schema xmlns:xsd="http://www.w3.org/2001/XMLSchema" xmlns:xs="http://www.w3.org/2001/XMLSchema" xmlns:p="http://schemas.microsoft.com/office/2006/metadata/properties" xmlns:ns2="47ecd482-cba3-4a15-8a36-0d066dd3291d" xmlns:ns3="8dc9effd-76e4-4e94-b9b6-2836c4bb60de" targetNamespace="http://schemas.microsoft.com/office/2006/metadata/properties" ma:root="true" ma:fieldsID="c85dff6cfe7dea139d80d0d574247389" ns2:_="" ns3:_="">
    <xsd:import namespace="47ecd482-cba3-4a15-8a36-0d066dd3291d"/>
    <xsd:import namespace="8dc9effd-76e4-4e94-b9b6-2836c4bb60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cd482-cba3-4a15-8a36-0d066dd32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03F9B-E455-4283-B000-79BE8004F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cd482-cba3-4a15-8a36-0d066dd3291d"/>
    <ds:schemaRef ds:uri="8dc9effd-76e4-4e94-b9b6-2836c4bb6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7843B-A8F8-455B-BAA2-2BDF460F2F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D3A2E9D-6781-4330-A09D-B398E0E5DE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Pilgrim Formula - 2021</vt:lpstr>
      <vt:lpstr>Pilgrim Formula - 202324</vt:lpstr>
      <vt:lpstr>Special Funding Summary</vt:lpstr>
      <vt:lpstr>ASD Unit</vt:lpstr>
      <vt:lpstr>TEACHING ASSISTANT 2023-24</vt:lpstr>
      <vt:lpstr>2122 Band Values</vt:lpstr>
      <vt:lpstr>2324 Band Values (2)</vt:lpstr>
      <vt:lpstr>'Special Funding Summary'!Print_Area</vt:lpstr>
      <vt:lpstr>'TEACHING ASSISTANT 2023-24'!Print_Area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Popplewell</dc:creator>
  <cp:keywords/>
  <dc:description/>
  <cp:lastModifiedBy>David Leonard</cp:lastModifiedBy>
  <cp:revision/>
  <cp:lastPrinted>2023-02-28T11:39:37Z</cp:lastPrinted>
  <dcterms:created xsi:type="dcterms:W3CDTF">2021-02-23T18:18:07Z</dcterms:created>
  <dcterms:modified xsi:type="dcterms:W3CDTF">2023-02-28T15:23:43Z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0x0101006A39362BF6053446B9BDD52D50F95214</vt:lpwstr>
  </property>
</Properties>
</file>