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lincolnshirecc.sharepoint.com/sites/FinancialServices/Childrens/Children's Education/Head of Service for Inclusion (Kate Capel)/Pilgrim School/"/>
    </mc:Choice>
  </mc:AlternateContent>
  <xr:revisionPtr revIDLastSave="276" documentId="8_{AFE5919C-C47B-4E24-8FA4-6E4B87C97F80}" xr6:coauthVersionLast="47" xr6:coauthVersionMax="47" xr10:uidLastSave="{288D0BC2-8993-4330-8E96-34CABA379014}"/>
  <workbookProtection workbookAlgorithmName="SHA-512" workbookHashValue="x7Do9SUcwEhIm6i14r9cZYSyvxyZtPI1rBY2ErUeL1X3lWeb17Cd1LPMcMKd50UMYxz4+h+kGKImFr6AaeQ06A==" workbookSaltValue="HEkCP9zfDZ0clUejLpCGNw==" workbookSpinCount="100000" lockStructure="1"/>
  <bookViews>
    <workbookView xWindow="-28920" yWindow="-1740" windowWidth="29040" windowHeight="17640" tabRatio="922" xr2:uid="{00000000-000D-0000-FFFF-FFFF00000000}"/>
  </bookViews>
  <sheets>
    <sheet name="Pilgrim Formula - 202425" sheetId="10" r:id="rId1"/>
    <sheet name="Home Tution Fixed Cost" sheetId="19" state="hidden" r:id="rId2"/>
    <sheet name="2425 GLEA " sheetId="21" state="hidden" r:id="rId3"/>
    <sheet name="2425 Teacher Pay Scales" sheetId="20" state="hidden" r:id="rId4"/>
    <sheet name="Pilgrim Formula - 202324" sheetId="18" state="hidden" r:id="rId5"/>
    <sheet name="Pilgrim Formula - 2021" sheetId="11" state="hidden" r:id="rId6"/>
    <sheet name="2425 Band Values" sheetId="16" state="hidden" r:id="rId7"/>
    <sheet name="Special Funding Summary" sheetId="2" state="hidden" r:id="rId8"/>
    <sheet name="ASD Unit" sheetId="15" state="hidden" r:id="rId9"/>
    <sheet name="TEACHING ASSISTANT 2023-24" sheetId="4" state="hidden" r:id="rId10"/>
    <sheet name="2425 TA Pay Scales" sheetId="17" state="hidden" r:id="rId11"/>
    <sheet name="2122 Band Values" sheetId="5" state="hidden" r:id="rId12"/>
    <sheet name="2324 Band Values (2)" sheetId="1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[1]Detailed_Output!$A$4:$U$230</definedName>
    <definedName name="AAHel" localSheetId="11">#REF!</definedName>
    <definedName name="AAHel" localSheetId="12">#REF!</definedName>
    <definedName name="AAHel" localSheetId="5">#REF!</definedName>
    <definedName name="AAHel" localSheetId="0">#REF!</definedName>
    <definedName name="AAHel" localSheetId="7">#REF!</definedName>
    <definedName name="AAHel" localSheetId="9">#REF!</definedName>
    <definedName name="AAHel">#REF!</definedName>
    <definedName name="ABSG" localSheetId="11">#REF!</definedName>
    <definedName name="ABSG" localSheetId="12">#REF!</definedName>
    <definedName name="ABSG" localSheetId="5">#REF!</definedName>
    <definedName name="ABSG" localSheetId="0">#REF!</definedName>
    <definedName name="ABSG" localSheetId="7">#REF!</definedName>
    <definedName name="ABSG" localSheetId="9">#REF!</definedName>
    <definedName name="ABSG">#REF!</definedName>
    <definedName name="Acad_months">[2]Academies!$B$29:$B$40</definedName>
    <definedName name="AST" localSheetId="11">#REF!</definedName>
    <definedName name="AST" localSheetId="12">#REF!</definedName>
    <definedName name="AST" localSheetId="5">#REF!</definedName>
    <definedName name="AST" localSheetId="0">#REF!</definedName>
    <definedName name="AST" localSheetId="7">#REF!</definedName>
    <definedName name="AST" localSheetId="9">#REF!</definedName>
    <definedName name="AST">#REF!</definedName>
    <definedName name="BasketNo" localSheetId="11">#REF!</definedName>
    <definedName name="BasketNo" localSheetId="12">#REF!</definedName>
    <definedName name="BasketNo" localSheetId="5">#REF!</definedName>
    <definedName name="BasketNo" localSheetId="0">#REF!</definedName>
    <definedName name="BasketNo" localSheetId="7">#REF!</definedName>
    <definedName name="BasketNo" localSheetId="9">#REF!</definedName>
    <definedName name="BasketNo">#REF!</definedName>
    <definedName name="BasketUoF_UnAdj" localSheetId="11">#REF!</definedName>
    <definedName name="BasketUoF_UnAdj" localSheetId="12">#REF!</definedName>
    <definedName name="BasketUoF_UnAdj" localSheetId="5">#REF!</definedName>
    <definedName name="BasketUoF_UnAdj" localSheetId="0">#REF!</definedName>
    <definedName name="BasketUoF_UnAdj" localSheetId="7">#REF!</definedName>
    <definedName name="BasketUoF_UnAdj" localSheetId="9">#REF!</definedName>
    <definedName name="BasketUoF_UnAdj">#REF!</definedName>
    <definedName name="DATA1" localSheetId="11">#REF!</definedName>
    <definedName name="DATA1" localSheetId="12">#REF!</definedName>
    <definedName name="DATA1" localSheetId="5">#REF!</definedName>
    <definedName name="DATA1" localSheetId="0">#REF!</definedName>
    <definedName name="DATA1" localSheetId="7">#REF!</definedName>
    <definedName name="DATA1" localSheetId="9">#REF!</definedName>
    <definedName name="DATA1">#REF!</definedName>
    <definedName name="DATA10" localSheetId="11">#REF!</definedName>
    <definedName name="DATA10" localSheetId="12">#REF!</definedName>
    <definedName name="DATA10" localSheetId="5">#REF!</definedName>
    <definedName name="DATA10" localSheetId="0">#REF!</definedName>
    <definedName name="DATA10" localSheetId="7">#REF!</definedName>
    <definedName name="DATA10" localSheetId="9">#REF!</definedName>
    <definedName name="DATA10">#REF!</definedName>
    <definedName name="DATA11" localSheetId="11">#REF!</definedName>
    <definedName name="DATA11" localSheetId="12">#REF!</definedName>
    <definedName name="DATA11" localSheetId="5">#REF!</definedName>
    <definedName name="DATA11" localSheetId="0">#REF!</definedName>
    <definedName name="DATA11" localSheetId="7">#REF!</definedName>
    <definedName name="DATA11" localSheetId="9">#REF!</definedName>
    <definedName name="DATA11">#REF!</definedName>
    <definedName name="DATA12" localSheetId="11">#REF!</definedName>
    <definedName name="DATA12" localSheetId="12">#REF!</definedName>
    <definedName name="DATA12" localSheetId="5">#REF!</definedName>
    <definedName name="DATA12" localSheetId="0">#REF!</definedName>
    <definedName name="DATA12" localSheetId="7">#REF!</definedName>
    <definedName name="DATA12" localSheetId="9">#REF!</definedName>
    <definedName name="DATA12">#REF!</definedName>
    <definedName name="DATA13" localSheetId="11">#REF!</definedName>
    <definedName name="DATA13" localSheetId="12">#REF!</definedName>
    <definedName name="DATA13" localSheetId="5">#REF!</definedName>
    <definedName name="DATA13" localSheetId="0">#REF!</definedName>
    <definedName name="DATA13" localSheetId="7">#REF!</definedName>
    <definedName name="DATA13" localSheetId="9">#REF!</definedName>
    <definedName name="DATA13">#REF!</definedName>
    <definedName name="DATA14" localSheetId="11">'[3]Staffing Est.'!#REF!</definedName>
    <definedName name="DATA14" localSheetId="5">'[3]Staffing Est.'!#REF!</definedName>
    <definedName name="DATA14" localSheetId="0">'[3]Staffing Est.'!#REF!</definedName>
    <definedName name="DATA14" localSheetId="7">'[3]Staffing Est.'!#REF!</definedName>
    <definedName name="DATA14" localSheetId="9">'[3]Staffing Est.'!#REF!</definedName>
    <definedName name="DATA14">'[3]Staffing Est.'!#REF!</definedName>
    <definedName name="DATA2" localSheetId="11">#REF!</definedName>
    <definedName name="DATA2" localSheetId="12">#REF!</definedName>
    <definedName name="DATA2" localSheetId="5">#REF!</definedName>
    <definedName name="DATA2" localSheetId="0">#REF!</definedName>
    <definedName name="DATA2" localSheetId="7">#REF!</definedName>
    <definedName name="DATA2" localSheetId="9">#REF!</definedName>
    <definedName name="DATA2">#REF!</definedName>
    <definedName name="DATA3" localSheetId="11">#REF!</definedName>
    <definedName name="DATA3" localSheetId="12">#REF!</definedName>
    <definedName name="DATA3" localSheetId="5">#REF!</definedName>
    <definedName name="DATA3" localSheetId="0">#REF!</definedName>
    <definedName name="DATA3" localSheetId="7">#REF!</definedName>
    <definedName name="DATA3" localSheetId="9">#REF!</definedName>
    <definedName name="DATA3">#REF!</definedName>
    <definedName name="DATA4" localSheetId="11">#REF!</definedName>
    <definedName name="DATA4" localSheetId="12">#REF!</definedName>
    <definedName name="DATA4" localSheetId="5">#REF!</definedName>
    <definedName name="DATA4" localSheetId="0">#REF!</definedName>
    <definedName name="DATA4" localSheetId="7">#REF!</definedName>
    <definedName name="DATA4" localSheetId="9">#REF!</definedName>
    <definedName name="DATA4">#REF!</definedName>
    <definedName name="DATA5" localSheetId="11">#REF!</definedName>
    <definedName name="DATA5" localSheetId="12">#REF!</definedName>
    <definedName name="DATA5" localSheetId="5">#REF!</definedName>
    <definedName name="DATA5" localSheetId="0">#REF!</definedName>
    <definedName name="DATA5" localSheetId="7">#REF!</definedName>
    <definedName name="DATA5" localSheetId="9">#REF!</definedName>
    <definedName name="DATA5">#REF!</definedName>
    <definedName name="DATA6" localSheetId="11">#REF!</definedName>
    <definedName name="DATA6" localSheetId="12">#REF!</definedName>
    <definedName name="DATA6" localSheetId="5">#REF!</definedName>
    <definedName name="DATA6" localSheetId="0">#REF!</definedName>
    <definedName name="DATA6" localSheetId="7">#REF!</definedName>
    <definedName name="DATA6" localSheetId="9">#REF!</definedName>
    <definedName name="DATA6">#REF!</definedName>
    <definedName name="DATA7" localSheetId="11">#REF!</definedName>
    <definedName name="DATA7" localSheetId="12">#REF!</definedName>
    <definedName name="DATA7" localSheetId="5">#REF!</definedName>
    <definedName name="DATA7" localSheetId="0">#REF!</definedName>
    <definedName name="DATA7" localSheetId="7">#REF!</definedName>
    <definedName name="DATA7" localSheetId="9">#REF!</definedName>
    <definedName name="DATA7">#REF!</definedName>
    <definedName name="DATA8" localSheetId="11">#REF!</definedName>
    <definedName name="DATA8" localSheetId="12">#REF!</definedName>
    <definedName name="DATA8" localSheetId="5">#REF!</definedName>
    <definedName name="DATA8" localSheetId="0">#REF!</definedName>
    <definedName name="DATA8" localSheetId="7">#REF!</definedName>
    <definedName name="DATA8" localSheetId="9">#REF!</definedName>
    <definedName name="DATA8">#REF!</definedName>
    <definedName name="DATA9" localSheetId="11">#REF!</definedName>
    <definedName name="DATA9" localSheetId="12">#REF!</definedName>
    <definedName name="DATA9" localSheetId="5">#REF!</definedName>
    <definedName name="DATA9" localSheetId="0">#REF!</definedName>
    <definedName name="DATA9" localSheetId="7">#REF!</definedName>
    <definedName name="DATA9" localSheetId="9">#REF!</definedName>
    <definedName name="DATA9">#REF!</definedName>
    <definedName name="DDLIST" localSheetId="11">#REF!</definedName>
    <definedName name="DDLIST" localSheetId="12">#REF!</definedName>
    <definedName name="DDLIST" localSheetId="5">#REF!</definedName>
    <definedName name="DDLIST" localSheetId="0">#REF!</definedName>
    <definedName name="DDLIST" localSheetId="7">#REF!</definedName>
    <definedName name="DDLIST" localSheetId="9">#REF!</definedName>
    <definedName name="DDLIST">#REF!</definedName>
    <definedName name="FSM_uc" localSheetId="11">#REF!</definedName>
    <definedName name="FSM_uc" localSheetId="12">#REF!</definedName>
    <definedName name="FSM_uc" localSheetId="5">#REF!</definedName>
    <definedName name="FSM_uc" localSheetId="0">#REF!</definedName>
    <definedName name="FSM_uc" localSheetId="7">#REF!</definedName>
    <definedName name="FSM_uc" localSheetId="9">#REF!</definedName>
    <definedName name="FSM_uc">#REF!</definedName>
    <definedName name="FSM_UC_FUTURE" localSheetId="11">#REF!</definedName>
    <definedName name="FSM_UC_FUTURE" localSheetId="12">#REF!</definedName>
    <definedName name="FSM_UC_FUTURE" localSheetId="5">#REF!</definedName>
    <definedName name="FSM_UC_FUTURE" localSheetId="0">#REF!</definedName>
    <definedName name="FSM_UC_FUTURE" localSheetId="7">#REF!</definedName>
    <definedName name="FSM_UC_FUTURE" localSheetId="9">#REF!</definedName>
    <definedName name="FSM_UC_FUTURE">#REF!</definedName>
    <definedName name="FTEall">[4]FTEall!$B$11:$S$160</definedName>
    <definedName name="gg" localSheetId="11">[5]Section52!#REF!</definedName>
    <definedName name="gg" localSheetId="5">[5]Section52!#REF!</definedName>
    <definedName name="gg" localSheetId="0">[5]Section52!#REF!</definedName>
    <definedName name="gg" localSheetId="7">[5]Section52!#REF!</definedName>
    <definedName name="gg" localSheetId="9">[5]Section52!#REF!</definedName>
    <definedName name="gg">[5]Section52!#REF!</definedName>
    <definedName name="Gross_S52" localSheetId="11">#REF!</definedName>
    <definedName name="Gross_S52" localSheetId="12">#REF!</definedName>
    <definedName name="Gross_S52" localSheetId="5">#REF!</definedName>
    <definedName name="Gross_S52" localSheetId="0">#REF!</definedName>
    <definedName name="Gross_S52" localSheetId="7">#REF!</definedName>
    <definedName name="Gross_S52" localSheetId="9">#REF!</definedName>
    <definedName name="Gross_S52">#REF!</definedName>
    <definedName name="Indicator">[6]CodeSet!$A$1:$A$2</definedName>
    <definedName name="Indicator2">[6]CodeSet!$A$4:$A$6</definedName>
    <definedName name="LA_Choice">[7]Instructions!$E$20</definedName>
    <definedName name="LEA_Choice">[8]Instructions!$D$6</definedName>
    <definedName name="LEAcount" localSheetId="11">#REF!</definedName>
    <definedName name="LEAcount" localSheetId="12">#REF!</definedName>
    <definedName name="LEAcount" localSheetId="5">#REF!</definedName>
    <definedName name="LEAcount" localSheetId="0">#REF!</definedName>
    <definedName name="LEAcount" localSheetId="7">#REF!</definedName>
    <definedName name="LEAcount" localSheetId="9">#REF!</definedName>
    <definedName name="LEAcount">#REF!</definedName>
    <definedName name="LIG">[9]LIG!$A$5:$J$154</definedName>
    <definedName name="ListLAs">'[10]LACSEG All LAs'!$A$4:$A$153</definedName>
    <definedName name="Meals" localSheetId="11">#REF!</definedName>
    <definedName name="Meals" localSheetId="12">#REF!</definedName>
    <definedName name="Meals" localSheetId="5">#REF!</definedName>
    <definedName name="Meals" localSheetId="0">#REF!</definedName>
    <definedName name="Meals" localSheetId="7">#REF!</definedName>
    <definedName name="Meals" localSheetId="9">#REF!</definedName>
    <definedName name="Meals">#REF!</definedName>
    <definedName name="MealsHel" localSheetId="11">#REF!</definedName>
    <definedName name="MealsHel" localSheetId="12">#REF!</definedName>
    <definedName name="MealsHel" localSheetId="5">#REF!</definedName>
    <definedName name="MealsHel" localSheetId="0">#REF!</definedName>
    <definedName name="MealsHel" localSheetId="7">#REF!</definedName>
    <definedName name="MealsHel" localSheetId="9">#REF!</definedName>
    <definedName name="MealsHel">#REF!</definedName>
    <definedName name="Mealsold" localSheetId="11">[5]Section52!#REF!</definedName>
    <definedName name="Mealsold" localSheetId="5">[5]Section52!#REF!</definedName>
    <definedName name="Mealsold" localSheetId="0">[5]Section52!#REF!</definedName>
    <definedName name="Mealsold" localSheetId="7">[5]Section52!#REF!</definedName>
    <definedName name="Mealsold" localSheetId="9">[5]Section52!#REF!</definedName>
    <definedName name="Mealsold">[5]Section52!#REF!</definedName>
    <definedName name="Names_Lookup">'[7]Background data'!$A$6:$Q$155</definedName>
    <definedName name="OptionsHel" localSheetId="11">#REF!</definedName>
    <definedName name="OptionsHel" localSheetId="12">#REF!</definedName>
    <definedName name="OptionsHel" localSheetId="5">#REF!</definedName>
    <definedName name="OptionsHel" localSheetId="0">#REF!</definedName>
    <definedName name="OptionsHel" localSheetId="7">#REF!</definedName>
    <definedName name="OptionsHel" localSheetId="9">#REF!</definedName>
    <definedName name="OptionsHel">#REF!</definedName>
    <definedName name="p" localSheetId="11">#REF!</definedName>
    <definedName name="p" localSheetId="12">#REF!</definedName>
    <definedName name="p" localSheetId="5">#REF!</definedName>
    <definedName name="p" localSheetId="0">#REF!</definedName>
    <definedName name="p" localSheetId="7">#REF!</definedName>
    <definedName name="p" localSheetId="9">#REF!</definedName>
    <definedName name="p">#REF!</definedName>
    <definedName name="Phase_split">[9]all_asc!$A$12:$V$179</definedName>
    <definedName name="_xlnm.Print_Area" localSheetId="7">'Special Funding Summary'!$A$1:$H$125</definedName>
    <definedName name="_xlnm.Print_Area" localSheetId="9">'TEACHING ASSISTANT 2023-24'!$B$1:$U$40</definedName>
    <definedName name="PTR" localSheetId="11">#REF!</definedName>
    <definedName name="PTR" localSheetId="12">#REF!</definedName>
    <definedName name="PTR" localSheetId="5">#REF!</definedName>
    <definedName name="PTR" localSheetId="0">#REF!</definedName>
    <definedName name="PTR" localSheetId="7">#REF!</definedName>
    <definedName name="PTR" localSheetId="9">#REF!</definedName>
    <definedName name="PTR">#REF!</definedName>
    <definedName name="PYEAR">'[11]Basic Information'!$G$14</definedName>
    <definedName name="qry_nor_list_a3_and_a4_cohorts_joined" localSheetId="11">#REF!</definedName>
    <definedName name="qry_nor_list_a3_and_a4_cohorts_joined" localSheetId="12">#REF!</definedName>
    <definedName name="qry_nor_list_a3_and_a4_cohorts_joined" localSheetId="5">#REF!</definedName>
    <definedName name="qry_nor_list_a3_and_a4_cohorts_joined" localSheetId="0">#REF!</definedName>
    <definedName name="qry_nor_list_a3_and_a4_cohorts_joined" localSheetId="7">#REF!</definedName>
    <definedName name="qry_nor_list_a3_and_a4_cohorts_joined" localSheetId="9">#REF!</definedName>
    <definedName name="qry_nor_list_a3_and_a4_cohorts_joined">#REF!</definedName>
    <definedName name="Query2" localSheetId="11">#REF!</definedName>
    <definedName name="Query2" localSheetId="12">#REF!</definedName>
    <definedName name="Query2" localSheetId="5">#REF!</definedName>
    <definedName name="Query2" localSheetId="0">#REF!</definedName>
    <definedName name="Query2" localSheetId="7">#REF!</definedName>
    <definedName name="Query2" localSheetId="9">#REF!</definedName>
    <definedName name="Query2">#REF!</definedName>
    <definedName name="Query3" localSheetId="11">#REF!</definedName>
    <definedName name="Query3" localSheetId="12">#REF!</definedName>
    <definedName name="Query3" localSheetId="5">#REF!</definedName>
    <definedName name="Query3" localSheetId="0">#REF!</definedName>
    <definedName name="Query3" localSheetId="7">#REF!</definedName>
    <definedName name="Query3" localSheetId="9">#REF!</definedName>
    <definedName name="Query3">#REF!</definedName>
    <definedName name="Query4" localSheetId="11">#REF!</definedName>
    <definedName name="Query4" localSheetId="12">#REF!</definedName>
    <definedName name="Query4" localSheetId="5">#REF!</definedName>
    <definedName name="Query4" localSheetId="0">#REF!</definedName>
    <definedName name="Query4" localSheetId="7">#REF!</definedName>
    <definedName name="Query4" localSheetId="9">#REF!</definedName>
    <definedName name="Query4">#REF!</definedName>
    <definedName name="recoupamount">'[12]Academy Recoupment'!$D$39</definedName>
    <definedName name="SALARY">#N/A</definedName>
    <definedName name="school">'[13]FTE data'!$A$3:$BR$379</definedName>
    <definedName name="schools" localSheetId="11">#REF!</definedName>
    <definedName name="schools" localSheetId="12">#REF!</definedName>
    <definedName name="schools" localSheetId="5">#REF!</definedName>
    <definedName name="schools" localSheetId="0">#REF!</definedName>
    <definedName name="schools" localSheetId="7">#REF!</definedName>
    <definedName name="schools" localSheetId="9">#REF!</definedName>
    <definedName name="schools">#REF!</definedName>
    <definedName name="SchTypeList">[6]CodeSet!$C$1:$C$10</definedName>
    <definedName name="sec_asc" localSheetId="11">#REF!</definedName>
    <definedName name="sec_asc" localSheetId="12">#REF!</definedName>
    <definedName name="sec_asc" localSheetId="5">#REF!</definedName>
    <definedName name="sec_asc" localSheetId="0">#REF!</definedName>
    <definedName name="sec_asc" localSheetId="7">#REF!</definedName>
    <definedName name="sec_asc" localSheetId="9">#REF!</definedName>
    <definedName name="sec_asc">#REF!</definedName>
    <definedName name="SEC_S52" localSheetId="11">#REF!</definedName>
    <definedName name="SEC_S52" localSheetId="12">#REF!</definedName>
    <definedName name="SEC_S52" localSheetId="5">#REF!</definedName>
    <definedName name="SEC_S52" localSheetId="0">#REF!</definedName>
    <definedName name="SEC_S52" localSheetId="7">#REF!</definedName>
    <definedName name="SEC_S52" localSheetId="9">#REF!</definedName>
    <definedName name="SEC_S52">#REF!</definedName>
    <definedName name="SEN" localSheetId="11">#REF!</definedName>
    <definedName name="SEN" localSheetId="12">#REF!</definedName>
    <definedName name="SEN" localSheetId="5">#REF!</definedName>
    <definedName name="SEN" localSheetId="0">#REF!</definedName>
    <definedName name="SEN" localSheetId="7">#REF!</definedName>
    <definedName name="SEN" localSheetId="9">#REF!</definedName>
    <definedName name="SEN">#REF!</definedName>
    <definedName name="TableOne">'[9]S52 Sec'!$A$11:$CO$161</definedName>
    <definedName name="TableOneGross">'[4]S52 Gross'!$A$11:$CY$161</definedName>
    <definedName name="TableOneSec">'[4]S52 Sec'!$A$11:$CW$161</definedName>
    <definedName name="TEST1" localSheetId="11">#REF!</definedName>
    <definedName name="TEST1" localSheetId="12">#REF!</definedName>
    <definedName name="TEST1" localSheetId="5">#REF!</definedName>
    <definedName name="TEST1" localSheetId="0">#REF!</definedName>
    <definedName name="TEST1" localSheetId="7">#REF!</definedName>
    <definedName name="TEST1" localSheetId="9">#REF!</definedName>
    <definedName name="TEST1">#REF!</definedName>
    <definedName name="TESTHKEY" localSheetId="11">#REF!</definedName>
    <definedName name="TESTHKEY" localSheetId="12">#REF!</definedName>
    <definedName name="TESTHKEY" localSheetId="5">#REF!</definedName>
    <definedName name="TESTHKEY" localSheetId="0">#REF!</definedName>
    <definedName name="TESTHKEY" localSheetId="7">#REF!</definedName>
    <definedName name="TESTHKEY" localSheetId="9">#REF!</definedName>
    <definedName name="TESTHKEY">#REF!</definedName>
    <definedName name="TESTKEYS" localSheetId="11">#REF!</definedName>
    <definedName name="TESTKEYS" localSheetId="12">#REF!</definedName>
    <definedName name="TESTKEYS" localSheetId="5">#REF!</definedName>
    <definedName name="TESTKEYS" localSheetId="0">#REF!</definedName>
    <definedName name="TESTKEYS" localSheetId="7">#REF!</definedName>
    <definedName name="TESTKEYS" localSheetId="9">#REF!</definedName>
    <definedName name="TESTKEYS">#REF!</definedName>
    <definedName name="TESTVKEY" localSheetId="11">#REF!</definedName>
    <definedName name="TESTVKEY" localSheetId="12">#REF!</definedName>
    <definedName name="TESTVKEY" localSheetId="5">#REF!</definedName>
    <definedName name="TESTVKEY" localSheetId="0">#REF!</definedName>
    <definedName name="TESTVKEY" localSheetId="7">#REF!</definedName>
    <definedName name="TESTVKEY" localSheetId="9">#REF!</definedName>
    <definedName name="TESTVKEY">#REF!</definedName>
    <definedName name="UoF_Adj" localSheetId="11">#REF!</definedName>
    <definedName name="UoF_Adj" localSheetId="12">#REF!</definedName>
    <definedName name="UoF_Adj" localSheetId="5">#REF!</definedName>
    <definedName name="UoF_Adj" localSheetId="0">#REF!</definedName>
    <definedName name="UoF_Adj" localSheetId="7">#REF!</definedName>
    <definedName name="UoF_Adj" localSheetId="9">#REF!</definedName>
    <definedName name="UoF_Adj">#REF!</definedName>
    <definedName name="UoFHel" localSheetId="11">#REF!</definedName>
    <definedName name="UoFHel" localSheetId="12">#REF!</definedName>
    <definedName name="UoFHel" localSheetId="5">#REF!</definedName>
    <definedName name="UoFHel" localSheetId="0">#REF!</definedName>
    <definedName name="UoFHel" localSheetId="7">#REF!</definedName>
    <definedName name="UoFHel" localSheetId="9">#REF!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l="1"/>
  <c r="F10" i="19"/>
  <c r="F12" i="19" l="1"/>
  <c r="F8" i="19"/>
  <c r="C8" i="19"/>
  <c r="F7" i="19"/>
  <c r="C7" i="19"/>
  <c r="H4" i="19" l="1"/>
  <c r="F6" i="19"/>
  <c r="M36" i="20"/>
  <c r="P36" i="20" s="1"/>
  <c r="E36" i="20"/>
  <c r="I36" i="20" s="1"/>
  <c r="M34" i="20"/>
  <c r="G34" i="20" s="1"/>
  <c r="K34" i="20" s="1"/>
  <c r="I34" i="20"/>
  <c r="M33" i="20"/>
  <c r="I33" i="20"/>
  <c r="G33" i="20"/>
  <c r="K33" i="20" s="1"/>
  <c r="M32" i="20"/>
  <c r="P32" i="20" s="1"/>
  <c r="R32" i="20" s="1"/>
  <c r="I32" i="20"/>
  <c r="G32" i="20"/>
  <c r="K32" i="20" s="1"/>
  <c r="M31" i="20"/>
  <c r="I31" i="20"/>
  <c r="M30" i="20"/>
  <c r="G30" i="20" s="1"/>
  <c r="K30" i="20" s="1"/>
  <c r="I30" i="20"/>
  <c r="M29" i="20"/>
  <c r="I29" i="20"/>
  <c r="G29" i="20"/>
  <c r="K29" i="20" s="1"/>
  <c r="M25" i="20"/>
  <c r="P25" i="20" s="1"/>
  <c r="R25" i="20" s="1"/>
  <c r="I25" i="20"/>
  <c r="G25" i="20"/>
  <c r="K25" i="20" s="1"/>
  <c r="M24" i="20"/>
  <c r="I24" i="20"/>
  <c r="M23" i="20"/>
  <c r="G23" i="20" s="1"/>
  <c r="K23" i="20" s="1"/>
  <c r="I23" i="20"/>
  <c r="M21" i="20"/>
  <c r="I21" i="20"/>
  <c r="G21" i="20"/>
  <c r="K21" i="20" s="1"/>
  <c r="E20" i="20"/>
  <c r="M20" i="20" s="1"/>
  <c r="P19" i="20"/>
  <c r="R19" i="20" s="1"/>
  <c r="M19" i="20"/>
  <c r="I19" i="20"/>
  <c r="G19" i="20"/>
  <c r="K19" i="20" s="1"/>
  <c r="M18" i="20"/>
  <c r="G18" i="20" s="1"/>
  <c r="K18" i="20" s="1"/>
  <c r="I18" i="20"/>
  <c r="M17" i="20"/>
  <c r="P17" i="20" s="1"/>
  <c r="I17" i="20"/>
  <c r="G17" i="20"/>
  <c r="K17" i="20" s="1"/>
  <c r="M16" i="20"/>
  <c r="I16" i="20"/>
  <c r="G16" i="20"/>
  <c r="K16" i="20" s="1"/>
  <c r="P20" i="20" l="1"/>
  <c r="G20" i="20"/>
  <c r="K20" i="20" s="1"/>
  <c r="R20" i="20"/>
  <c r="R31" i="20"/>
  <c r="P24" i="20"/>
  <c r="R24" i="20" s="1"/>
  <c r="P31" i="20"/>
  <c r="R18" i="20"/>
  <c r="P30" i="20"/>
  <c r="R30" i="20" s="1"/>
  <c r="R36" i="20"/>
  <c r="R17" i="20"/>
  <c r="P21" i="20"/>
  <c r="R21" i="20" s="1"/>
  <c r="G24" i="20"/>
  <c r="K24" i="20" s="1"/>
  <c r="P29" i="20"/>
  <c r="R29" i="20" s="1"/>
  <c r="G31" i="20"/>
  <c r="K31" i="20" s="1"/>
  <c r="P33" i="20"/>
  <c r="R33" i="20" s="1"/>
  <c r="P18" i="20"/>
  <c r="P23" i="20"/>
  <c r="R23" i="20" s="1"/>
  <c r="P34" i="20"/>
  <c r="R34" i="20" s="1"/>
  <c r="I20" i="20"/>
  <c r="P16" i="20"/>
  <c r="R16" i="20" s="1"/>
  <c r="G36" i="20"/>
  <c r="K36" i="20" s="1"/>
  <c r="B26" i="10" l="1"/>
  <c r="B19" i="18" l="1"/>
  <c r="B46" i="18" l="1"/>
  <c r="B28" i="18"/>
  <c r="B27" i="18"/>
  <c r="B26" i="18"/>
  <c r="B20" i="18"/>
  <c r="B15" i="18"/>
  <c r="B13" i="18"/>
  <c r="B7" i="18"/>
  <c r="B6" i="18"/>
  <c r="B12" i="18" s="1"/>
  <c r="B19" i="10"/>
  <c r="B31" i="18" l="1"/>
  <c r="B14" i="18"/>
  <c r="B22" i="18" s="1"/>
  <c r="B46" i="10" s="1"/>
  <c r="B33" i="18" l="1"/>
  <c r="B37" i="18" s="1"/>
  <c r="B42" i="18"/>
  <c r="B43" i="18" s="1"/>
  <c r="B48" i="18"/>
  <c r="B49" i="18" s="1"/>
  <c r="F39" i="17"/>
  <c r="N39" i="17" s="1"/>
  <c r="F38" i="17"/>
  <c r="N38" i="17" s="1"/>
  <c r="F37" i="17"/>
  <c r="N37" i="17" s="1"/>
  <c r="F36" i="17"/>
  <c r="N36" i="17" s="1"/>
  <c r="F35" i="17"/>
  <c r="J35" i="17" s="1"/>
  <c r="F34" i="17"/>
  <c r="H34" i="17" s="1"/>
  <c r="F33" i="17"/>
  <c r="N33" i="17" s="1"/>
  <c r="F32" i="17"/>
  <c r="N32" i="17" s="1"/>
  <c r="F31" i="17"/>
  <c r="N31" i="17" s="1"/>
  <c r="F30" i="17"/>
  <c r="N30" i="17" s="1"/>
  <c r="F29" i="17"/>
  <c r="N29" i="17" s="1"/>
  <c r="F28" i="17"/>
  <c r="N28" i="17" s="1"/>
  <c r="F27" i="17"/>
  <c r="J27" i="17" s="1"/>
  <c r="F26" i="17"/>
  <c r="H26" i="17" s="1"/>
  <c r="F25" i="17"/>
  <c r="J25" i="17" s="1"/>
  <c r="F24" i="17"/>
  <c r="N24" i="17" s="1"/>
  <c r="F23" i="17"/>
  <c r="N23" i="17" s="1"/>
  <c r="F22" i="17"/>
  <c r="N22" i="17" s="1"/>
  <c r="F21" i="17"/>
  <c r="N21" i="17" s="1"/>
  <c r="F20" i="17"/>
  <c r="N20" i="17" s="1"/>
  <c r="H11" i="17"/>
  <c r="C11" i="17"/>
  <c r="D10" i="17"/>
  <c r="C10" i="17"/>
  <c r="B15" i="10"/>
  <c r="N34" i="17" l="1"/>
  <c r="N25" i="17"/>
  <c r="H31" i="17"/>
  <c r="J33" i="17"/>
  <c r="H39" i="17"/>
  <c r="J34" i="17"/>
  <c r="L34" i="17" s="1"/>
  <c r="J26" i="17"/>
  <c r="L26" i="17" s="1"/>
  <c r="H23" i="17"/>
  <c r="N27" i="17"/>
  <c r="H25" i="17"/>
  <c r="L25" i="17" s="1"/>
  <c r="H33" i="17"/>
  <c r="N26" i="17"/>
  <c r="R26" i="17" s="1"/>
  <c r="T26" i="17" s="1"/>
  <c r="N35" i="17"/>
  <c r="R35" i="17" s="1"/>
  <c r="T35" i="17" s="1"/>
  <c r="R22" i="17"/>
  <c r="T22" i="17" s="1"/>
  <c r="R29" i="17"/>
  <c r="T29" i="17" s="1"/>
  <c r="R31" i="17"/>
  <c r="T31" i="17" s="1"/>
  <c r="R38" i="17"/>
  <c r="T38" i="17" s="1"/>
  <c r="R39" i="17"/>
  <c r="T39" i="17" s="1"/>
  <c r="R21" i="17"/>
  <c r="T21" i="17" s="1"/>
  <c r="R23" i="17"/>
  <c r="T23" i="17" s="1"/>
  <c r="R30" i="17"/>
  <c r="T30" i="17" s="1"/>
  <c r="R37" i="17"/>
  <c r="T37" i="17" s="1"/>
  <c r="R24" i="17"/>
  <c r="T24" i="17" s="1"/>
  <c r="R32" i="17"/>
  <c r="T32" i="17" s="1"/>
  <c r="R20" i="17"/>
  <c r="T20" i="17" s="1"/>
  <c r="H24" i="17"/>
  <c r="R28" i="17"/>
  <c r="T28" i="17" s="1"/>
  <c r="H32" i="17"/>
  <c r="R36" i="17"/>
  <c r="T36" i="17" s="1"/>
  <c r="J23" i="17"/>
  <c r="H30" i="17"/>
  <c r="J31" i="17"/>
  <c r="L31" i="17" s="1"/>
  <c r="B13" i="10" s="1"/>
  <c r="R34" i="17"/>
  <c r="T34" i="17" s="1"/>
  <c r="H38" i="17"/>
  <c r="J39" i="17"/>
  <c r="J24" i="17"/>
  <c r="J32" i="17"/>
  <c r="H21" i="17"/>
  <c r="J22" i="17"/>
  <c r="R25" i="17"/>
  <c r="T25" i="17" s="1"/>
  <c r="H29" i="17"/>
  <c r="J30" i="17"/>
  <c r="R33" i="17"/>
  <c r="T33" i="17" s="1"/>
  <c r="H37" i="17"/>
  <c r="J38" i="17"/>
  <c r="H20" i="17"/>
  <c r="J21" i="17"/>
  <c r="H28" i="17"/>
  <c r="J29" i="17"/>
  <c r="L29" i="17" s="1"/>
  <c r="H36" i="17"/>
  <c r="J37" i="17"/>
  <c r="H22" i="17"/>
  <c r="J20" i="17"/>
  <c r="H27" i="17"/>
  <c r="L27" i="17" s="1"/>
  <c r="J28" i="17"/>
  <c r="H35" i="17"/>
  <c r="L35" i="17" s="1"/>
  <c r="J36" i="17"/>
  <c r="L39" i="17" l="1"/>
  <c r="L33" i="17"/>
  <c r="L37" i="17"/>
  <c r="L23" i="17"/>
  <c r="L21" i="17"/>
  <c r="L22" i="17"/>
  <c r="R27" i="17"/>
  <c r="T27" i="17" s="1"/>
  <c r="L30" i="17"/>
  <c r="L32" i="17"/>
  <c r="L38" i="17"/>
  <c r="L28" i="17"/>
  <c r="L24" i="17"/>
  <c r="L36" i="17"/>
  <c r="L20" i="17"/>
  <c r="B6" i="10" l="1"/>
  <c r="B7" i="10"/>
  <c r="B12" i="10" l="1"/>
  <c r="B14" i="10"/>
  <c r="B48" i="11"/>
  <c r="BK26" i="14" l="1"/>
  <c r="L44" i="4"/>
  <c r="BI35" i="14"/>
  <c r="BI34" i="14"/>
  <c r="D20" i="15" l="1"/>
  <c r="E18" i="15"/>
  <c r="E20" i="15" s="1"/>
  <c r="D18" i="15"/>
  <c r="C18" i="15"/>
  <c r="F20" i="15" s="1"/>
  <c r="D11" i="15" l="1"/>
  <c r="F22" i="15" s="1"/>
  <c r="E22" i="15" l="1"/>
  <c r="D22" i="15"/>
  <c r="B31" i="10" l="1"/>
  <c r="BK30" i="14"/>
  <c r="BB43" i="14"/>
  <c r="BB45" i="14"/>
  <c r="BB46" i="14" s="1"/>
  <c r="BB48" i="14" s="1"/>
  <c r="F42" i="4" l="1"/>
  <c r="V42" i="4" l="1"/>
  <c r="J42" i="4"/>
  <c r="H42" i="4"/>
  <c r="L42" i="4" s="1"/>
  <c r="B38" i="11"/>
  <c r="BI30" i="14" l="1"/>
  <c r="L30" i="14"/>
  <c r="AZ28" i="14"/>
  <c r="BI28" i="14" s="1"/>
  <c r="BS26" i="14"/>
  <c r="AZ26" i="14"/>
  <c r="BI26" i="14" s="1"/>
  <c r="AK25" i="14"/>
  <c r="BS24" i="14"/>
  <c r="BA24" i="14"/>
  <c r="AZ24" i="14"/>
  <c r="BI24" i="14" s="1"/>
  <c r="AV24" i="14"/>
  <c r="AK24" i="14"/>
  <c r="P24" i="14"/>
  <c r="N24" i="14"/>
  <c r="AV23" i="14"/>
  <c r="BS22" i="14"/>
  <c r="BI22" i="14"/>
  <c r="AZ22" i="14"/>
  <c r="BA22" i="14"/>
  <c r="AP22" i="14"/>
  <c r="AV22" i="14"/>
  <c r="AJ22" i="14"/>
  <c r="Q22" i="14"/>
  <c r="P22" i="14"/>
  <c r="AV21" i="14"/>
  <c r="BE20" i="14"/>
  <c r="AV20" i="14"/>
  <c r="AQ20" i="14"/>
  <c r="P20" i="14"/>
  <c r="N20" i="14"/>
  <c r="AV19" i="14"/>
  <c r="AV18" i="14"/>
  <c r="BI17" i="14"/>
  <c r="AZ17" i="14"/>
  <c r="BA17" i="14"/>
  <c r="AP17" i="14"/>
  <c r="AU17" i="14"/>
  <c r="AJ17" i="14"/>
  <c r="Q17" i="14"/>
  <c r="N17" i="14"/>
  <c r="AV16" i="14"/>
  <c r="AM16" i="14"/>
  <c r="AV15" i="14"/>
  <c r="AM15" i="14"/>
  <c r="BS14" i="14"/>
  <c r="BI14" i="14"/>
  <c r="AZ14" i="14"/>
  <c r="AP14" i="14"/>
  <c r="AM14" i="14"/>
  <c r="AJ14" i="14"/>
  <c r="AD14" i="14"/>
  <c r="AE14" i="14" s="1"/>
  <c r="Q14" i="14"/>
  <c r="AV13" i="14"/>
  <c r="AM13" i="14"/>
  <c r="AV12" i="14"/>
  <c r="AM12" i="14"/>
  <c r="BS11" i="14"/>
  <c r="BI11" i="14"/>
  <c r="BK11" i="14"/>
  <c r="AZ11" i="14"/>
  <c r="BE11" i="14"/>
  <c r="AP11" i="14"/>
  <c r="AV11" i="14"/>
  <c r="AM11" i="14"/>
  <c r="Q11" i="14"/>
  <c r="N11" i="14"/>
  <c r="P11" i="14"/>
  <c r="AV10" i="14"/>
  <c r="AM10" i="14"/>
  <c r="AV9" i="14"/>
  <c r="AM9" i="14"/>
  <c r="BS8" i="14"/>
  <c r="AZ8" i="14"/>
  <c r="AQ8" i="14"/>
  <c r="AR8" i="14" s="1"/>
  <c r="AS8" i="14" s="1"/>
  <c r="AP8" i="14"/>
  <c r="AU8" i="14"/>
  <c r="AM8" i="14"/>
  <c r="X8" i="14"/>
  <c r="Y8" i="14" s="1"/>
  <c r="Q8" i="14"/>
  <c r="P8" i="14"/>
  <c r="R8" i="14" s="1"/>
  <c r="AV7" i="14"/>
  <c r="AM7" i="14"/>
  <c r="AV6" i="14"/>
  <c r="AM6" i="14"/>
  <c r="BA5" i="14"/>
  <c r="AZ5" i="14"/>
  <c r="BI5" i="14" s="1"/>
  <c r="AV5" i="14"/>
  <c r="AP5" i="14"/>
  <c r="AT5" i="14"/>
  <c r="AJ5" i="14"/>
  <c r="X5" i="14"/>
  <c r="Y5" i="14" s="1"/>
  <c r="Q5" i="14"/>
  <c r="N5" i="14"/>
  <c r="P5" i="14"/>
  <c r="R5" i="14" s="1"/>
  <c r="BE26" i="14" l="1"/>
  <c r="BE30" i="14"/>
  <c r="F8" i="14"/>
  <c r="AT8" i="14"/>
  <c r="AD11" i="14"/>
  <c r="AE11" i="14" s="1"/>
  <c r="F14" i="14"/>
  <c r="AV17" i="14"/>
  <c r="BS17" i="14"/>
  <c r="AU5" i="14"/>
  <c r="BS5" i="14"/>
  <c r="AV8" i="14"/>
  <c r="AT11" i="14"/>
  <c r="N14" i="14"/>
  <c r="AD17" i="14"/>
  <c r="AE17" i="14" s="1"/>
  <c r="BE17" i="14"/>
  <c r="BK24" i="14"/>
  <c r="BB17" i="14"/>
  <c r="AD5" i="14"/>
  <c r="AE5" i="14" s="1"/>
  <c r="BB5" i="14"/>
  <c r="N8" i="14"/>
  <c r="AD8" i="14"/>
  <c r="AE8" i="14" s="1"/>
  <c r="BK22" i="14"/>
  <c r="AQ24" i="14"/>
  <c r="BE5" i="14"/>
  <c r="BA8" i="14"/>
  <c r="BB8" i="14" s="1"/>
  <c r="X11" i="14"/>
  <c r="Y11" i="14" s="1"/>
  <c r="X14" i="14"/>
  <c r="Y14" i="14" s="1"/>
  <c r="AU24" i="14"/>
  <c r="BE24" i="14"/>
  <c r="AL25" i="14"/>
  <c r="F5" i="14"/>
  <c r="AJ8" i="14"/>
  <c r="AJ11" i="14"/>
  <c r="AK11" i="14" s="1"/>
  <c r="P14" i="14"/>
  <c r="R14" i="14" s="1"/>
  <c r="BK14" i="14"/>
  <c r="X17" i="14"/>
  <c r="Y17" i="14" s="1"/>
  <c r="BE22" i="14"/>
  <c r="BS30" i="14"/>
  <c r="AL5" i="14"/>
  <c r="AK5" i="14"/>
  <c r="AQ5" i="14"/>
  <c r="AR5" i="14" s="1"/>
  <c r="AS5" i="14" s="1"/>
  <c r="AM5" i="14"/>
  <c r="AL14" i="14"/>
  <c r="BA14" i="14"/>
  <c r="BB14" i="14" s="1"/>
  <c r="BE14" i="14"/>
  <c r="N22" i="14"/>
  <c r="F22" i="14"/>
  <c r="AL22" i="14" s="1"/>
  <c r="AK22" i="14"/>
  <c r="AK8" i="14"/>
  <c r="BE8" i="14"/>
  <c r="BI8" i="14"/>
  <c r="BK8" i="14" s="1"/>
  <c r="BM11" i="14"/>
  <c r="AV14" i="14"/>
  <c r="AU14" i="14"/>
  <c r="AQ14" i="14"/>
  <c r="AR14" i="14" s="1"/>
  <c r="AS14" i="14" s="1"/>
  <c r="AT14" i="14"/>
  <c r="AK17" i="14"/>
  <c r="BM30" i="14"/>
  <c r="BK5" i="14"/>
  <c r="BM5" i="14" s="1"/>
  <c r="R11" i="14"/>
  <c r="BA11" i="14"/>
  <c r="BB11" i="14" s="1"/>
  <c r="AK14" i="14"/>
  <c r="F17" i="14"/>
  <c r="AL17" i="14" s="1"/>
  <c r="P17" i="14"/>
  <c r="R17" i="14" s="1"/>
  <c r="AQ17" i="14"/>
  <c r="AR17" i="14" s="1"/>
  <c r="AS17" i="14" s="1"/>
  <c r="AM17" i="14"/>
  <c r="R22" i="14"/>
  <c r="AU22" i="14"/>
  <c r="AQ22" i="14"/>
  <c r="AO32" i="14"/>
  <c r="AO34" i="14" s="1"/>
  <c r="AO36" i="14" s="1"/>
  <c r="F11" i="14"/>
  <c r="AL11" i="14" s="1"/>
  <c r="AQ11" i="14"/>
  <c r="AR11" i="14" s="1"/>
  <c r="AS11" i="14" s="1"/>
  <c r="AU11" i="14"/>
  <c r="AT17" i="14"/>
  <c r="F24" i="14"/>
  <c r="AL24" i="14"/>
  <c r="BM14" i="14" l="1"/>
  <c r="BM24" i="14"/>
  <c r="BO24" i="14" s="1"/>
  <c r="BM8" i="14"/>
  <c r="BO8" i="14" s="1"/>
  <c r="AL8" i="14"/>
  <c r="BL24" i="14"/>
  <c r="BM22" i="14"/>
  <c r="BM26" i="14"/>
  <c r="BL8" i="14"/>
  <c r="BL14" i="14"/>
  <c r="BO14" i="14"/>
  <c r="BO30" i="14"/>
  <c r="BL30" i="14"/>
  <c r="BS28" i="14"/>
  <c r="BK28" i="14"/>
  <c r="BE28" i="14"/>
  <c r="BL5" i="14"/>
  <c r="BO5" i="14"/>
  <c r="BO11" i="14"/>
  <c r="BL11" i="14"/>
  <c r="BO26" i="14" l="1"/>
  <c r="BL26" i="14"/>
  <c r="BL22" i="14"/>
  <c r="BO22" i="14"/>
  <c r="BM28" i="14"/>
  <c r="BL28" i="14"/>
  <c r="BO28" i="14"/>
  <c r="BL33" i="14" l="1"/>
  <c r="B81" i="11"/>
  <c r="B72" i="11"/>
  <c r="B63" i="11"/>
  <c r="B64" i="11" s="1"/>
  <c r="B47" i="11"/>
  <c r="B42" i="11"/>
  <c r="B31" i="11"/>
  <c r="B20" i="11"/>
  <c r="B18" i="11"/>
  <c r="B17" i="11"/>
  <c r="B13" i="11"/>
  <c r="B9" i="11"/>
  <c r="B8" i="11"/>
  <c r="B7" i="11"/>
  <c r="B6" i="11"/>
  <c r="B12" i="11" s="1"/>
  <c r="B14" i="11" s="1"/>
  <c r="B21" i="11" l="1"/>
  <c r="B28" i="11"/>
  <c r="B44" i="11" l="1"/>
  <c r="B34" i="11"/>
  <c r="B35" i="11" s="1"/>
  <c r="B83" i="11" l="1"/>
  <c r="B66" i="11"/>
  <c r="B74" i="11"/>
  <c r="B22" i="10" l="1"/>
  <c r="B42" i="10" s="1"/>
  <c r="R29" i="5"/>
  <c r="Q29" i="5"/>
  <c r="N29" i="5"/>
  <c r="H29" i="5"/>
  <c r="B48" i="10" l="1"/>
  <c r="B33" i="10"/>
  <c r="B37" i="10" s="1"/>
  <c r="B43" i="10"/>
  <c r="R11" i="5"/>
  <c r="M26" i="5"/>
  <c r="N26" i="5" s="1"/>
  <c r="R26" i="5"/>
  <c r="Q26" i="5"/>
  <c r="M24" i="5"/>
  <c r="N24" i="5" s="1"/>
  <c r="Q22" i="5"/>
  <c r="M22" i="5"/>
  <c r="N22" i="5" s="1"/>
  <c r="N20" i="5"/>
  <c r="R17" i="5"/>
  <c r="Q17" i="5"/>
  <c r="M17" i="5"/>
  <c r="N17" i="5" s="1"/>
  <c r="O17" i="5" s="1"/>
  <c r="Q14" i="5"/>
  <c r="M14" i="5"/>
  <c r="N14" i="5" s="1"/>
  <c r="O14" i="5" s="1"/>
  <c r="Q11" i="5"/>
  <c r="M11" i="5"/>
  <c r="N11" i="5" s="1"/>
  <c r="O11" i="5" s="1"/>
  <c r="Q8" i="5"/>
  <c r="M8" i="5"/>
  <c r="N8" i="5" s="1"/>
  <c r="Q5" i="5"/>
  <c r="M5" i="5"/>
  <c r="N5" i="5" s="1"/>
  <c r="O5" i="5" s="1"/>
  <c r="N39" i="4"/>
  <c r="R39" i="4" s="1"/>
  <c r="T39" i="4" s="1"/>
  <c r="J39" i="4"/>
  <c r="H39" i="4"/>
  <c r="N38" i="4"/>
  <c r="J38" i="4"/>
  <c r="L38" i="4" s="1"/>
  <c r="H38" i="4"/>
  <c r="N37" i="4"/>
  <c r="R37" i="4" s="1"/>
  <c r="T37" i="4" s="1"/>
  <c r="J37" i="4"/>
  <c r="H37" i="4"/>
  <c r="N36" i="4"/>
  <c r="J36" i="4"/>
  <c r="L36" i="4" s="1"/>
  <c r="H36" i="4"/>
  <c r="N35" i="4"/>
  <c r="R35" i="4" s="1"/>
  <c r="T35" i="4" s="1"/>
  <c r="J35" i="4"/>
  <c r="H35" i="4"/>
  <c r="N34" i="4"/>
  <c r="J34" i="4"/>
  <c r="L34" i="4" s="1"/>
  <c r="H34" i="4"/>
  <c r="N33" i="4"/>
  <c r="R33" i="4" s="1"/>
  <c r="T33" i="4" s="1"/>
  <c r="J33" i="4"/>
  <c r="H33" i="4"/>
  <c r="N32" i="4"/>
  <c r="J32" i="4"/>
  <c r="L32" i="4" s="1"/>
  <c r="H32" i="4"/>
  <c r="N31" i="4"/>
  <c r="R31" i="4" s="1"/>
  <c r="T31" i="4" s="1"/>
  <c r="J31" i="4"/>
  <c r="H31" i="4"/>
  <c r="N30" i="4"/>
  <c r="J30" i="4"/>
  <c r="L30" i="4" s="1"/>
  <c r="H30" i="4"/>
  <c r="N29" i="4"/>
  <c r="R29" i="4" s="1"/>
  <c r="T29" i="4" s="1"/>
  <c r="J29" i="4"/>
  <c r="H29" i="4"/>
  <c r="N28" i="4"/>
  <c r="J28" i="4"/>
  <c r="L28" i="4" s="1"/>
  <c r="H28" i="4"/>
  <c r="N27" i="4"/>
  <c r="R27" i="4" s="1"/>
  <c r="T27" i="4" s="1"/>
  <c r="J27" i="4"/>
  <c r="H27" i="4"/>
  <c r="N26" i="4"/>
  <c r="J26" i="4"/>
  <c r="L26" i="4" s="1"/>
  <c r="H26" i="4"/>
  <c r="N25" i="4"/>
  <c r="R25" i="4" s="1"/>
  <c r="T25" i="4" s="1"/>
  <c r="J25" i="4"/>
  <c r="H25" i="4"/>
  <c r="N24" i="4"/>
  <c r="J24" i="4"/>
  <c r="L24" i="4" s="1"/>
  <c r="H24" i="4"/>
  <c r="N23" i="4"/>
  <c r="R23" i="4" s="1"/>
  <c r="T23" i="4" s="1"/>
  <c r="J23" i="4"/>
  <c r="H23" i="4"/>
  <c r="N22" i="4"/>
  <c r="J22" i="4"/>
  <c r="L22" i="4" s="1"/>
  <c r="H22" i="4"/>
  <c r="N21" i="4"/>
  <c r="R21" i="4" s="1"/>
  <c r="T21" i="4" s="1"/>
  <c r="J21" i="4"/>
  <c r="H21" i="4"/>
  <c r="N20" i="4"/>
  <c r="J20" i="4"/>
  <c r="L20" i="4" s="1"/>
  <c r="H20" i="4"/>
  <c r="H11" i="4"/>
  <c r="C11" i="4"/>
  <c r="D10" i="4"/>
  <c r="C10" i="4"/>
  <c r="L21" i="4" l="1"/>
  <c r="L23" i="4"/>
  <c r="L25" i="4"/>
  <c r="L27" i="4"/>
  <c r="L29" i="4"/>
  <c r="L31" i="4"/>
  <c r="L33" i="4"/>
  <c r="L35" i="4"/>
  <c r="L37" i="4"/>
  <c r="L39" i="4"/>
  <c r="O8" i="5"/>
  <c r="T24" i="4"/>
  <c r="T26" i="4"/>
  <c r="R20" i="4"/>
  <c r="T20" i="4" s="1"/>
  <c r="R22" i="4"/>
  <c r="T22" i="4" s="1"/>
  <c r="R24" i="4"/>
  <c r="R26" i="4"/>
  <c r="R28" i="4"/>
  <c r="T28" i="4" s="1"/>
  <c r="R30" i="4"/>
  <c r="T30" i="4" s="1"/>
  <c r="R32" i="4"/>
  <c r="T32" i="4" s="1"/>
  <c r="R34" i="4"/>
  <c r="T34" i="4" s="1"/>
  <c r="R36" i="4"/>
  <c r="T36" i="4" s="1"/>
  <c r="R38" i="4"/>
  <c r="T38" i="4" s="1"/>
  <c r="B49" i="10" l="1"/>
  <c r="J1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tc={3717D2D7-E839-4577-9FFD-2953843C8A5C}</author>
  </authors>
  <commentList>
    <comment ref="B2" authorId="0" shapeId="0" xr:uid="{3717D2D7-E839-4577-9FFD-2953843C8A5C}">
      <text>
        <t>[Threaded comment]
Your version of Excel allows you to read this threaded comment; however, any edits to it will get removed if the file is opened in a newer version of Excel. Learn more: https://go.microsoft.com/fwlink/?linkid=870924
Comment:
    MP E-mail 1/3/22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tc={244B375A-E5E1-4C53-8D2C-BEAD0925E316}</author>
  </authors>
  <commentList>
    <comment ref="W11" authorId="0" shapeId="0" xr:uid="{244B375A-E5E1-4C53-8D2C-BEAD0925E316}">
      <text>
        <t>[Threaded comment]
Your version of Excel allows you to read this threaded comment; however, any edits to it will get removed if the file is opened in a newer version of Excel. Learn more: https://go.microsoft.com/fwlink/?linkid=870924
Comment:
    Altered from 0.1505</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Leonard</author>
  </authors>
  <commentList>
    <comment ref="C6" authorId="0" shapeId="0" xr:uid="{D23DC5B4-A3C1-4320-A3E7-F085E4683B5F}">
      <text>
        <r>
          <rPr>
            <b/>
            <sz val="9"/>
            <color indexed="81"/>
            <rFont val="Tahoma"/>
            <family val="2"/>
          </rPr>
          <t>David Leonard:</t>
        </r>
        <r>
          <rPr>
            <sz val="9"/>
            <color indexed="81"/>
            <rFont val="Tahoma"/>
            <family val="2"/>
          </rPr>
          <t xml:space="preserve">
Increased from 6:1</t>
        </r>
      </text>
    </comment>
    <comment ref="C9" authorId="0" shapeId="0" xr:uid="{D4C27DC6-0391-4719-B9BA-A68301AFB2EC}">
      <text>
        <r>
          <rPr>
            <b/>
            <sz val="9"/>
            <color indexed="81"/>
            <rFont val="Tahoma"/>
            <family val="2"/>
          </rPr>
          <t>David Leonard:</t>
        </r>
        <r>
          <rPr>
            <sz val="9"/>
            <color indexed="81"/>
            <rFont val="Tahoma"/>
            <family val="2"/>
          </rPr>
          <t xml:space="preserve">
Reduced from 2.5:1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0000000-0006-0000-0700-000001000000}">
      <text>
        <r>
          <rPr>
            <b/>
            <sz val="8"/>
            <color indexed="81"/>
            <rFont val="Tahoma"/>
            <family val="2"/>
          </rPr>
          <t>Author:</t>
        </r>
        <r>
          <rPr>
            <sz val="8"/>
            <color indexed="81"/>
            <rFont val="Tahoma"/>
            <family val="2"/>
          </rPr>
          <t xml:space="preserve">
Assumes M6</t>
        </r>
      </text>
    </comment>
    <comment ref="F3" authorId="0" shapeId="0" xr:uid="{00000000-0006-0000-0700-000002000000}">
      <text>
        <r>
          <rPr>
            <b/>
            <sz val="8"/>
            <color indexed="81"/>
            <rFont val="Tahoma"/>
            <family val="2"/>
          </rPr>
          <t>Author:</t>
        </r>
        <r>
          <rPr>
            <sz val="8"/>
            <color indexed="81"/>
            <rFont val="Tahoma"/>
            <family val="2"/>
          </rPr>
          <t xml:space="preserve">
Assumes SCP 12</t>
        </r>
      </text>
    </comment>
    <comment ref="G3" authorId="0" shapeId="0" xr:uid="{00000000-0006-0000-0700-000003000000}">
      <text>
        <r>
          <rPr>
            <b/>
            <sz val="8"/>
            <color indexed="81"/>
            <rFont val="Tahoma"/>
            <family val="2"/>
          </rPr>
          <t>Author:</t>
        </r>
        <r>
          <rPr>
            <sz val="8"/>
            <color indexed="81"/>
            <rFont val="Tahoma"/>
            <family val="2"/>
          </rPr>
          <t xml:space="preserve">
Assumes SCP 5 for 1h15 per day</t>
        </r>
      </text>
    </comment>
    <comment ref="B5" authorId="0" shapeId="0" xr:uid="{00000000-0006-0000-0700-000004000000}">
      <text>
        <r>
          <rPr>
            <b/>
            <sz val="9"/>
            <color indexed="81"/>
            <rFont val="Tahoma"/>
            <family val="2"/>
          </rPr>
          <t>Author:</t>
        </r>
        <r>
          <rPr>
            <sz val="9"/>
            <color indexed="81"/>
            <rFont val="Tahoma"/>
            <family val="2"/>
          </rPr>
          <t xml:space="preserve">
Reduced from 2.5:1</t>
        </r>
      </text>
    </comment>
    <comment ref="B11" authorId="0" shapeId="0" xr:uid="{00000000-0006-0000-0700-000005000000}">
      <text>
        <r>
          <rPr>
            <b/>
            <sz val="9"/>
            <color indexed="81"/>
            <rFont val="Tahoma"/>
            <family val="2"/>
          </rPr>
          <t>Author:</t>
        </r>
        <r>
          <rPr>
            <sz val="9"/>
            <color indexed="81"/>
            <rFont val="Tahoma"/>
            <family val="2"/>
          </rPr>
          <t xml:space="preserve">
Increased from 6:1</t>
        </r>
      </text>
    </comment>
    <comment ref="H20" authorId="0" shapeId="0" xr:uid="{00000000-0006-0000-0700-000006000000}">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david.leonard</author>
    <author>David Leonard</author>
  </authors>
  <commentList>
    <comment ref="C3" authorId="0" shapeId="0" xr:uid="{1C473272-6241-44B9-B6B4-E138E692F989}">
      <text>
        <r>
          <rPr>
            <b/>
            <sz val="8"/>
            <color indexed="81"/>
            <rFont val="Tahoma"/>
            <family val="2"/>
          </rPr>
          <t>david.leonard:</t>
        </r>
        <r>
          <rPr>
            <sz val="8"/>
            <color indexed="81"/>
            <rFont val="Tahoma"/>
            <family val="2"/>
          </rPr>
          <t xml:space="preserve">
Assumes M5 + £1100 TLR</t>
        </r>
      </text>
    </comment>
    <comment ref="D3" authorId="0" shapeId="0" xr:uid="{27F803E8-9B83-47AA-BA55-07DA312C6C45}">
      <text>
        <r>
          <rPr>
            <b/>
            <sz val="8"/>
            <color indexed="81"/>
            <rFont val="Tahoma"/>
            <family val="2"/>
          </rPr>
          <t>david.leonard:</t>
        </r>
        <r>
          <rPr>
            <sz val="8"/>
            <color indexed="81"/>
            <rFont val="Tahoma"/>
            <family val="2"/>
          </rPr>
          <t xml:space="preserve">
Assumes SCP12</t>
        </r>
      </text>
    </comment>
    <comment ref="E3" authorId="0" shapeId="0" xr:uid="{ECB3827A-46A3-4175-BB1C-E5F76992B207}">
      <text>
        <r>
          <rPr>
            <b/>
            <sz val="8"/>
            <color indexed="81"/>
            <rFont val="Tahoma"/>
            <family val="2"/>
          </rPr>
          <t>david.leonard:</t>
        </r>
        <r>
          <rPr>
            <sz val="8"/>
            <color indexed="81"/>
            <rFont val="Tahoma"/>
            <family val="2"/>
          </rPr>
          <t xml:space="preserve">
Assumes SCP 5 for 1h15 per day</t>
        </r>
      </text>
    </comment>
    <comment ref="I3" authorId="0" shapeId="0" xr:uid="{449E1345-D2AE-4B3E-8A10-5C0D586D74C6}">
      <text>
        <r>
          <rPr>
            <b/>
            <sz val="8"/>
            <color indexed="81"/>
            <rFont val="Tahoma"/>
            <family val="2"/>
          </rPr>
          <t>david.leonard:</t>
        </r>
        <r>
          <rPr>
            <sz val="8"/>
            <color indexed="81"/>
            <rFont val="Tahoma"/>
            <family val="2"/>
          </rPr>
          <t xml:space="preserve">
Assumes M6</t>
        </r>
      </text>
    </comment>
    <comment ref="J3" authorId="0" shapeId="0" xr:uid="{A395BE77-4042-45CA-9393-A62242C7336E}">
      <text>
        <r>
          <rPr>
            <b/>
            <sz val="8"/>
            <color indexed="81"/>
            <rFont val="Tahoma"/>
            <family val="2"/>
          </rPr>
          <t>david.leonard:</t>
        </r>
        <r>
          <rPr>
            <sz val="8"/>
            <color indexed="81"/>
            <rFont val="Tahoma"/>
            <family val="2"/>
          </rPr>
          <t xml:space="preserve">
Assumes SCP 12</t>
        </r>
      </text>
    </comment>
    <comment ref="K3" authorId="0" shapeId="0" xr:uid="{4510D6EE-261A-4926-A52E-AE862E287CD5}">
      <text>
        <r>
          <rPr>
            <b/>
            <sz val="8"/>
            <color indexed="81"/>
            <rFont val="Tahoma"/>
            <family val="2"/>
          </rPr>
          <t>david.leonard:</t>
        </r>
        <r>
          <rPr>
            <sz val="8"/>
            <color indexed="81"/>
            <rFont val="Tahoma"/>
            <family val="2"/>
          </rPr>
          <t xml:space="preserve">
Assumes SCP 5 for 1h15 per day</t>
        </r>
      </text>
    </comment>
    <comment ref="B5" authorId="1" shapeId="0" xr:uid="{BE6A4156-E73C-4603-B113-74EB8FF66CF4}">
      <text>
        <r>
          <rPr>
            <b/>
            <sz val="9"/>
            <color indexed="81"/>
            <rFont val="Tahoma"/>
            <family val="2"/>
          </rPr>
          <t>David Leonard:</t>
        </r>
        <r>
          <rPr>
            <sz val="9"/>
            <color indexed="81"/>
            <rFont val="Tahoma"/>
            <family val="2"/>
          </rPr>
          <t xml:space="preserve">
Reduced from 2.5:1</t>
        </r>
      </text>
    </comment>
    <comment ref="B11" authorId="1" shapeId="0" xr:uid="{AAABE836-DA78-4FE0-9C01-13B212D477C4}">
      <text>
        <r>
          <rPr>
            <b/>
            <sz val="9"/>
            <color indexed="81"/>
            <rFont val="Tahoma"/>
            <family val="2"/>
          </rPr>
          <t>David Leonard:</t>
        </r>
        <r>
          <rPr>
            <sz val="9"/>
            <color indexed="81"/>
            <rFont val="Tahoma"/>
            <family val="2"/>
          </rPr>
          <t xml:space="preserve">
Increased from 6:1</t>
        </r>
      </text>
    </comment>
    <comment ref="F20" authorId="0" shapeId="0" xr:uid="{6F1C7B23-C8BB-4E28-8BF1-73593CEABE68}">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 ref="L20" authorId="0" shapeId="0" xr:uid="{D497B5CD-F777-46E8-80F3-B2053EB0D84A}">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sharedStrings.xml><?xml version="1.0" encoding="utf-8"?>
<sst xmlns="http://schemas.openxmlformats.org/spreadsheetml/2006/main" count="868" uniqueCount="492">
  <si>
    <t>The Pilgrim School - Hospital Provision</t>
  </si>
  <si>
    <t>Special School Formula Factors</t>
  </si>
  <si>
    <t>2021/22 Funding</t>
  </si>
  <si>
    <t>Number of Places</t>
  </si>
  <si>
    <t>Medical Band 1</t>
  </si>
  <si>
    <t>Medical Band 2</t>
  </si>
  <si>
    <t>Classes can flex to 10 i.e. up to 100 FTE places</t>
  </si>
  <si>
    <t>Medical Band 1 Values</t>
  </si>
  <si>
    <t>A ratio of 4 to 1, requires for every 8 children, 1 Teacher &amp; 1 TA.</t>
  </si>
  <si>
    <t>This would represents 10 classrooms (as per the current setup), and could be considered more practical.</t>
  </si>
  <si>
    <t>Medical Band 2 Values</t>
  </si>
  <si>
    <t>A ratio of 2.7 to 1, requires for every 8 children, 1 Teacher &amp; 2 TA.</t>
  </si>
  <si>
    <t>Funding</t>
  </si>
  <si>
    <t>Medical Band Funding</t>
  </si>
  <si>
    <t>Reintegration Support Officers</t>
  </si>
  <si>
    <t>Minimum ratio of 13 ratio - 6 RSO (base)</t>
  </si>
  <si>
    <t>Banded Funding</t>
  </si>
  <si>
    <r>
      <rPr>
        <i/>
        <u/>
        <sz val="11"/>
        <rFont val="Arial"/>
        <family val="2"/>
      </rPr>
      <t>Incorporated into Banded Funding</t>
    </r>
    <r>
      <rPr>
        <i/>
        <sz val="11"/>
        <rFont val="Arial"/>
        <family val="2"/>
      </rPr>
      <t>:</t>
    </r>
  </si>
  <si>
    <t>* Teachers' Pay &amp; Pension Grant</t>
  </si>
  <si>
    <t>* Teaching Assistant cost increase</t>
  </si>
  <si>
    <t>Free School Meals factor</t>
  </si>
  <si>
    <t>Count of 28 pupils accessing Free School Meals</t>
  </si>
  <si>
    <t>Banded Funding for School Size threshold</t>
  </si>
  <si>
    <t>As per the 2020/21 School Size threshold</t>
  </si>
  <si>
    <t>School Size</t>
  </si>
  <si>
    <t>School Size 4 Transition</t>
  </si>
  <si>
    <t>Banded funding &gt;£1.100m</t>
  </si>
  <si>
    <t>Staffing Block</t>
  </si>
  <si>
    <t>Non-Staffing Block</t>
  </si>
  <si>
    <t>Total Indicative Place and Top up funding</t>
  </si>
  <si>
    <t>2021/22 Funding Amount</t>
  </si>
  <si>
    <t>2020/21 Funding level (before teachers' grants)</t>
  </si>
  <si>
    <t>2020/21 budget share publication</t>
  </si>
  <si>
    <t>2020/21 Funding level (after teachers' grants)</t>
  </si>
  <si>
    <t>Place Rate Funding</t>
  </si>
  <si>
    <t>Top up Funding</t>
  </si>
  <si>
    <t>Total Indicative Place &amp; Top up funding</t>
  </si>
  <si>
    <t>Additional Funding Mechanisms</t>
  </si>
  <si>
    <t>Split-site Funding</t>
  </si>
  <si>
    <t>Commissioned: ASD unit</t>
  </si>
  <si>
    <t>Medical Home Tuition - Fixed Cost</t>
  </si>
  <si>
    <r>
      <t xml:space="preserve">Medical Home Tuition - Delivery </t>
    </r>
    <r>
      <rPr>
        <sz val="11"/>
        <color rgb="FF0070C0"/>
        <rFont val="Arial"/>
        <family val="2"/>
      </rPr>
      <t xml:space="preserve">- </t>
    </r>
    <r>
      <rPr>
        <i/>
        <sz val="11"/>
        <color rgb="FF0070C0"/>
        <rFont val="Arial"/>
        <family val="2"/>
      </rPr>
      <t>funded on activity (est.)</t>
    </r>
  </si>
  <si>
    <t>£45 hourly rate for 2h30 of direct delivery</t>
  </si>
  <si>
    <t>Total Funding</t>
  </si>
  <si>
    <t>Teachers' Pay &amp; Pension Grant - Validation</t>
  </si>
  <si>
    <t>2020/21 allocation</t>
  </si>
  <si>
    <t>2021/22 allocation</t>
  </si>
  <si>
    <t>2021/22 allocation greater than 2020/21</t>
  </si>
  <si>
    <t>Agreed 2021/22 Place Numbers</t>
  </si>
  <si>
    <t>Places</t>
  </si>
  <si>
    <t>Pre-16: April 21 - August 21</t>
  </si>
  <si>
    <t>Pre-16: September 21 - March 22</t>
  </si>
  <si>
    <t>Post-16: April 21 - July 21</t>
  </si>
  <si>
    <t>Post-16: August 21 - March 22</t>
  </si>
  <si>
    <t>MP Notes:</t>
  </si>
  <si>
    <t>Hospital Schools funding</t>
  </si>
  <si>
    <t>Share of Pay &amp; pension (£557.86)</t>
  </si>
  <si>
    <t>Less than the government funding including additional funding mechanism</t>
  </si>
  <si>
    <t>2021/22</t>
  </si>
  <si>
    <t>This will assume pay growth</t>
  </si>
  <si>
    <t>Financial Plan - forecast</t>
  </si>
  <si>
    <t>Unrecorded income (similar to prior year)</t>
  </si>
  <si>
    <t>Difference</t>
  </si>
  <si>
    <t>2020/21</t>
  </si>
  <si>
    <t>£2,342,235 &amp; £2,348,316</t>
  </si>
  <si>
    <t>Teachers pay increase (5/12th)</t>
  </si>
  <si>
    <t>2023/24 Funding</t>
  </si>
  <si>
    <t>Total Indicative Funding (Place and Top up Funding)</t>
  </si>
  <si>
    <t>3% inflationary uplift</t>
  </si>
  <si>
    <r>
      <t xml:space="preserve">Medical Home Tuition - Delivery </t>
    </r>
    <r>
      <rPr>
        <sz val="11"/>
        <color rgb="FF0070C0"/>
        <rFont val="Arial"/>
        <family val="2"/>
      </rPr>
      <t xml:space="preserve">- </t>
    </r>
    <r>
      <rPr>
        <i/>
        <sz val="11"/>
        <color rgb="FF0070C0"/>
        <rFont val="Arial"/>
        <family val="2"/>
      </rPr>
      <t>funded on activity (illustrative.)</t>
    </r>
  </si>
  <si>
    <t>DfE Place and Top up Presentation (Indicative Funding)</t>
  </si>
  <si>
    <t>2023/24 allocation</t>
  </si>
  <si>
    <t>Agreed 2023/24 Place Numbers</t>
  </si>
  <si>
    <t>Pre-16: April 23 - August 23</t>
  </si>
  <si>
    <t>Pre-16: September 23 - March 24</t>
  </si>
  <si>
    <t>Post-16: April 23 - July 23</t>
  </si>
  <si>
    <t>Post-16: August 23 - March 24</t>
  </si>
  <si>
    <t xml:space="preserve">A 3% increase in band values has been applied for 2023/24, which reflects the 3% increase in funding made in-year (2022/23) to support specialist schools increasing costs. </t>
  </si>
  <si>
    <t xml:space="preserve">Staffing and non-staffing block cost refinements includes a 3% increase, which reflects the 3% increase in funding made in-year (2022/23) to support specialist schools increasing costs. </t>
  </si>
  <si>
    <t>A 3% increase has been applied to the split side funding in line with the inflationary increases applied to the band values and block funding.</t>
  </si>
  <si>
    <t>Lincolnshire Special Schools Funding Formula</t>
  </si>
  <si>
    <t>DfE No:</t>
  </si>
  <si>
    <t>2022/23 Funding</t>
  </si>
  <si>
    <t>Non-staffing Block</t>
  </si>
  <si>
    <t>Banded Funding (A - F)</t>
  </si>
  <si>
    <t>Banded Funding (G)</t>
  </si>
  <si>
    <t>Free School Meals</t>
  </si>
  <si>
    <t>Indicative Place and Top up Funding *</t>
  </si>
  <si>
    <t>Indicative Place and Top up Funding</t>
  </si>
  <si>
    <t>Average 2022/23</t>
  </si>
  <si>
    <t>Average 2023/24</t>
  </si>
  <si>
    <t>Number on Roll (Place Numbers)</t>
  </si>
  <si>
    <t>Other Special Schools Funding Arrangements</t>
  </si>
  <si>
    <t>Site Factor</t>
  </si>
  <si>
    <t>PFI Block Allocation</t>
  </si>
  <si>
    <t>Split Site Allocation</t>
  </si>
  <si>
    <t>Commissioned Arrangements</t>
  </si>
  <si>
    <t>Portage Funding</t>
  </si>
  <si>
    <t>Outreach Funding</t>
  </si>
  <si>
    <t>Residential Funding</t>
  </si>
  <si>
    <t>Total Other Special Schools Funding Arrangements</t>
  </si>
  <si>
    <t>Staffing and Non-staffing Block</t>
  </si>
  <si>
    <t>2023/24 Final Indicative Budget Share</t>
  </si>
  <si>
    <t>Band Descriptor Profile</t>
  </si>
  <si>
    <t>School Percentage Profile</t>
  </si>
  <si>
    <t>Band A</t>
  </si>
  <si>
    <t>Band B</t>
  </si>
  <si>
    <t>Band C</t>
  </si>
  <si>
    <t>Band D</t>
  </si>
  <si>
    <t>Band E</t>
  </si>
  <si>
    <t>Band F</t>
  </si>
  <si>
    <t>Band G</t>
  </si>
  <si>
    <t>Additional Pupils Placed</t>
  </si>
  <si>
    <t>Average Band Value</t>
  </si>
  <si>
    <t>Commissioned Place Value</t>
  </si>
  <si>
    <t>Staffing Ratio</t>
  </si>
  <si>
    <t>Band Values</t>
  </si>
  <si>
    <t>Description: further detail provided relating to the principles of the band values</t>
  </si>
  <si>
    <t>Band Descriptor</t>
  </si>
  <si>
    <t>6 to 1 Ratio</t>
  </si>
  <si>
    <t>A ratio of 6 to 1, requires for every 12 children, 1 Teacher &amp; 1 TA.</t>
  </si>
  <si>
    <t>5 to 1 Ratio</t>
  </si>
  <si>
    <t>A ratio of 5 to 1, requires for every 10 children, 1 Teacher &amp; 1 TA.</t>
  </si>
  <si>
    <t>Band C (New)</t>
  </si>
  <si>
    <t>2.06 to 1 Ratio</t>
  </si>
  <si>
    <t>A ratio of 2.06 to 1, requires for every 8 children, 1 Teacher &amp; 2.89 TAs.</t>
  </si>
  <si>
    <t>2 to 1 Ratio</t>
  </si>
  <si>
    <t>A ratio of 2 to 1, requires for every 8 children, 1 Teacher &amp; 3 TAs.</t>
  </si>
  <si>
    <t>A ratio of 2 to 1, requires for every 6 children, 1 Teacher &amp; 2 TAs.</t>
  </si>
  <si>
    <t>1 to 1 Ratio</t>
  </si>
  <si>
    <t>A ratio of 1 TA to 1 child.</t>
  </si>
  <si>
    <t>Categories - Staffing and Non-Staffing Blocks</t>
  </si>
  <si>
    <t>Banding Value Categorises (£ up to)</t>
  </si>
  <si>
    <t>School Size 3</t>
  </si>
  <si>
    <t>School Size 3 Transition Point</t>
  </si>
  <si>
    <t>School Size 4</t>
  </si>
  <si>
    <t>School Size 4 Transition Point</t>
  </si>
  <si>
    <t>School Size 5</t>
  </si>
  <si>
    <t>School Size 5 Transition Point</t>
  </si>
  <si>
    <t>School Size 6</t>
  </si>
  <si>
    <t>School Size 6 Transition Point</t>
  </si>
  <si>
    <t>School Size 7</t>
  </si>
  <si>
    <t>PFI School Size 3</t>
  </si>
  <si>
    <t>PFI School Size 3 Transition Point</t>
  </si>
  <si>
    <t>PFI School Size 4</t>
  </si>
  <si>
    <t>PFI School Size 4 Transition Point</t>
  </si>
  <si>
    <t>PFI School Size 5</t>
  </si>
  <si>
    <t xml:space="preserve">1. Lincolnshire's special schools 2022/23 funding formula allocations by each formula factor (based on the schools published indicative budget for 2022/23). </t>
  </si>
  <si>
    <t xml:space="preserve">4. Number on Roll: the Average Number / Places agreed across the financial year that have been agreed with the special school. The 2023/24 indicative funding uses the following place numbers: April 23 - August 23 (AY 2022/23 brought forward places) and September 23 - March 24 (AY 2023/24 agreed places). </t>
  </si>
  <si>
    <t>6. School Size category: the staffing and non-staffing block special school categories, which is determined by a schools overall banding monetary funding.</t>
  </si>
  <si>
    <t xml:space="preserve">7. School Band Descriptor Profile: the schools percentage banding profile across the seven band descriptors. Latest pupil data has been updated to ensure that every pupil who has had a place agreed for the 2023/24 AY, including having an associated band attributed to them. </t>
  </si>
  <si>
    <t>8. Commissioned Place Value: the average band value determined for the school based on the agreed school banding profile A - F. This commissioned place value will be used to determine the additional level of funding that a school will receive when they go above the determined funded places across a financial year. The commissioned place value is there to support the marginal costs of admitting an additional pupil. With the creation of the lagged place funding system for special schools, schools with rising levels of LA agreed places will need to build in commissioned funding into their current and future years financial planning to ensure the schools overall level of funding is understood. Funding will be allocated through a termly adjustment based on the schools termly return outlining weekly numbers. As the commissioned funding is based on an average band rate, if schools admit a considerably higher number of band G pupils mid-year, the authority is happy to review the funding arrangements to avoid being financial disadvantaged. The authority will not agree to fund individual additional funding requests for every band G child admitted mid-year.</t>
  </si>
  <si>
    <t xml:space="preserve">9. Indicative Place and Top up Funding: 2023/24 funding inclusive of the MFG allocation (where applicable) based on Lincolnshire's special schools funding formula. The section provides a clear audit trail of how Lincolnshire special schools are funded through the formula factors for 2023/24, before being presented through the DfE's place and top up arrangements (based on the agreed place numbers and overall monetary value). </t>
  </si>
  <si>
    <t>ASD Summary</t>
  </si>
  <si>
    <t>Role</t>
  </si>
  <si>
    <t>Grade</t>
  </si>
  <si>
    <t>Annual Cost</t>
  </si>
  <si>
    <t>Teacher</t>
  </si>
  <si>
    <t>M5</t>
  </si>
  <si>
    <t>HLTA</t>
  </si>
  <si>
    <t>TA SCP21</t>
  </si>
  <si>
    <t>Learning Mentor</t>
  </si>
  <si>
    <t>G8 SCP15</t>
  </si>
  <si>
    <t>Community Liaison Officer</t>
  </si>
  <si>
    <t>G9 SCP24</t>
  </si>
  <si>
    <t>Sundries</t>
  </si>
  <si>
    <t>Budget Requirements</t>
  </si>
  <si>
    <t>22/23</t>
  </si>
  <si>
    <t>23/24</t>
  </si>
  <si>
    <t>24/25</t>
  </si>
  <si>
    <t>25/26</t>
  </si>
  <si>
    <t>Pupils on Roll</t>
  </si>
  <si>
    <t>Months on Roll</t>
  </si>
  <si>
    <t>% Capacity</t>
  </si>
  <si>
    <t>Total Allocation</t>
  </si>
  <si>
    <t>TEACHING ASSISTANT SCALES - UNDER 5 YEARS SERVICE</t>
  </si>
  <si>
    <t>Box 1.</t>
  </si>
  <si>
    <t>LCC APT&amp;C SALARY SCALES 2021-22</t>
  </si>
  <si>
    <t>Box 2.</t>
  </si>
  <si>
    <t>THESE SALARY SCALES INCLUDE:</t>
  </si>
  <si>
    <t>NATIONAL INSURANCE RATES AS FROM 01/04/2021</t>
  </si>
  <si>
    <t xml:space="preserve"> </t>
  </si>
  <si>
    <t>SUPERANNUATION RATE 25.9% AS FROM 01/04/2021</t>
  </si>
  <si>
    <t>PAY INCREASES FROM 01/04/2020</t>
  </si>
  <si>
    <t>STANDARD EQUATION CODES FOR UNDER 5 YEARS SERVICE</t>
  </si>
  <si>
    <t>Box 3.</t>
  </si>
  <si>
    <t>SALARY RANGE</t>
  </si>
  <si>
    <t>NI RATES (W.E.F 01/04/21)</t>
  </si>
  <si>
    <t xml:space="preserve"> SUPER = 25.9% (W.E.F 01/04/21)</t>
  </si>
  <si>
    <t>Box 4.</t>
  </si>
  <si>
    <t>NI</t>
  </si>
  <si>
    <t>NIL</t>
  </si>
  <si>
    <t>AND ABOVE</t>
  </si>
  <si>
    <t>@</t>
  </si>
  <si>
    <t>%</t>
  </si>
  <si>
    <t>LEL</t>
  </si>
  <si>
    <t>ST</t>
  </si>
  <si>
    <t>UEL</t>
  </si>
  <si>
    <t>Box 5.</t>
  </si>
  <si>
    <t>Contracted Out</t>
  </si>
  <si>
    <t>Not Contracted Out</t>
  </si>
  <si>
    <t>SUPER</t>
  </si>
  <si>
    <t>GRADE</t>
  </si>
  <si>
    <t>S.C.P.</t>
  </si>
  <si>
    <t>SALARY</t>
  </si>
  <si>
    <t>N.I.</t>
  </si>
  <si>
    <t>TOTAL</t>
  </si>
  <si>
    <t xml:space="preserve">  I</t>
  </si>
  <si>
    <t>TA Grade G3</t>
  </si>
  <si>
    <t>LEL - The Lower Earning Limit</t>
  </si>
  <si>
    <t xml:space="preserve">  I  6 - 9</t>
  </si>
  <si>
    <t xml:space="preserve">If you earn between the Lower Earning Limit and the Primary Threshold you will get National Insurance ‘credits’ </t>
  </si>
  <si>
    <t>PT - The Primary Threshold (sometimes called the Primary Earnings Threshold)</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</si>
  <si>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(12%)</t>
    </r>
  </si>
  <si>
    <t>TA Grade G5</t>
  </si>
  <si>
    <t xml:space="preserve">  I  12 - 15</t>
  </si>
  <si>
    <t>ST - The Secondary Threshold (sometimes called the Secondary Earnings Threshold)</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</si>
  <si>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t>
    </r>
  </si>
  <si>
    <t>TA Grade G6</t>
  </si>
  <si>
    <t>UEL - The Upper Earnings Limit</t>
  </si>
  <si>
    <t xml:space="preserve">  I Advanced</t>
  </si>
  <si>
    <t>For high earners who are paid over the Upper Earnings Limit, the National Insurance rate falls.earnings.</t>
  </si>
  <si>
    <t xml:space="preserve">  I  14 - 18</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</si>
  <si>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 on these </t>
    </r>
  </si>
  <si>
    <t>TA Grade G7</t>
  </si>
  <si>
    <t xml:space="preserve">  I Management</t>
  </si>
  <si>
    <t xml:space="preserve">  I  17 - 21</t>
  </si>
  <si>
    <t>TA Grade G8</t>
  </si>
  <si>
    <t xml:space="preserve">  I HLTA</t>
  </si>
  <si>
    <t xml:space="preserve">  I  20 - 24</t>
  </si>
  <si>
    <t>Levy</t>
  </si>
  <si>
    <t>Band Descriptors</t>
  </si>
  <si>
    <t>Notes</t>
  </si>
  <si>
    <t>Teacher Costs per Pupil</t>
  </si>
  <si>
    <t>TA Costs per Pupil</t>
  </si>
  <si>
    <t>Midday Supervisor Per Pupil</t>
  </si>
  <si>
    <t>Original Band Value</t>
  </si>
  <si>
    <t>Main 5 (71%)</t>
  </si>
  <si>
    <t>TA12 (60%)</t>
  </si>
  <si>
    <t>MDS</t>
  </si>
  <si>
    <t>Total</t>
  </si>
  <si>
    <t>2020/21 comparison</t>
  </si>
  <si>
    <t>Teachers' Pay Grant Addition</t>
  </si>
  <si>
    <t>TA Increase</t>
  </si>
  <si>
    <t>A ratio of 5 to 1, requires for every 10 children, 1 Teacher &amp; 1 TA</t>
  </si>
  <si>
    <t>2.5 to 1 Ratio</t>
  </si>
  <si>
    <t>A ratio of 2.5 to 1, requires for every 10 children, 1 Teacher &amp; 3 TAs.</t>
  </si>
  <si>
    <t>Band C - Additionality</t>
  </si>
  <si>
    <t xml:space="preserve">Supplement factor to be applied to take into account the further access to programmes offered by schools </t>
  </si>
  <si>
    <t>A ratio of 1 to 1</t>
  </si>
  <si>
    <t>AP</t>
  </si>
  <si>
    <t>2.7 to 1 Ratio</t>
  </si>
  <si>
    <t>A ratio of 2.7 to 1, requires for every 8 children, 1 Teacher &amp; 2 TAs.</t>
  </si>
  <si>
    <t>Medical 2</t>
  </si>
  <si>
    <t>A ratio of 4 to 1, requires for every 8 children, 1 Teacher &amp; 1 TAs.</t>
  </si>
  <si>
    <t>Medical 1</t>
  </si>
  <si>
    <t>MDS: This was previously the cost applied over 10 children, however 8 was applied (amended)</t>
  </si>
  <si>
    <t>MFG - Band Increase (Excl. Teachers' Increase)</t>
  </si>
  <si>
    <t>Pension</t>
  </si>
  <si>
    <t>Pay</t>
  </si>
  <si>
    <t>Modelling using 2021/22 pay scales</t>
  </si>
  <si>
    <t>Health &amp; Social Care Levy Increase</t>
  </si>
  <si>
    <t>2020/21 Band Value</t>
  </si>
  <si>
    <t>Teacher Increase Per Place</t>
  </si>
  <si>
    <t>ESFA All</t>
  </si>
  <si>
    <t>Diff.</t>
  </si>
  <si>
    <t>Main 4</t>
  </si>
  <si>
    <t>TA12</t>
  </si>
  <si>
    <t>Main 5</t>
  </si>
  <si>
    <t>TA9</t>
  </si>
  <si>
    <t>Main 5 (80%)</t>
  </si>
  <si>
    <t>TA12 (80%)</t>
  </si>
  <si>
    <t>2021/22 Comparison</t>
  </si>
  <si>
    <t>Main 5 (60%)</t>
  </si>
  <si>
    <t>Overall Increase</t>
  </si>
  <si>
    <t>Excl. Teachers'</t>
  </si>
  <si>
    <t>TA12 (70%)</t>
  </si>
  <si>
    <t>Agreed 22/23 Baseline Band Values</t>
  </si>
  <si>
    <t>22/23 Revised TA Rate</t>
  </si>
  <si>
    <t>22/23 Revised Teacher Rate</t>
  </si>
  <si>
    <t>22/23 Revised MDS Rate</t>
  </si>
  <si>
    <t>22/23 Revised Band Values (Inc 2%)</t>
  </si>
  <si>
    <t>Increase in 22/23 Band Values</t>
  </si>
  <si>
    <t>Before Pension Change</t>
  </si>
  <si>
    <t>Diff. Pension Change</t>
  </si>
  <si>
    <t>Teachers'</t>
  </si>
  <si>
    <t>TAs</t>
  </si>
  <si>
    <t>Total Per Band</t>
  </si>
  <si>
    <t>Or we could mock up 80% of TA differential to be in the band.</t>
  </si>
  <si>
    <t>Or Band G</t>
  </si>
  <si>
    <t>AP / Medical Band 2</t>
  </si>
  <si>
    <t>TA Per Place</t>
  </si>
  <si>
    <t>Total - Class</t>
  </si>
  <si>
    <t>TA</t>
  </si>
  <si>
    <t>FTE</t>
  </si>
  <si>
    <t>Local Protection Funding Allocation</t>
  </si>
  <si>
    <t>3.4% Grant Allocation</t>
  </si>
  <si>
    <t>Total Indicative Place and Top-up Funding (Including 3.4%)</t>
  </si>
  <si>
    <t>Monetary Local Proection Funding adjustment for 2023/24</t>
  </si>
  <si>
    <t>Special Schools Funding Formula 2022/23</t>
  </si>
  <si>
    <t xml:space="preserve">2. The basis of how special schools are to be funded: 
• The current funding formula is robust and is underpinned by key cost drivers and their costs based on theoretical school models. The Local Authority (LA) believe the underlying principles of the formula remain strong and fit for purpose, and are adaptable to the changing landscape of pupil needs. Lincolnshire’s special schools funding formula has been updated for 2023/24 to incorporate 3% increase made in-year to support special schools increasing costs. This has been applied across the various formula factors (staffing block, non-staffing block, band values). These increases mirror the amounts schools received via the supplementary funding allocations in 2022/23. The formula has been derived as a result of extensive consultation with special school leaders and other parties over the years. The underlying principles and formula factors will remain in place for 2023/24, whilst also havingconsideration to inflationary cost rises facing the sector. The authority will continue to keep the formula under review to maintain fairness in its distribution to reflect current needs and practices, which will support the ambitions of the sector. Engagement with the sector including a survey and a sector working group has taken place during 2022, which has helped shape the final formula refinement outcomes.  
• The main factors for allocating funding to special schools continue to be based on a staffing block, non-staffing block and banding funding. 
• The approach for determining the staffing and non-staffing block allocations are based on the school's monetary published level of banding funding for that given financial year. No funding adjustments will be made mid-year to the staffing and non-staffing block allocations (unless agreed as part of the special schools re-organisation process). Staffing block and non-staffing block allocations have both been increased by 3% in 2023/24 from the original 2022/23 funding baseline to recognise the additional costs schools will be incurring through staff pay increases, and general cost of living.
• Banding funding covers seven band descriptors, which support a range of pupil needs. A monetary value is attached to each band representing the staffing to pupil ratios.  Band monetary values have been updated by 3% to recognise the additional cost impact of staff pay. 
• Free School Meal entitlements are based on the count of meals taken as per the census return completed on 6th October 2022. The FSM rate includes a 2.4% increase for 2023/24 i.e. £2.53 per meal. This is in line with the mainstream rate.
• The mainstreaming of the teachers' pay and pension grants remain within the band for 2023/24: Band A (£487); Band B (£584), Band C (£584); Band D (£730); Band E (£730), and Band F (£974). 
• The pupil band profiles have been updated and agreed with schools to reflect those pupils present at the school in November 2022, plus any additional intake due from planned re-organisations.  
• The ESFA process for agreeing place numbers is based on a lagged funding system due to ESFA timing requirements (namely, using Autumn 2022 data to influence 2023/24 academic year place numbers). The LA has undertaken this process for the 2023/24 academic year place numbers in line with the published DfE high needs guidance. </t>
  </si>
  <si>
    <t>3. Indicative 2023/24 place and top up funding based on Lincolnshire's special schools formula. The format is required to determine whether the school is entitled to a per pupil local funding protection.</t>
  </si>
  <si>
    <t xml:space="preserve">5. Monetary Local Proection Funding adjustment for 2023/24. This value has been adjusted to reflect the local protection entitlements for Bands A - F. This compares the level of local protection funding the school received per band in 2022/23 against what they will receive in 2023/24. The local protection continues to be established at 0%. For local proection arrangements, schools are protected by the MFG when numbers and complexity of pupil needs remains the same (i.e. comparing like with like), therefore comparisons have been made to each band to ensure schools subject to local protection are protected on the lower of the two years band pupil numbers between 2022/23 and 2023/24, e.g. protection of existing pupils with the same needs still within the school. The school supplementary funding allocated in-year in 2022/23 (3% increase in funding) to respond to the rising costs faced by the sector has been included within the formula factors (included the bands) for 2023/24. This has not been considered within the Band Value change for local protection purposes since it was allocated in response to economic factors. </t>
  </si>
  <si>
    <t>10. 3.4% Grant Allocation:</t>
  </si>
  <si>
    <t>11. Total Indicative Place &amp; Top-up Funding (including 3.4%): Indicative Place and Top-up Funding (9) plus the 3.4% Grant Allocation (10).</t>
  </si>
  <si>
    <t xml:space="preserve">12. Site Factor - PFI Block Allocation: the PFI Block formula factor is treated outside of the place and top up funding arrangements, due to the contractual relationship entered into by the Local Authority / school. This is an allowable exception. The charge applicable to the school is equal to the PFI Block value. The PFI charge is based on the school's share of the overall floor space of the seven PFI school buildings. </t>
  </si>
  <si>
    <t>13. Site Factor - Split Site allocation: where a single school operates over two or more locations and meets the split site policy criteria, schools are entitled to funding which represents the additional costs of operating compared to being on one site.</t>
  </si>
  <si>
    <t>14. Portage (commissioned arrangements): A Memorandum of Understanding is established between the commissioned schools and Local Authority outlining the desired outcomes from this funding. The current agreement runs up until August 2023 with a review of the service currently being undertaken by Lincolnshire's Commissioning Team, in order to determine the funding arrangements from September 2023. The indicative funding allocation detailed is for the period April 2023 to August 2023. Further allocations will be made mid-year pending the outcome of the review.</t>
  </si>
  <si>
    <t xml:space="preserve">15. Outreach (commissioned arrangements): The current outreach arrangements for Physical Difficulties and Autism and learning difficulties (ALD) are due to end in August 2025. Funding allocations are therefore in place for the period April 2023 - March 2024. </t>
  </si>
  <si>
    <t>16. Residential (commissioned arrangements): commissioned funding for residential provision.</t>
  </si>
  <si>
    <t>17. Total Other Special Schools Funding Arrangements: the total funding relating to site factor arrangements and commissioned functions (notes: 12 to 16).</t>
  </si>
  <si>
    <t>18. 2023/24 Final Indicative Budget Share: Indicative 2023/24 funding (9) relating to the main special school formula factors including local protection funding where applicable, plus 3.4% additional grant allocation (10), and Other Special School funding Arrangements (17).</t>
  </si>
  <si>
    <t xml:space="preserve">19. Pre-16 Places: agreed number of school places for pre-16 provision. The 2023/24 indicative funding uses the following place numbers: April 23 - August 23 (AY 2022/23 brought forward places) and September 23 - March 24 (AY 2023/24 agreed places). Such places have been used to calculate schools banding funding. In-year commissioned funding will be applicable for schools where the net FTE pupil numbers go above the agreed place level. Top up funding is however deducted where net FTE pupil numbers are below the agreed place level, in line with ESFA principle of top up funding following the child. </t>
  </si>
  <si>
    <t>20. Post-16 Places: agreed number of school places for post-16 provision. The periods of funding are as follow: April 23 - July 23 (AY 2022/23 brought forward places), and August 23 - March 24 (AY 2023/24 agreed places). The in-year adjustments process follows the same principle as pre-16 places (see note: 17).</t>
  </si>
  <si>
    <t>21. Special school band descriptors detailing the staffing ratio's and monetary sums that determine a school banding funding and commissioned place value. The band values are based on agreed staffing to pupil ratio's. Upward funding adjustments have been made to the band values in 2023/24 to include a 3% increase in costs.</t>
  </si>
  <si>
    <t xml:space="preserve">22. Staffing and non-staffing blocks: special school fixed block allocations have been determined by the value of the overall banding funding for the school. This approach recognises the increasing fixed costs of running a larger school by having higher place pupil numbers and complexity of pupils needs. The staffing and non-staffing blocks have been built up from key cost drivers and costed, and categorised by school size. Transition points between categories of school sizes have been built in to ensure smooth transition points. 
• for 2023/24, the staffing and non-staffing cost drivers have been increased by 3% compared to 2022/23 allocations based on recognised increases to staff pay and cost of living. 
• School size thresholds have been revised upwards for 2023/24 by 3% to reflect the monetary value increases of special school bands in 2023/24.  This is to ensure a like-for-like comparison can be applied, when determining a school size, which funds the fixed costs of a school through the staffing and non-staffing blocks. </t>
  </si>
  <si>
    <t>23. Staffing and non-staffing blocks: PFI special schools are treated consistently with other special schools, however a number of costs relating to the building (such as caretaking, cleaning, repairs &amp; maintenance) are included within the schools PFI Block, therefore to avoid schools being double funded, this funding is deducted from the staffing and non-staffing block by school size. For 2023/24, the key cost drivers for both staffing and non-staffing have been increased by 3%, along with the group size thresholds (see note 22).</t>
  </si>
  <si>
    <t>MFG % difference from 2021/22 to 2023/24</t>
  </si>
  <si>
    <t>Total Indicative Funding (including Support Mechanisms)</t>
  </si>
  <si>
    <t>The medical HT delivery rate of £45 per hour will be subject to review during the Summer Term in preparation for the first claim.</t>
  </si>
  <si>
    <t>£45 hourly rate for 2h30 of direct delivery - Pending review</t>
  </si>
  <si>
    <t>Teachers' pay and pension grant remains within the band funding rates and staffing block.</t>
  </si>
  <si>
    <t xml:space="preserve">Local Authorities are required to allocate an amount that is equivalent to 3.4% of the estimated total grant funding of the school. The determination of the total grant value is based on the 2023/24 agreed place numbers and average 2022/23 top up value (including in-year supplementary funding allocated). Split-site funding is also considered within the total grant funding. This is to support costs in 2023/24. Schools can forecast to see this funding in future years, for financial planning purposes. For 2023/24, Local Authorities must separately identify these allocations, i.e. outside the schools core funding (place and top up).  </t>
  </si>
  <si>
    <t xml:space="preserve">The DfE Minimum Funding Guarantee (MFG) is +3% comparing 2021/22 funding levels to 2023/24. This is to be based on a like-for-like comparison with a specialist school’s overall budget in 2021/22. Using the 2023/24 formula factor values and 2021/22 pupil data, the total budget is required to increase by +3%. The additional 3.4% grant allocation is treated outside of this MFG calculation. This test is passed. </t>
  </si>
  <si>
    <t>Above +3% MFG assessment (based on Places numbers and Type remaining the same as 2021/22)</t>
  </si>
  <si>
    <t>Prior funding adjustments from Staffing block to avoid double funding</t>
  </si>
  <si>
    <t>Fixed costs - Pending review</t>
  </si>
  <si>
    <t>Agreed funding level</t>
  </si>
  <si>
    <t>Total Indicative Funding (including 3.4% Grant Allocation)</t>
  </si>
  <si>
    <t>DfE Minimum Funding Guarantee (+3% assessment)</t>
  </si>
  <si>
    <t>Includes illustrative Medical Home Tuition Delivery hours</t>
  </si>
  <si>
    <t>Excludes the Teachers' Pay and Pension funding previously devolved (£1,618,883 - £67,118)</t>
  </si>
  <si>
    <t>Excludes the Teachers' Pay and Pension funding previously devolved (£1,718,200 - £67,118)</t>
  </si>
  <si>
    <t>2024/25 Funding</t>
  </si>
  <si>
    <t>Band</t>
  </si>
  <si>
    <t>24/25 TA Rate</t>
  </si>
  <si>
    <t>24/25 Teacher Rate</t>
  </si>
  <si>
    <t>24/25 MDS Rate</t>
  </si>
  <si>
    <t>24/25 Band Value</t>
  </si>
  <si>
    <t>24/25 Band Value % Increase</t>
  </si>
  <si>
    <t>Based on 40 pupils accessing Free School Meals</t>
  </si>
  <si>
    <t>LCC APT&amp;C SALARY SCALES 2023-24</t>
  </si>
  <si>
    <t>NATIONAL INSURANCE RATES AS FROM 01/04/2023</t>
  </si>
  <si>
    <t>SUPERANNUATION RATE 24.1% AS FROM 01/04/2023</t>
  </si>
  <si>
    <t>PAY INCREASES FROM 01/04/2023</t>
  </si>
  <si>
    <t>NI RATES (W.E.F. 01/04/2023)</t>
  </si>
  <si>
    <t xml:space="preserve"> SUPER = 24.1% (W.E.F. 01/04/2023)</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</si>
  <si>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(13.80%)</t>
    </r>
  </si>
  <si>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(13.80%) on these </t>
    </r>
  </si>
  <si>
    <t>Agreed 2024/25 Place Numbers</t>
  </si>
  <si>
    <t>Pre-16: April 24 - August 24</t>
  </si>
  <si>
    <t>Pre-16: September 24 - March 25</t>
  </si>
  <si>
    <t>Post-16: April 24 - July 24</t>
  </si>
  <si>
    <t>Post-16: August 24 - March 25</t>
  </si>
  <si>
    <t>Banded funding up to £1.283m</t>
  </si>
  <si>
    <t>Adjusted to avoid double funding of Intervention Officer Post</t>
  </si>
  <si>
    <t>2024/25 allocation</t>
  </si>
  <si>
    <t>Based on 28 pupils accessing Free School Meals</t>
  </si>
  <si>
    <t>Banded funding up to £1.246m</t>
  </si>
  <si>
    <t>MFG % difference from 2023/24 to 2024/25</t>
  </si>
  <si>
    <t>DfE Minimum Funding Guarantee (+0% assessment)</t>
  </si>
  <si>
    <t>Above +0% MFG assessment (based on Places numbers and Type remaining the same as 2023/24)</t>
  </si>
  <si>
    <t>Continuation of DfE High Needs Additional Funding</t>
  </si>
  <si>
    <t>Total Indicative Funding (including DfE Additional Funding)</t>
  </si>
  <si>
    <t>Fixed costs</t>
  </si>
  <si>
    <t xml:space="preserve">1. Home Tuition: the Home Tuition fixed cost allocation is £122,000 for 2021/22. This is built up based on the same cost drivers: 1x Teacher - £48,962 (based on 71% of Main Scale 4-5, as per the main formula); 2x RSO's - £59,396 (based on SCP18 re-integration caseworkers); 0.4 x Admin - £8,733 (based on Administration salary within special schools staffing block); RSO’s mileage costs £3,798 (or 4,220 miles per worker), and the remaining sundries of £1,111. The Local Authority considered this to be a fair funding allocation for the activity (built up using the identified cost drivers), and funding levels have remained consistent to allow the school to plan with some level of predictability. This fixed funding allocation and identified cost drivers (and costs assigned) is a mechanism for allocating funding to the school, however it is the school that has the decision-making powers on how the funding is spent to deliver the desired outcomes and the overall governance of the activity. If the school wishes to spend more, it would need to be considered in the context of the schools overall budget and how that can be managed, which would be the case for all other schools in Lincolnshire. </t>
  </si>
  <si>
    <t xml:space="preserve">Teacher </t>
  </si>
  <si>
    <t>QUALIFIED TEACHERS SALARY SCALES 2022-23</t>
  </si>
  <si>
    <t>Schools</t>
  </si>
  <si>
    <t xml:space="preserve">Please note these figures reflect the School Teachers' Pay and Conditions Document (STPCD) released in September 2020. The STPCD now only prescribes pay ranges with minimum and maximum points. You will be aware that schools have discretion to set their own salary scales. The figures below follow the model outlined by the Local Authority which is in accordance with the STCP and implemented for all Business World schools unless the school opted to implement their own pay policy.
</t>
  </si>
  <si>
    <t>Please note these figures include the Pay Award from September 2022.</t>
  </si>
  <si>
    <t xml:space="preserve">Please note these Salary Scales include Super rates at 23.68%, which are with effect from 1 April 2022. </t>
  </si>
  <si>
    <t>Box 6.</t>
  </si>
  <si>
    <t>NI RATES (W.E.F 1/4/22)</t>
  </si>
  <si>
    <t xml:space="preserve"> SUPER = 23.68% (W.E.F 1/4/22)</t>
  </si>
  <si>
    <t xml:space="preserve"> Basic Salary (W.E.F. 1 September 2022)</t>
  </si>
  <si>
    <t>Box 7.</t>
  </si>
  <si>
    <t>In Pension Scheme</t>
  </si>
  <si>
    <t>Not In Pension Scheme</t>
  </si>
  <si>
    <t>Salary</t>
  </si>
  <si>
    <t>Super 23.68%</t>
  </si>
  <si>
    <t>PAY SPINE</t>
  </si>
  <si>
    <t xml:space="preserve">LEL - The Lower Earning Limit </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</si>
  <si>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(13.25%)</t>
    </r>
  </si>
  <si>
    <t>===========================================================================</t>
  </si>
  <si>
    <t>===============================</t>
  </si>
  <si>
    <t>UPPER PAY</t>
  </si>
  <si>
    <t>RANGE</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</si>
  <si>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(15.05%)</t>
    </r>
  </si>
  <si>
    <t>=========================================================================</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</si>
  <si>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(15.05%) on these </t>
    </r>
  </si>
  <si>
    <t>UNQUALIF.</t>
  </si>
  <si>
    <t>Unqualified</t>
  </si>
  <si>
    <t>TEACHERS</t>
  </si>
  <si>
    <t>Teachers</t>
  </si>
  <si>
    <t>Box 8.</t>
  </si>
  <si>
    <t>ADDITIONAL ALLOWANCES (RECOMMENDED)</t>
  </si>
  <si>
    <t>TEACHING AND LEARNING RESPONSIBILITY (TLR) PAYMENT 3</t>
  </si>
  <si>
    <t>TLR3</t>
  </si>
  <si>
    <t>MINIMUM</t>
  </si>
  <si>
    <t>MAXIMUM</t>
  </si>
  <si>
    <t>TEACHING AND LEARNING RESPONSIBILITY (TLR) PAYMENT 2</t>
  </si>
  <si>
    <t>TLR2</t>
  </si>
  <si>
    <t>TEACHING AND LEARNING RESPONSIBILITY (TLR) PAYMENT 1</t>
  </si>
  <si>
    <t>TLR1</t>
  </si>
  <si>
    <t>SPECIAL NEEDS 1</t>
  </si>
  <si>
    <t>SPECIAL NEEDS 2</t>
  </si>
  <si>
    <t>RSO's</t>
  </si>
  <si>
    <t xml:space="preserve">SALARY SCALES </t>
  </si>
  <si>
    <t>LINCOLN</t>
  </si>
  <si>
    <t>LCC APT&amp;C SALARY SCALES 2023/24</t>
  </si>
  <si>
    <t>£1,925 or 3.88% PAY INCREASE FOR ALL SCP for April 23 (3.88% for SCP33 and above)</t>
  </si>
  <si>
    <t>NATIONAL INSURANCE RATES AS FROM 06/11/2022</t>
  </si>
  <si>
    <t>NI RATES (W.E.F 06/11/22)</t>
  </si>
  <si>
    <t>SUPER = 24.1% (W.E.F 01/04/23)</t>
  </si>
  <si>
    <t>BAL @</t>
  </si>
  <si>
    <t xml:space="preserve">       GRADE</t>
  </si>
  <si>
    <t xml:space="preserve">  G1</t>
  </si>
  <si>
    <t>LC01</t>
  </si>
  <si>
    <t>LC02</t>
  </si>
  <si>
    <t>G2</t>
  </si>
  <si>
    <t>LC03</t>
  </si>
  <si>
    <t>LC04</t>
  </si>
  <si>
    <t>LC05</t>
  </si>
  <si>
    <t>G3</t>
  </si>
  <si>
    <t>LC06</t>
  </si>
  <si>
    <t>LC07</t>
  </si>
  <si>
    <t>LC08</t>
  </si>
  <si>
    <t>G4</t>
  </si>
  <si>
    <t>LC09</t>
  </si>
  <si>
    <t>LC10</t>
  </si>
  <si>
    <t>LC11</t>
  </si>
  <si>
    <t>G5</t>
  </si>
  <si>
    <t>LC12</t>
  </si>
  <si>
    <t>LC13</t>
  </si>
  <si>
    <t>LC14</t>
  </si>
  <si>
    <t>G6</t>
  </si>
  <si>
    <t>LC15</t>
  </si>
  <si>
    <t>LC16</t>
  </si>
  <si>
    <t>LC17</t>
  </si>
  <si>
    <t>G7</t>
  </si>
  <si>
    <t>LC18</t>
  </si>
  <si>
    <t>LC19</t>
  </si>
  <si>
    <t>LC20</t>
  </si>
  <si>
    <t>G8</t>
  </si>
  <si>
    <t>LC21</t>
  </si>
  <si>
    <t>LC22</t>
  </si>
  <si>
    <t>LC23</t>
  </si>
  <si>
    <t>G9</t>
  </si>
  <si>
    <t>LC24</t>
  </si>
  <si>
    <t>LC25</t>
  </si>
  <si>
    <t>LC26</t>
  </si>
  <si>
    <t>G10</t>
  </si>
  <si>
    <t>LC27</t>
  </si>
  <si>
    <t>LC28</t>
  </si>
  <si>
    <t>LC29</t>
  </si>
  <si>
    <t>G11</t>
  </si>
  <si>
    <t>LC30</t>
  </si>
  <si>
    <t>LC31</t>
  </si>
  <si>
    <t>LC32</t>
  </si>
  <si>
    <t>G12</t>
  </si>
  <si>
    <t>LC33</t>
  </si>
  <si>
    <t>LC34</t>
  </si>
  <si>
    <t>LC35</t>
  </si>
  <si>
    <t>G13</t>
  </si>
  <si>
    <t>LC36</t>
  </si>
  <si>
    <t>LC37</t>
  </si>
  <si>
    <t>LC38</t>
  </si>
  <si>
    <t>G14</t>
  </si>
  <si>
    <t>LC39</t>
  </si>
  <si>
    <t>LC40</t>
  </si>
  <si>
    <t>LC41</t>
  </si>
  <si>
    <t>G15</t>
  </si>
  <si>
    <t>LC42</t>
  </si>
  <si>
    <t>LC43</t>
  </si>
  <si>
    <t>LC44</t>
  </si>
  <si>
    <t>G16</t>
  </si>
  <si>
    <t>LC45</t>
  </si>
  <si>
    <t>LC46</t>
  </si>
  <si>
    <t>LC47</t>
  </si>
  <si>
    <t>LC48</t>
  </si>
  <si>
    <t>Basic</t>
  </si>
  <si>
    <t>Admin</t>
  </si>
  <si>
    <t>Mileage</t>
  </si>
  <si>
    <t>Excludes the Teachers' Pay and Pension funding previously devolved (£1,801,842 - £67,118)</t>
  </si>
  <si>
    <r>
      <t xml:space="preserve">Calculation based on </t>
    </r>
    <r>
      <rPr>
        <b/>
        <sz val="11"/>
        <color theme="1"/>
        <rFont val="Arial"/>
        <family val="2"/>
      </rPr>
      <t>£818.09 funding per place</t>
    </r>
  </si>
  <si>
    <t xml:space="preserve">A 1.02% increase in Medical Band 1 and a 5.71% increase to Medical Band 2 have been applied for 2024/25, to support specialist schools increasing costs based on latest pay scales. </t>
  </si>
  <si>
    <t xml:space="preserve">The teachers’ pay additional grant (TPAG) DfE methodology of £446 per place in 2024/25, as adopted in 2023/24 from September 2023 (£260). An additional pension grant will be made available from Government for the teachers’ pension grant, which will support the increase in costs by 5% to 28.6% from April 2024.  </t>
  </si>
  <si>
    <t xml:space="preserve">The DfE Minimum Funding Guarantee (MFG) is +0% comparing 2023/24 funding levels to 2024/25. This is to be based on a like-for-like comparison with a specialist school’s overall budget in 2023/24. Using the 2024/25 formula factor values and 2023/24 pupil data, the total budget is required to be +0%. The DfE High Needs Additional Funding allocation is treated outside of this MFG calculation. This test is passed. </t>
  </si>
  <si>
    <t>Continuation of DfE High Needs Additional Funding: Local Authorities were required to allocate an amount that is equivalent to 3.4% of the total funding of the school in 2023/24. The DfE (DSG Condition) requirement is to fund the same place amount as in 2023/24. The determination of the total funding is based on the 2024/25 agreed place numbers and 2023/24 place amount through the 3.4% methodology. Schools can forecast to see this funding in future years, for financial planning purposes, since it is essentially support core education delivery. For 2024/25, Local Authorities must continue to separate out this funding stream, i.e. outside the schools core funding (place and top up).  The additional funding is calculated by taking the 2023/24 agreed total academic place numbers multiplied by the funding per place x 5/12 plus the 2024/25 agreed total academic place numbers multiplied by the funding per place x 7/12.</t>
  </si>
  <si>
    <t xml:space="preserve">Non-Staffing block cost drivers have been inflated by 1.4%, apart from energy / utility costs. This is in line with mainstream schools formula factor increases. Energy prices has been considered between the periods December 2021 and December 2023 due to the volatility and fluctuation in energy prices experienced. 2021/22 funding levels have been increased by: electricity 27.4%; gas 38.6% and water 13.5%. Government energy price changes and CPI indices will be considered going forward as prices are expected to stabilise. Overall, non-staffing funding is increasing by 6%. </t>
  </si>
  <si>
    <t>Staffing block refinements have been adjusted for to reflect the latest 2023/24 pay 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</si>
</sst>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00"/>
    <numFmt numFmtId="166" formatCode="0_)"/>
    <numFmt numFmtId="167" formatCode="_(&quot;$&quot;* #,##0.00_);_(&quot;$&quot;* \(#,##0.00\);_(&quot;$&quot;* &quot;-&quot;??_);_(@_)"/>
    <numFmt numFmtId="168" formatCode="0000"/>
    <numFmt numFmtId="169" formatCode="0.00_)"/>
    <numFmt numFmtId="170" formatCode="0.0000_)"/>
    <numFmt numFmtId="171" formatCode="0.0"/>
    <numFmt numFmtId="172" formatCode="General_)"/>
    <numFmt numFmtId="173" formatCode="0.0%"/>
    <numFmt numFmtId="174" formatCode="_-* #,##0_-;\-* #,##0_-;_-* &quot;-&quot;??_-;_-@_-"/>
  </numFmts>
  <fonts count="81" x14ac:knownFonts="1">
    <font>
      <sz val="11"/>
      <color theme="1"/>
      <name val="Calibri"/>
      <family val="2"/>
      <scheme val="minor"/>
    </font>
    <font>
      <sz val="11"/>
      <color theme="1"/>
      <name val="Calibri"/>
      <family val="2"/>
      <scheme val="minor"/>
    </font>
    <font>
      <sz val="10"/>
      <name val="MS Sans Serif"/>
      <family val="2"/>
    </font>
    <font>
      <u/>
      <sz val="11"/>
      <name val="Arial"/>
      <family val="2"/>
    </font>
    <font>
      <b/>
      <sz val="11"/>
      <name val="Arial"/>
      <family val="2"/>
    </font>
    <font>
      <sz val="11"/>
      <name val="Arial"/>
      <family val="2"/>
    </font>
    <font>
      <i/>
      <sz val="11"/>
      <name val="Arial"/>
      <family val="2"/>
    </font>
    <font>
      <sz val="10"/>
      <name val="Arial"/>
      <family val="2"/>
    </font>
    <font>
      <sz val="11"/>
      <color indexed="8"/>
      <name val="Calibri"/>
      <family val="2"/>
    </font>
    <font>
      <sz val="10"/>
      <color indexed="21"/>
      <name val="System"/>
      <family val="2"/>
    </font>
    <font>
      <sz val="9"/>
      <color indexed="18"/>
      <name val="Arial"/>
      <family val="2"/>
    </font>
    <font>
      <b/>
      <sz val="10"/>
      <name val="Arial"/>
      <family val="2"/>
    </font>
    <font>
      <b/>
      <sz val="8"/>
      <name val="Arial"/>
      <family val="2"/>
    </font>
    <font>
      <sz val="8"/>
      <name val="Arial"/>
      <family val="2"/>
    </font>
    <font>
      <sz val="10"/>
      <color indexed="18"/>
      <name val="System"/>
      <family val="2"/>
    </font>
    <font>
      <i/>
      <sz val="10"/>
      <color indexed="17"/>
      <name val="System"/>
      <family val="2"/>
    </font>
    <font>
      <sz val="10"/>
      <name val="Arial"/>
      <family val="2"/>
    </font>
    <font>
      <sz val="10"/>
      <color theme="1"/>
      <name val="Arial"/>
      <family val="2"/>
    </font>
    <font>
      <sz val="10"/>
      <name val="Courier"/>
      <family val="3"/>
    </font>
    <font>
      <sz val="11"/>
      <name val="Calibri"/>
      <family val="2"/>
    </font>
    <font>
      <sz val="10"/>
      <color indexed="14"/>
      <name val="System"/>
      <family val="2"/>
    </font>
    <font>
      <b/>
      <sz val="10"/>
      <color indexed="8"/>
      <name val="Times New Roman"/>
      <family val="1"/>
    </font>
    <font>
      <b/>
      <sz val="10"/>
      <name val="Times New Roman"/>
      <family val="1"/>
    </font>
    <font>
      <i/>
      <sz val="10"/>
      <name val="Times New Roman"/>
      <family val="1"/>
    </font>
    <font>
      <sz val="10"/>
      <color indexed="8"/>
      <name val="Arial"/>
      <family val="2"/>
    </font>
    <font>
      <sz val="19"/>
      <name val="Times New Roman"/>
      <family val="1"/>
    </font>
    <font>
      <sz val="9"/>
      <name val="Arial"/>
      <family val="2"/>
    </font>
    <font>
      <sz val="10"/>
      <color indexed="17"/>
      <name val="System"/>
      <family val="2"/>
    </font>
    <font>
      <b/>
      <sz val="11"/>
      <color theme="1"/>
      <name val="Arial"/>
      <family val="2"/>
    </font>
    <font>
      <sz val="11"/>
      <color theme="1"/>
      <name val="Arial"/>
      <family val="2"/>
    </font>
    <font>
      <i/>
      <sz val="11"/>
      <color theme="1"/>
      <name val="Arial"/>
      <family val="2"/>
    </font>
    <font>
      <u/>
      <sz val="11"/>
      <color theme="1"/>
      <name val="Arial"/>
      <family val="2"/>
    </font>
    <font>
      <i/>
      <u/>
      <sz val="11"/>
      <name val="Arial"/>
      <family val="2"/>
    </font>
    <font>
      <i/>
      <sz val="11"/>
      <color rgb="FFFF0000"/>
      <name val="Arial"/>
      <family val="2"/>
    </font>
    <font>
      <sz val="11"/>
      <color rgb="FFFF0000"/>
      <name val="Arial"/>
      <family val="2"/>
    </font>
    <font>
      <i/>
      <sz val="11"/>
      <color rgb="FF0070C0"/>
      <name val="Arial"/>
      <family val="2"/>
    </font>
    <font>
      <sz val="11"/>
      <color rgb="FF0070C0"/>
      <name val="Arial"/>
      <family val="2"/>
    </font>
    <font>
      <b/>
      <sz val="12"/>
      <name val="Calibri"/>
      <family val="2"/>
      <scheme val="minor"/>
    </font>
    <font>
      <sz val="12"/>
      <name val="Calibri"/>
      <family val="2"/>
      <scheme val="minor"/>
    </font>
    <font>
      <b/>
      <sz val="12"/>
      <color indexed="12"/>
      <name val="Calibri"/>
      <family val="2"/>
      <scheme val="minor"/>
    </font>
    <font>
      <u/>
      <sz val="12"/>
      <name val="Calibri"/>
      <family val="2"/>
      <scheme val="minor"/>
    </font>
    <font>
      <i/>
      <sz val="12"/>
      <name val="Calibri"/>
      <family val="2"/>
      <scheme val="minor"/>
    </font>
    <font>
      <sz val="12"/>
      <color rgb="FFFF0000"/>
      <name val="Calibri"/>
      <family val="2"/>
      <scheme val="minor"/>
    </font>
    <font>
      <i/>
      <u/>
      <sz val="12"/>
      <name val="Calibri"/>
      <family val="2"/>
      <scheme val="minor"/>
    </font>
    <font>
      <i/>
      <sz val="12"/>
      <color rgb="FFFF0000"/>
      <name val="Calibri"/>
      <family val="2"/>
      <scheme val="minor"/>
    </font>
    <font>
      <i/>
      <sz val="12"/>
      <color theme="1"/>
      <name val="Calibri"/>
      <family val="2"/>
      <scheme val="minor"/>
    </font>
    <font>
      <b/>
      <u/>
      <sz val="12"/>
      <name val="Calibri"/>
      <family val="2"/>
      <scheme val="minor"/>
    </font>
    <font>
      <sz val="12"/>
      <color theme="1"/>
      <name val="Calibri"/>
      <family val="2"/>
      <scheme val="minor"/>
    </font>
    <font>
      <b/>
      <i/>
      <sz val="12"/>
      <color rgb="FFFF0000"/>
      <name val="Calibri"/>
      <family val="2"/>
      <scheme val="minor"/>
    </font>
    <font>
      <sz val="10"/>
      <name val="Times New Roman"/>
      <family val="1"/>
    </font>
    <font>
      <sz val="12"/>
      <name val="Arial"/>
      <family val="2"/>
    </font>
    <font>
      <b/>
      <sz val="16"/>
      <name val="Arial"/>
      <family val="2"/>
    </font>
    <font>
      <b/>
      <sz val="12"/>
      <name val="Arial"/>
      <family val="2"/>
    </font>
    <font>
      <sz val="12"/>
      <name val="Arial Black"/>
      <family val="2"/>
    </font>
    <font>
      <sz val="10"/>
      <name val="Arial Black"/>
      <family val="2"/>
    </font>
    <font>
      <sz val="14"/>
      <name val="Arial"/>
      <family val="2"/>
    </font>
    <font>
      <sz val="12"/>
      <color rgb="FFFF0000"/>
      <name val="Arial"/>
      <family val="2"/>
    </font>
    <font>
      <u/>
      <sz val="10"/>
      <name val="Arial"/>
      <family val="2"/>
    </font>
    <font>
      <b/>
      <sz val="10"/>
      <color theme="1"/>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10"/>
      <color rgb="FFFF0000"/>
      <name val="Arial"/>
      <family val="2"/>
    </font>
    <font>
      <sz val="10"/>
      <name val="Arial"/>
      <family val="2"/>
    </font>
    <font>
      <b/>
      <sz val="11"/>
      <color theme="1"/>
      <name val="Calibri"/>
      <family val="2"/>
      <scheme val="minor"/>
    </font>
    <font>
      <b/>
      <u/>
      <sz val="11"/>
      <color theme="1"/>
      <name val="Calibri"/>
      <family val="2"/>
      <scheme val="minor"/>
    </font>
    <font>
      <sz val="11"/>
      <color rgb="FF0B0C0C"/>
      <name val="Arial"/>
      <family val="2"/>
    </font>
    <font>
      <b/>
      <u/>
      <sz val="10"/>
      <name val="Arial"/>
      <family val="2"/>
    </font>
    <font>
      <b/>
      <sz val="10"/>
      <color rgb="FFFF0000"/>
      <name val="Arial"/>
      <family val="2"/>
    </font>
    <font>
      <b/>
      <sz val="11"/>
      <color theme="0"/>
      <name val="Arial"/>
      <family val="2"/>
    </font>
    <font>
      <b/>
      <sz val="10"/>
      <name val="Courier"/>
      <family val="3"/>
    </font>
    <font>
      <sz val="8"/>
      <name val="Arial Black"/>
      <family val="2"/>
    </font>
    <font>
      <sz val="12"/>
      <name val="Courier"/>
      <family val="3"/>
    </font>
    <font>
      <b/>
      <sz val="18"/>
      <name val="Arial"/>
      <family val="2"/>
    </font>
    <font>
      <sz val="12"/>
      <color rgb="FF99CC00"/>
      <name val="Arial"/>
      <family val="2"/>
    </font>
    <font>
      <i/>
      <sz val="16"/>
      <name val="Arial"/>
      <family val="2"/>
    </font>
    <font>
      <sz val="12"/>
      <color rgb="FFFFFF00"/>
      <name val="Arial"/>
      <family val="2"/>
    </font>
    <font>
      <b/>
      <sz val="16"/>
      <name val="Arial Black"/>
      <family val="2"/>
    </font>
    <font>
      <b/>
      <sz val="12"/>
      <name val="Arial Black"/>
      <family val="2"/>
    </font>
    <font>
      <b/>
      <sz val="10"/>
      <name val="Arial Black"/>
      <family val="2"/>
    </font>
  </fonts>
  <fills count="21">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theme="2"/>
        <bgColor indexed="64"/>
      </patternFill>
    </fill>
    <fill>
      <patternFill patternType="solid">
        <fgColor indexed="47"/>
        <bgColor indexed="64"/>
      </patternFill>
    </fill>
    <fill>
      <patternFill patternType="solid">
        <fgColor rgb="FF00FF00"/>
        <bgColor rgb="FF000000"/>
      </patternFill>
    </fill>
    <fill>
      <patternFill patternType="solid">
        <fgColor rgb="FF99CC00"/>
        <bgColor rgb="FF000000"/>
      </patternFill>
    </fill>
    <fill>
      <patternFill patternType="solid">
        <fgColor rgb="FFC0C0C0"/>
        <bgColor rgb="FF000000"/>
      </patternFill>
    </fill>
    <fill>
      <patternFill patternType="solid">
        <fgColor rgb="FFCCFFCC"/>
        <bgColor rgb="FF000000"/>
      </patternFill>
    </fill>
  </fills>
  <borders count="74">
    <border>
      <left/>
      <right/>
      <top/>
      <bottom/>
      <diagonal/>
    </border>
    <border>
      <left/>
      <right/>
      <top style="thin">
        <color indexed="64"/>
      </top>
      <bottom style="thin">
        <color indexed="64"/>
      </bottom>
      <diagonal/>
    </border>
    <border>
      <left/>
      <right/>
      <top style="thin">
        <color indexed="13"/>
      </top>
      <bottom style="thin">
        <color indexed="13"/>
      </bottom>
      <diagonal/>
    </border>
    <border>
      <left/>
      <right style="medium">
        <color indexed="33"/>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medium">
        <color indexed="64"/>
      </bottom>
      <diagonal/>
    </border>
    <border>
      <left style="thick">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ck">
        <color indexed="64"/>
      </bottom>
      <diagonal/>
    </border>
    <border>
      <left style="medium">
        <color indexed="64"/>
      </left>
      <right/>
      <top style="thick">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s>
  <cellStyleXfs count="68">
    <xf numFmtId="0" fontId="0"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protection locked="0"/>
    </xf>
    <xf numFmtId="1" fontId="10" fillId="0" borderId="0" applyNumberFormat="0" applyFill="0" applyBorder="0" applyAlignment="0" applyProtection="0"/>
    <xf numFmtId="0" fontId="11" fillId="0" borderId="0">
      <alignment horizontal="right" vertical="top"/>
    </xf>
    <xf numFmtId="0" fontId="12" fillId="0" borderId="0">
      <alignment horizontal="center" vertical="center" wrapText="1"/>
    </xf>
    <xf numFmtId="0" fontId="13" fillId="0" borderId="1">
      <alignment horizontal="center" vertical="center" wrapText="1"/>
    </xf>
    <xf numFmtId="0" fontId="13" fillId="0" borderId="1">
      <alignment horizontal="center" vertical="center" wrapText="1"/>
    </xf>
    <xf numFmtId="0" fontId="12" fillId="0" borderId="0">
      <alignment horizontal="left" wrapText="1"/>
    </xf>
    <xf numFmtId="1" fontId="14" fillId="0" borderId="0" applyNumberFormat="0" applyFill="0" applyBorder="0" applyAlignment="0" applyProtection="0"/>
    <xf numFmtId="0" fontId="13" fillId="0" borderId="0">
      <alignment horizontal="left" vertical="center"/>
    </xf>
    <xf numFmtId="0" fontId="13" fillId="0" borderId="0">
      <alignment horizontal="left" vertical="center"/>
    </xf>
    <xf numFmtId="0" fontId="13" fillId="0" borderId="0">
      <alignment horizontal="center" vertical="center"/>
    </xf>
    <xf numFmtId="0" fontId="13" fillId="0" borderId="0">
      <alignment horizontal="center" vertical="center"/>
    </xf>
    <xf numFmtId="10" fontId="15" fillId="0" borderId="2" applyFill="0" applyAlignment="0" applyProtection="0">
      <protection locked="0"/>
    </xf>
    <xf numFmtId="0" fontId="16" fillId="0" borderId="0"/>
    <xf numFmtId="0" fontId="17" fillId="0" borderId="0"/>
    <xf numFmtId="0" fontId="7" fillId="0" borderId="0"/>
    <xf numFmtId="0" fontId="7" fillId="0" borderId="0"/>
    <xf numFmtId="0" fontId="7" fillId="0" borderId="0" applyNumberFormat="0" applyFill="0" applyBorder="0" applyAlignment="0" applyProtection="0"/>
    <xf numFmtId="0" fontId="7" fillId="0" borderId="0"/>
    <xf numFmtId="0" fontId="1" fillId="0" borderId="0"/>
    <xf numFmtId="0" fontId="7" fillId="0" borderId="0"/>
    <xf numFmtId="166" fontId="18" fillId="0" borderId="0"/>
    <xf numFmtId="0" fontId="1" fillId="0" borderId="0"/>
    <xf numFmtId="0" fontId="19" fillId="0" borderId="0"/>
    <xf numFmtId="0" fontId="7" fillId="0" borderId="0"/>
    <xf numFmtId="166" fontId="18" fillId="0" borderId="0"/>
    <xf numFmtId="0" fontId="1" fillId="0" borderId="0"/>
    <xf numFmtId="0" fontId="1" fillId="0" borderId="0"/>
    <xf numFmtId="0" fontId="7" fillId="0" borderId="0"/>
    <xf numFmtId="0" fontId="5" fillId="0" borderId="0"/>
    <xf numFmtId="3" fontId="13" fillId="0" borderId="0">
      <alignment horizontal="right"/>
    </xf>
    <xf numFmtId="3" fontId="13" fillId="0" borderId="0">
      <alignment horizontal="right"/>
    </xf>
    <xf numFmtId="1" fontId="20" fillId="0" borderId="3" applyNumberFormat="0" applyFill="0" applyBorder="0" applyAlignment="0" applyProtection="0"/>
    <xf numFmtId="4" fontId="21" fillId="0" borderId="4" applyNumberFormat="0" applyProtection="0">
      <alignment vertical="center"/>
    </xf>
    <xf numFmtId="4" fontId="21" fillId="0" borderId="5" applyNumberFormat="0" applyProtection="0">
      <alignment horizontal="centerContinuous" vertical="center"/>
    </xf>
    <xf numFmtId="0" fontId="22" fillId="0" borderId="6" applyNumberFormat="0" applyProtection="0">
      <alignment vertical="center"/>
    </xf>
    <xf numFmtId="0" fontId="22" fillId="0" borderId="7" applyNumberFormat="0" applyProtection="0">
      <alignment horizontal="left" vertical="center" indent="1"/>
    </xf>
    <xf numFmtId="0" fontId="23" fillId="0" borderId="7" applyNumberFormat="0" applyProtection="0">
      <alignment horizontal="left" vertical="center" indent="1"/>
    </xf>
    <xf numFmtId="4" fontId="24" fillId="0" borderId="0" applyNumberFormat="0" applyProtection="0">
      <alignment horizontal="left" vertical="center" indent="1"/>
    </xf>
    <xf numFmtId="0" fontId="21" fillId="0" borderId="8" applyNumberFormat="0" applyProtection="0">
      <alignment horizontal="right" vertical="top" wrapText="1"/>
    </xf>
    <xf numFmtId="4" fontId="25" fillId="0" borderId="9" applyNumberFormat="0" applyProtection="0">
      <alignment horizontal="left" vertical="center" indent="1"/>
    </xf>
    <xf numFmtId="0" fontId="7" fillId="0" borderId="0"/>
    <xf numFmtId="0" fontId="13" fillId="0" borderId="10" applyBorder="0">
      <alignment horizontal="right"/>
    </xf>
    <xf numFmtId="167" fontId="7" fillId="0" borderId="0"/>
    <xf numFmtId="167" fontId="7" fillId="0" borderId="0"/>
    <xf numFmtId="167" fontId="7" fillId="0" borderId="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49" fillId="0" borderId="0"/>
    <xf numFmtId="9" fontId="7" fillId="0" borderId="0" applyFont="0" applyFill="0" applyBorder="0" applyAlignment="0" applyProtection="0"/>
    <xf numFmtId="9" fontId="1" fillId="0" borderId="0" applyFont="0" applyFill="0" applyBorder="0" applyAlignment="0" applyProtection="0"/>
    <xf numFmtId="0" fontId="64" fillId="0" borderId="0"/>
  </cellStyleXfs>
  <cellXfs count="697">
    <xf numFmtId="0" fontId="0" fillId="0" borderId="0" xfId="0"/>
    <xf numFmtId="0" fontId="3" fillId="0" borderId="0" xfId="1" applyFont="1" applyProtection="1">
      <protection hidden="1"/>
    </xf>
    <xf numFmtId="0" fontId="4" fillId="0" borderId="0" xfId="1" applyFont="1" applyAlignment="1" applyProtection="1">
      <alignment horizontal="center"/>
      <protection hidden="1"/>
    </xf>
    <xf numFmtId="0" fontId="5" fillId="0" borderId="0" xfId="1" applyFont="1" applyProtection="1">
      <protection hidden="1"/>
    </xf>
    <xf numFmtId="0" fontId="5" fillId="0" borderId="0" xfId="1" applyFont="1" applyAlignment="1" applyProtection="1">
      <alignment horizontal="center"/>
      <protection hidden="1"/>
    </xf>
    <xf numFmtId="0" fontId="4" fillId="0" borderId="0" xfId="1" applyFont="1" applyProtection="1">
      <protection hidden="1"/>
    </xf>
    <xf numFmtId="0" fontId="5" fillId="0" borderId="0" xfId="1" applyFont="1" applyAlignment="1" applyProtection="1">
      <alignment horizontal="left"/>
      <protection hidden="1"/>
    </xf>
    <xf numFmtId="0" fontId="6" fillId="0" borderId="0" xfId="1" applyFont="1" applyProtection="1">
      <protection hidden="1"/>
    </xf>
    <xf numFmtId="0" fontId="28" fillId="0" borderId="0" xfId="0" applyFont="1"/>
    <xf numFmtId="0" fontId="29" fillId="0" borderId="0" xfId="0" applyFont="1"/>
    <xf numFmtId="0" fontId="29" fillId="0" borderId="0" xfId="0" applyFont="1" applyAlignment="1">
      <alignment horizontal="center"/>
    </xf>
    <xf numFmtId="164" fontId="29" fillId="0" borderId="0" xfId="0" applyNumberFormat="1" applyFont="1" applyAlignment="1">
      <alignment horizontal="center"/>
    </xf>
    <xf numFmtId="164" fontId="29" fillId="0" borderId="0" xfId="0" applyNumberFormat="1" applyFont="1" applyAlignment="1" applyProtection="1">
      <alignment horizontal="center"/>
      <protection hidden="1"/>
    </xf>
    <xf numFmtId="164" fontId="28" fillId="0" borderId="0" xfId="0" applyNumberFormat="1" applyFont="1" applyAlignment="1">
      <alignment horizontal="center"/>
    </xf>
    <xf numFmtId="165" fontId="29" fillId="0" borderId="0" xfId="0" applyNumberFormat="1" applyFont="1"/>
    <xf numFmtId="164" fontId="29" fillId="0" borderId="0" xfId="0" applyNumberFormat="1" applyFont="1"/>
    <xf numFmtId="164" fontId="28" fillId="0" borderId="1" xfId="0" applyNumberFormat="1" applyFont="1" applyBorder="1" applyAlignment="1">
      <alignment horizontal="center"/>
    </xf>
    <xf numFmtId="0" fontId="29" fillId="0" borderId="0" xfId="0" applyFont="1" applyAlignment="1">
      <alignment horizontal="left"/>
    </xf>
    <xf numFmtId="164" fontId="30" fillId="0" borderId="0" xfId="0" applyNumberFormat="1" applyFont="1" applyAlignment="1">
      <alignment horizontal="center"/>
    </xf>
    <xf numFmtId="0" fontId="31" fillId="0" borderId="0" xfId="0" applyFont="1"/>
    <xf numFmtId="164" fontId="29" fillId="0" borderId="0" xfId="0" applyNumberFormat="1" applyFont="1" applyAlignment="1">
      <alignment horizontal="center" wrapText="1"/>
    </xf>
    <xf numFmtId="0" fontId="6" fillId="0" borderId="11" xfId="1" applyFont="1" applyBorder="1" applyProtection="1">
      <protection hidden="1"/>
    </xf>
    <xf numFmtId="164" fontId="30" fillId="0" borderId="12" xfId="0" applyNumberFormat="1" applyFont="1" applyBorder="1" applyAlignment="1">
      <alignment horizontal="center"/>
    </xf>
    <xf numFmtId="0" fontId="6" fillId="0" borderId="13" xfId="1" applyFont="1" applyBorder="1" applyProtection="1">
      <protection hidden="1"/>
    </xf>
    <xf numFmtId="164" fontId="6" fillId="0" borderId="14" xfId="41" applyNumberFormat="1" applyFont="1" applyBorder="1" applyAlignment="1">
      <alignment horizontal="center"/>
    </xf>
    <xf numFmtId="0" fontId="6" fillId="0" borderId="15" xfId="1" applyFont="1" applyBorder="1" applyProtection="1">
      <protection hidden="1"/>
    </xf>
    <xf numFmtId="3" fontId="29" fillId="0" borderId="0" xfId="0" applyNumberFormat="1" applyFont="1" applyAlignment="1">
      <alignment horizontal="center"/>
    </xf>
    <xf numFmtId="0" fontId="4" fillId="0" borderId="17" xfId="1" applyFont="1" applyBorder="1" applyAlignment="1" applyProtection="1">
      <alignment horizontal="left"/>
      <protection hidden="1"/>
    </xf>
    <xf numFmtId="0" fontId="4" fillId="0" borderId="18" xfId="0" applyFont="1" applyBorder="1" applyAlignment="1" applyProtection="1">
      <alignment horizontal="center"/>
      <protection hidden="1"/>
    </xf>
    <xf numFmtId="0" fontId="5" fillId="0" borderId="19" xfId="0" applyFont="1" applyBorder="1" applyProtection="1">
      <protection hidden="1"/>
    </xf>
    <xf numFmtId="0" fontId="1" fillId="0" borderId="20" xfId="0" applyFont="1" applyBorder="1" applyAlignment="1" applyProtection="1">
      <alignment horizontal="center"/>
      <protection hidden="1"/>
    </xf>
    <xf numFmtId="0" fontId="5" fillId="0" borderId="19" xfId="1" applyFont="1" applyBorder="1" applyAlignment="1" applyProtection="1">
      <alignment horizontal="left"/>
      <protection hidden="1"/>
    </xf>
    <xf numFmtId="3" fontId="5" fillId="0" borderId="20" xfId="1" applyNumberFormat="1" applyFont="1" applyBorder="1" applyAlignment="1" applyProtection="1">
      <alignment horizontal="center"/>
      <protection hidden="1"/>
    </xf>
    <xf numFmtId="0" fontId="5" fillId="0" borderId="21" xfId="1" applyFont="1" applyBorder="1" applyAlignment="1" applyProtection="1">
      <alignment horizontal="left"/>
      <protection hidden="1"/>
    </xf>
    <xf numFmtId="3" fontId="5" fillId="0" borderId="22" xfId="1" applyNumberFormat="1" applyFont="1" applyBorder="1" applyAlignment="1" applyProtection="1">
      <alignment horizontal="center"/>
      <protection hidden="1"/>
    </xf>
    <xf numFmtId="0" fontId="5" fillId="2" borderId="0" xfId="1" applyFont="1" applyFill="1" applyProtection="1">
      <protection hidden="1"/>
    </xf>
    <xf numFmtId="164" fontId="29" fillId="2" borderId="0" xfId="0" applyNumberFormat="1" applyFont="1" applyFill="1" applyAlignment="1">
      <alignment horizontal="center"/>
    </xf>
    <xf numFmtId="164" fontId="29" fillId="2" borderId="0" xfId="0" applyNumberFormat="1" applyFont="1" applyFill="1" applyAlignment="1" applyProtection="1">
      <alignment horizontal="center"/>
      <protection hidden="1"/>
    </xf>
    <xf numFmtId="164" fontId="29" fillId="0" borderId="23" xfId="0" applyNumberFormat="1" applyFont="1" applyBorder="1" applyAlignment="1">
      <alignment horizontal="center"/>
    </xf>
    <xf numFmtId="164" fontId="33" fillId="0" borderId="0" xfId="0" applyNumberFormat="1" applyFont="1" applyAlignment="1">
      <alignment horizontal="center"/>
    </xf>
    <xf numFmtId="164" fontId="34" fillId="0" borderId="0" xfId="0" applyNumberFormat="1" applyFont="1" applyAlignment="1">
      <alignment horizontal="center"/>
    </xf>
    <xf numFmtId="164" fontId="5" fillId="0" borderId="0" xfId="0" applyNumberFormat="1" applyFont="1" applyAlignment="1">
      <alignment horizontal="center"/>
    </xf>
    <xf numFmtId="164" fontId="35" fillId="0" borderId="0" xfId="0" applyNumberFormat="1" applyFont="1" applyAlignment="1">
      <alignment horizontal="center"/>
    </xf>
    <xf numFmtId="0" fontId="38" fillId="0" borderId="0" xfId="1" applyFont="1" applyAlignment="1" applyProtection="1">
      <alignment horizontal="left"/>
      <protection hidden="1"/>
    </xf>
    <xf numFmtId="168" fontId="37" fillId="0" borderId="0" xfId="1" applyNumberFormat="1" applyFont="1" applyAlignment="1" applyProtection="1">
      <alignment horizontal="left"/>
      <protection hidden="1"/>
    </xf>
    <xf numFmtId="0" fontId="38" fillId="3" borderId="0" xfId="1" applyFont="1" applyFill="1" applyAlignment="1" applyProtection="1">
      <alignment horizontal="left"/>
      <protection locked="0" hidden="1"/>
    </xf>
    <xf numFmtId="0" fontId="37" fillId="0" borderId="0" xfId="1" applyFont="1" applyProtection="1">
      <protection hidden="1"/>
    </xf>
    <xf numFmtId="3" fontId="38" fillId="0" borderId="0" xfId="1" applyNumberFormat="1" applyFont="1" applyAlignment="1" applyProtection="1">
      <alignment horizontal="left"/>
      <protection hidden="1"/>
    </xf>
    <xf numFmtId="0" fontId="40" fillId="0" borderId="0" xfId="1" applyFont="1" applyAlignment="1" applyProtection="1">
      <alignment horizontal="left"/>
      <protection hidden="1"/>
    </xf>
    <xf numFmtId="164" fontId="38" fillId="0" borderId="0" xfId="1" applyNumberFormat="1" applyFont="1" applyAlignment="1" applyProtection="1">
      <alignment horizontal="left"/>
      <protection hidden="1"/>
    </xf>
    <xf numFmtId="6" fontId="38" fillId="0" borderId="0" xfId="1" applyNumberFormat="1" applyFont="1" applyAlignment="1" applyProtection="1">
      <alignment horizontal="left"/>
      <protection hidden="1"/>
    </xf>
    <xf numFmtId="164" fontId="38" fillId="4" borderId="0" xfId="1" applyNumberFormat="1" applyFont="1" applyFill="1" applyAlignment="1" applyProtection="1">
      <alignment horizontal="left"/>
      <protection hidden="1"/>
    </xf>
    <xf numFmtId="164" fontId="38" fillId="0" borderId="1" xfId="1" applyNumberFormat="1" applyFont="1" applyBorder="1" applyAlignment="1" applyProtection="1">
      <alignment horizontal="left"/>
      <protection hidden="1"/>
    </xf>
    <xf numFmtId="164" fontId="37" fillId="0" borderId="0" xfId="1" applyNumberFormat="1" applyFont="1" applyAlignment="1" applyProtection="1">
      <alignment horizontal="left"/>
      <protection hidden="1"/>
    </xf>
    <xf numFmtId="165" fontId="38" fillId="0" borderId="0" xfId="1" applyNumberFormat="1" applyFont="1" applyAlignment="1" applyProtection="1">
      <alignment horizontal="left"/>
      <protection hidden="1"/>
    </xf>
    <xf numFmtId="1" fontId="38" fillId="0" borderId="0" xfId="1" applyNumberFormat="1" applyFont="1" applyAlignment="1" applyProtection="1">
      <alignment horizontal="left"/>
      <protection hidden="1"/>
    </xf>
    <xf numFmtId="0" fontId="42" fillId="0" borderId="0" xfId="1" applyFont="1" applyAlignment="1" applyProtection="1">
      <alignment horizontal="left"/>
      <protection hidden="1"/>
    </xf>
    <xf numFmtId="0" fontId="41" fillId="0" borderId="0" xfId="1" applyFont="1" applyAlignment="1" applyProtection="1">
      <alignment horizontal="left"/>
      <protection hidden="1"/>
    </xf>
    <xf numFmtId="164" fontId="41" fillId="5" borderId="0" xfId="1" applyNumberFormat="1" applyFont="1" applyFill="1" applyAlignment="1" applyProtection="1">
      <alignment horizontal="left"/>
      <protection hidden="1"/>
    </xf>
    <xf numFmtId="164" fontId="38" fillId="0" borderId="0" xfId="1" applyNumberFormat="1" applyFont="1" applyAlignment="1" applyProtection="1">
      <alignment horizontal="left" wrapText="1"/>
      <protection hidden="1"/>
    </xf>
    <xf numFmtId="164" fontId="37" fillId="0" borderId="1" xfId="1" applyNumberFormat="1" applyFont="1" applyBorder="1" applyAlignment="1" applyProtection="1">
      <alignment horizontal="left"/>
      <protection hidden="1"/>
    </xf>
    <xf numFmtId="0" fontId="37" fillId="0" borderId="25" xfId="1" applyFont="1" applyBorder="1" applyAlignment="1" applyProtection="1">
      <alignment horizontal="left"/>
      <protection hidden="1"/>
    </xf>
    <xf numFmtId="0" fontId="37" fillId="0" borderId="26" xfId="1" applyFont="1" applyBorder="1" applyAlignment="1" applyProtection="1">
      <alignment horizontal="left"/>
      <protection hidden="1"/>
    </xf>
    <xf numFmtId="0" fontId="37" fillId="0" borderId="17" xfId="1" applyFont="1" applyBorder="1" applyAlignment="1" applyProtection="1">
      <alignment horizontal="left"/>
      <protection hidden="1"/>
    </xf>
    <xf numFmtId="164" fontId="38" fillId="0" borderId="27" xfId="1" applyNumberFormat="1" applyFont="1" applyBorder="1" applyAlignment="1" applyProtection="1">
      <alignment horizontal="left"/>
      <protection hidden="1"/>
    </xf>
    <xf numFmtId="164" fontId="37" fillId="0" borderId="18" xfId="1" applyNumberFormat="1" applyFont="1" applyBorder="1" applyAlignment="1" applyProtection="1">
      <alignment horizontal="left"/>
      <protection hidden="1"/>
    </xf>
    <xf numFmtId="164" fontId="38" fillId="0" borderId="19" xfId="1" applyNumberFormat="1" applyFont="1" applyBorder="1" applyAlignment="1" applyProtection="1">
      <alignment horizontal="left"/>
      <protection hidden="1"/>
    </xf>
    <xf numFmtId="164" fontId="38" fillId="0" borderId="4" xfId="1" applyNumberFormat="1" applyFont="1" applyBorder="1" applyAlignment="1" applyProtection="1">
      <alignment horizontal="left"/>
      <protection hidden="1"/>
    </xf>
    <xf numFmtId="9" fontId="37" fillId="0" borderId="20" xfId="1" applyNumberFormat="1" applyFont="1" applyBorder="1" applyAlignment="1" applyProtection="1">
      <alignment horizontal="left"/>
      <protection hidden="1"/>
    </xf>
    <xf numFmtId="164" fontId="41" fillId="0" borderId="0" xfId="41" applyNumberFormat="1" applyFont="1" applyAlignment="1">
      <alignment horizontal="left"/>
    </xf>
    <xf numFmtId="0" fontId="38" fillId="0" borderId="19" xfId="1" applyFont="1" applyBorder="1" applyAlignment="1" applyProtection="1">
      <alignment horizontal="left"/>
      <protection hidden="1"/>
    </xf>
    <xf numFmtId="3" fontId="38" fillId="0" borderId="20" xfId="1" applyNumberFormat="1" applyFont="1" applyBorder="1" applyAlignment="1" applyProtection="1">
      <alignment horizontal="left"/>
      <protection hidden="1"/>
    </xf>
    <xf numFmtId="164" fontId="38" fillId="0" borderId="28" xfId="1" applyNumberFormat="1" applyFont="1" applyBorder="1" applyAlignment="1" applyProtection="1">
      <alignment horizontal="left"/>
      <protection hidden="1"/>
    </xf>
    <xf numFmtId="164" fontId="38" fillId="0" borderId="29" xfId="1" applyNumberFormat="1" applyFont="1" applyBorder="1" applyAlignment="1" applyProtection="1">
      <alignment horizontal="left"/>
      <protection hidden="1"/>
    </xf>
    <xf numFmtId="9" fontId="37" fillId="0" borderId="30" xfId="1" applyNumberFormat="1" applyFont="1" applyBorder="1" applyAlignment="1" applyProtection="1">
      <alignment horizontal="left"/>
      <protection hidden="1"/>
    </xf>
    <xf numFmtId="164" fontId="38" fillId="0" borderId="31" xfId="1" applyNumberFormat="1" applyFont="1" applyBorder="1" applyAlignment="1" applyProtection="1">
      <alignment horizontal="left"/>
      <protection hidden="1"/>
    </xf>
    <xf numFmtId="164" fontId="38" fillId="0" borderId="32" xfId="1" applyNumberFormat="1" applyFont="1" applyBorder="1" applyAlignment="1" applyProtection="1">
      <alignment horizontal="left"/>
      <protection hidden="1"/>
    </xf>
    <xf numFmtId="9" fontId="37" fillId="0" borderId="33" xfId="1" applyNumberFormat="1" applyFont="1" applyBorder="1" applyAlignment="1" applyProtection="1">
      <alignment horizontal="left"/>
      <protection hidden="1"/>
    </xf>
    <xf numFmtId="9" fontId="37" fillId="0" borderId="0" xfId="1" applyNumberFormat="1" applyFont="1" applyAlignment="1" applyProtection="1">
      <alignment horizontal="left"/>
      <protection hidden="1"/>
    </xf>
    <xf numFmtId="164" fontId="37" fillId="0" borderId="17" xfId="1" applyNumberFormat="1" applyFont="1" applyBorder="1" applyAlignment="1" applyProtection="1">
      <alignment horizontal="left"/>
      <protection hidden="1"/>
    </xf>
    <xf numFmtId="9" fontId="37" fillId="0" borderId="18" xfId="1" applyNumberFormat="1" applyFont="1" applyBorder="1" applyAlignment="1" applyProtection="1">
      <alignment horizontal="left"/>
      <protection hidden="1"/>
    </xf>
    <xf numFmtId="0" fontId="38" fillId="0" borderId="21" xfId="1" applyFont="1" applyBorder="1" applyAlignment="1" applyProtection="1">
      <alignment horizontal="left"/>
      <protection hidden="1"/>
    </xf>
    <xf numFmtId="3" fontId="38" fillId="0" borderId="22" xfId="1" applyNumberFormat="1" applyFont="1" applyBorder="1" applyAlignment="1" applyProtection="1">
      <alignment horizontal="left"/>
      <protection hidden="1"/>
    </xf>
    <xf numFmtId="164" fontId="38" fillId="0" borderId="21" xfId="1" applyNumberFormat="1" applyFont="1" applyBorder="1" applyAlignment="1" applyProtection="1">
      <alignment horizontal="left"/>
      <protection hidden="1"/>
    </xf>
    <xf numFmtId="164" fontId="38" fillId="0" borderId="34" xfId="1" applyNumberFormat="1" applyFont="1" applyBorder="1" applyAlignment="1" applyProtection="1">
      <alignment horizontal="left"/>
      <protection hidden="1"/>
    </xf>
    <xf numFmtId="164" fontId="37" fillId="0" borderId="22" xfId="1" applyNumberFormat="1" applyFont="1" applyBorder="1" applyAlignment="1" applyProtection="1">
      <alignment horizontal="left"/>
      <protection hidden="1"/>
    </xf>
    <xf numFmtId="164" fontId="38" fillId="0" borderId="0" xfId="41" applyNumberFormat="1" applyFont="1" applyAlignment="1" applyProtection="1">
      <alignment horizontal="left"/>
      <protection hidden="1"/>
    </xf>
    <xf numFmtId="164" fontId="29" fillId="0" borderId="1" xfId="0" applyNumberFormat="1" applyFont="1" applyBorder="1" applyAlignment="1">
      <alignment horizontal="center"/>
    </xf>
    <xf numFmtId="0" fontId="34" fillId="0" borderId="0" xfId="0" applyFont="1"/>
    <xf numFmtId="0" fontId="50" fillId="6" borderId="0" xfId="63" applyFont="1" applyFill="1"/>
    <xf numFmtId="0" fontId="51" fillId="9" borderId="49" xfId="63" applyFont="1" applyFill="1" applyBorder="1" applyAlignment="1">
      <alignment horizontal="left"/>
    </xf>
    <xf numFmtId="0" fontId="52" fillId="9" borderId="50" xfId="63" applyFont="1" applyFill="1" applyBorder="1" applyAlignment="1">
      <alignment horizontal="centerContinuous"/>
    </xf>
    <xf numFmtId="0" fontId="52" fillId="9" borderId="50" xfId="63" quotePrefix="1" applyFont="1" applyFill="1" applyBorder="1" applyAlignment="1">
      <alignment horizontal="centerContinuous"/>
    </xf>
    <xf numFmtId="0" fontId="52" fillId="9" borderId="51" xfId="63" applyFont="1" applyFill="1" applyBorder="1" applyAlignment="1">
      <alignment horizontal="centerContinuous"/>
    </xf>
    <xf numFmtId="0" fontId="50" fillId="6" borderId="0" xfId="63" applyFont="1" applyFill="1" applyAlignment="1">
      <alignment horizontal="left"/>
    </xf>
    <xf numFmtId="0" fontId="53" fillId="6" borderId="0" xfId="63" applyFont="1" applyFill="1"/>
    <xf numFmtId="0" fontId="53" fillId="0" borderId="0" xfId="63" applyFont="1"/>
    <xf numFmtId="0" fontId="52" fillId="6" borderId="0" xfId="63" applyFont="1" applyFill="1"/>
    <xf numFmtId="0" fontId="51" fillId="9" borderId="52" xfId="63" quotePrefix="1" applyFont="1" applyFill="1" applyBorder="1" applyAlignment="1">
      <alignment horizontal="left"/>
    </xf>
    <xf numFmtId="0" fontId="52" fillId="9" borderId="24" xfId="63" applyFont="1" applyFill="1" applyBorder="1" applyAlignment="1">
      <alignment horizontal="centerContinuous"/>
    </xf>
    <xf numFmtId="0" fontId="52" fillId="9" borderId="24" xfId="63" quotePrefix="1" applyFont="1" applyFill="1" applyBorder="1" applyAlignment="1">
      <alignment horizontal="centerContinuous"/>
    </xf>
    <xf numFmtId="0" fontId="50" fillId="6" borderId="53" xfId="63" applyFont="1" applyFill="1" applyBorder="1"/>
    <xf numFmtId="0" fontId="52" fillId="10" borderId="35" xfId="63" applyFont="1" applyFill="1" applyBorder="1" applyAlignment="1">
      <alignment horizontal="left"/>
    </xf>
    <xf numFmtId="0" fontId="52" fillId="10" borderId="38" xfId="63" applyFont="1" applyFill="1" applyBorder="1" applyAlignment="1">
      <alignment horizontal="centerContinuous"/>
    </xf>
    <xf numFmtId="0" fontId="52" fillId="10" borderId="38" xfId="63" quotePrefix="1" applyFont="1" applyFill="1" applyBorder="1" applyAlignment="1">
      <alignment horizontal="centerContinuous"/>
    </xf>
    <xf numFmtId="0" fontId="52" fillId="10" borderId="39" xfId="63" applyFont="1" applyFill="1" applyBorder="1" applyAlignment="1">
      <alignment horizontal="centerContinuous"/>
    </xf>
    <xf numFmtId="0" fontId="52" fillId="10" borderId="40" xfId="63" applyFont="1" applyFill="1" applyBorder="1" applyAlignment="1">
      <alignment horizontal="left"/>
    </xf>
    <xf numFmtId="0" fontId="52" fillId="10" borderId="0" xfId="63" applyFont="1" applyFill="1" applyAlignment="1">
      <alignment horizontal="centerContinuous"/>
    </xf>
    <xf numFmtId="0" fontId="52" fillId="10" borderId="0" xfId="63" quotePrefix="1" applyFont="1" applyFill="1" applyAlignment="1">
      <alignment horizontal="centerContinuous"/>
    </xf>
    <xf numFmtId="0" fontId="52" fillId="10" borderId="47" xfId="63" applyFont="1" applyFill="1" applyBorder="1" applyAlignment="1">
      <alignment horizontal="centerContinuous"/>
    </xf>
    <xf numFmtId="0" fontId="50" fillId="10" borderId="40" xfId="63" applyFont="1" applyFill="1" applyBorder="1"/>
    <xf numFmtId="0" fontId="52" fillId="10" borderId="0" xfId="63" applyFont="1" applyFill="1"/>
    <xf numFmtId="0" fontId="52" fillId="10" borderId="47" xfId="63" applyFont="1" applyFill="1" applyBorder="1"/>
    <xf numFmtId="0" fontId="13" fillId="6" borderId="0" xfId="63" applyFont="1" applyFill="1" applyAlignment="1">
      <alignment horizontal="right"/>
    </xf>
    <xf numFmtId="0" fontId="50" fillId="10" borderId="54" xfId="63" applyFont="1" applyFill="1" applyBorder="1"/>
    <xf numFmtId="0" fontId="52" fillId="10" borderId="9" xfId="63" applyFont="1" applyFill="1" applyBorder="1"/>
    <xf numFmtId="0" fontId="52" fillId="10" borderId="55" xfId="63" applyFont="1" applyFill="1" applyBorder="1"/>
    <xf numFmtId="0" fontId="7" fillId="11" borderId="35" xfId="63" applyFill="1" applyBorder="1"/>
    <xf numFmtId="0" fontId="7" fillId="11" borderId="38" xfId="63" applyFill="1" applyBorder="1"/>
    <xf numFmtId="0" fontId="7" fillId="11" borderId="38" xfId="63" applyFill="1" applyBorder="1" applyAlignment="1">
      <alignment horizontal="left"/>
    </xf>
    <xf numFmtId="0" fontId="7" fillId="11" borderId="56" xfId="63" applyFill="1" applyBorder="1"/>
    <xf numFmtId="0" fontId="7" fillId="11" borderId="57" xfId="63" applyFill="1" applyBorder="1" applyAlignment="1">
      <alignment horizontal="left"/>
    </xf>
    <xf numFmtId="0" fontId="7" fillId="11" borderId="57" xfId="63" applyFill="1" applyBorder="1"/>
    <xf numFmtId="0" fontId="7" fillId="11" borderId="58" xfId="63" applyFill="1" applyBorder="1"/>
    <xf numFmtId="0" fontId="13" fillId="11" borderId="35" xfId="63" applyFont="1" applyFill="1" applyBorder="1" applyAlignment="1">
      <alignment horizontal="right"/>
    </xf>
    <xf numFmtId="0" fontId="13" fillId="11" borderId="38" xfId="63" applyFont="1" applyFill="1" applyBorder="1" applyAlignment="1">
      <alignment horizontal="right"/>
    </xf>
    <xf numFmtId="0" fontId="13" fillId="11" borderId="39" xfId="63" applyFont="1" applyFill="1" applyBorder="1" applyAlignment="1">
      <alignment horizontal="right"/>
    </xf>
    <xf numFmtId="0" fontId="11" fillId="6" borderId="0" xfId="63" applyFont="1" applyFill="1"/>
    <xf numFmtId="0" fontId="7" fillId="11" borderId="40" xfId="63" applyFill="1" applyBorder="1"/>
    <xf numFmtId="0" fontId="7" fillId="11" borderId="0" xfId="63" applyFill="1"/>
    <xf numFmtId="0" fontId="7" fillId="11" borderId="0" xfId="63" applyFill="1" applyAlignment="1">
      <alignment horizontal="center"/>
    </xf>
    <xf numFmtId="0" fontId="7" fillId="11" borderId="47" xfId="63" applyFill="1" applyBorder="1"/>
    <xf numFmtId="0" fontId="7" fillId="6" borderId="0" xfId="63" applyFill="1"/>
    <xf numFmtId="0" fontId="54" fillId="6" borderId="0" xfId="63" applyFont="1" applyFill="1"/>
    <xf numFmtId="0" fontId="54" fillId="0" borderId="0" xfId="63" applyFont="1"/>
    <xf numFmtId="2" fontId="7" fillId="11" borderId="0" xfId="63" applyNumberFormat="1" applyFill="1"/>
    <xf numFmtId="10" fontId="7" fillId="11" borderId="0" xfId="63" applyNumberFormat="1" applyFill="1"/>
    <xf numFmtId="169" fontId="7" fillId="11" borderId="0" xfId="63" applyNumberFormat="1" applyFill="1" applyAlignment="1">
      <alignment horizontal="left"/>
    </xf>
    <xf numFmtId="169" fontId="7" fillId="11" borderId="0" xfId="63" applyNumberFormat="1" applyFill="1"/>
    <xf numFmtId="0" fontId="7" fillId="11" borderId="47" xfId="63" applyFill="1" applyBorder="1" applyAlignment="1">
      <alignment horizontal="left"/>
    </xf>
    <xf numFmtId="0" fontId="7" fillId="6" borderId="0" xfId="63" applyFill="1" applyAlignment="1">
      <alignment horizontal="right"/>
    </xf>
    <xf numFmtId="170" fontId="7" fillId="11" borderId="0" xfId="63" applyNumberFormat="1" applyFill="1"/>
    <xf numFmtId="170" fontId="7" fillId="11" borderId="47" xfId="63" applyNumberFormat="1" applyFill="1" applyBorder="1"/>
    <xf numFmtId="0" fontId="7" fillId="11" borderId="54" xfId="63" applyFill="1" applyBorder="1"/>
    <xf numFmtId="0" fontId="7" fillId="11" borderId="9" xfId="63" applyFill="1" applyBorder="1"/>
    <xf numFmtId="0" fontId="7" fillId="11" borderId="9" xfId="63" applyFill="1" applyBorder="1" applyAlignment="1">
      <alignment horizontal="left"/>
    </xf>
    <xf numFmtId="169" fontId="7" fillId="11" borderId="9" xfId="63" applyNumberFormat="1" applyFill="1" applyBorder="1"/>
    <xf numFmtId="10" fontId="7" fillId="11" borderId="9" xfId="63" applyNumberFormat="1" applyFill="1" applyBorder="1"/>
    <xf numFmtId="2" fontId="7" fillId="11" borderId="9" xfId="63" applyNumberFormat="1" applyFill="1" applyBorder="1"/>
    <xf numFmtId="171" fontId="7" fillId="11" borderId="9" xfId="63" applyNumberFormat="1" applyFill="1" applyBorder="1"/>
    <xf numFmtId="169" fontId="7" fillId="11" borderId="9" xfId="63" applyNumberFormat="1" applyFill="1" applyBorder="1" applyAlignment="1">
      <alignment horizontal="left"/>
    </xf>
    <xf numFmtId="0" fontId="7" fillId="11" borderId="55" xfId="63" applyFill="1" applyBorder="1"/>
    <xf numFmtId="172" fontId="11" fillId="6" borderId="59" xfId="63" applyNumberFormat="1" applyFont="1" applyFill="1" applyBorder="1" applyAlignment="1">
      <alignment horizontal="left"/>
    </xf>
    <xf numFmtId="172" fontId="11" fillId="6" borderId="59" xfId="63" applyNumberFormat="1" applyFont="1" applyFill="1" applyBorder="1"/>
    <xf numFmtId="0" fontId="11" fillId="6" borderId="59" xfId="63" applyFont="1" applyFill="1" applyBorder="1"/>
    <xf numFmtId="0" fontId="11" fillId="0" borderId="0" xfId="63" applyFont="1"/>
    <xf numFmtId="172" fontId="50" fillId="6" borderId="0" xfId="63" applyNumberFormat="1" applyFont="1" applyFill="1" applyAlignment="1">
      <alignment horizontal="fill"/>
    </xf>
    <xf numFmtId="172" fontId="50" fillId="6" borderId="0" xfId="63" applyNumberFormat="1" applyFont="1" applyFill="1" applyAlignment="1">
      <alignment horizontal="center"/>
    </xf>
    <xf numFmtId="0" fontId="7" fillId="6" borderId="61" xfId="63" applyFill="1" applyBorder="1"/>
    <xf numFmtId="0" fontId="7" fillId="11" borderId="54" xfId="63" applyFill="1" applyBorder="1" applyAlignment="1">
      <alignment horizontal="center"/>
    </xf>
    <xf numFmtId="170" fontId="7" fillId="11" borderId="9" xfId="63" applyNumberFormat="1" applyFill="1" applyBorder="1"/>
    <xf numFmtId="172" fontId="50" fillId="9" borderId="40" xfId="63" applyNumberFormat="1" applyFont="1" applyFill="1" applyBorder="1"/>
    <xf numFmtId="0" fontId="52" fillId="9" borderId="0" xfId="63" applyFont="1" applyFill="1"/>
    <xf numFmtId="166" fontId="52" fillId="9" borderId="0" xfId="63" applyNumberFormat="1" applyFont="1" applyFill="1" applyAlignment="1">
      <alignment horizontal="right"/>
    </xf>
    <xf numFmtId="0" fontId="52" fillId="9" borderId="0" xfId="63" applyFont="1" applyFill="1" applyAlignment="1">
      <alignment horizontal="left"/>
    </xf>
    <xf numFmtId="166" fontId="52" fillId="9" borderId="40" xfId="63" applyNumberFormat="1" applyFont="1" applyFill="1" applyBorder="1" applyAlignment="1">
      <alignment horizontal="right"/>
    </xf>
    <xf numFmtId="0" fontId="52" fillId="9" borderId="0" xfId="63" applyFont="1" applyFill="1" applyAlignment="1">
      <alignment horizontal="right"/>
    </xf>
    <xf numFmtId="0" fontId="50" fillId="9" borderId="47" xfId="63" applyFont="1" applyFill="1" applyBorder="1"/>
    <xf numFmtId="0" fontId="50" fillId="0" borderId="0" xfId="63" applyFont="1"/>
    <xf numFmtId="172" fontId="50" fillId="9" borderId="54" xfId="63" applyNumberFormat="1" applyFont="1" applyFill="1" applyBorder="1"/>
    <xf numFmtId="172" fontId="50" fillId="9" borderId="9" xfId="63" applyNumberFormat="1" applyFont="1" applyFill="1" applyBorder="1" applyAlignment="1">
      <alignment horizontal="fill"/>
    </xf>
    <xf numFmtId="172" fontId="50" fillId="9" borderId="54" xfId="63" applyNumberFormat="1" applyFont="1" applyFill="1" applyBorder="1" applyAlignment="1">
      <alignment horizontal="fill"/>
    </xf>
    <xf numFmtId="0" fontId="50" fillId="9" borderId="55" xfId="63" applyFont="1" applyFill="1" applyBorder="1"/>
    <xf numFmtId="169" fontId="50" fillId="6" borderId="0" xfId="63" applyNumberFormat="1" applyFont="1" applyFill="1"/>
    <xf numFmtId="172" fontId="50" fillId="11" borderId="40" xfId="63" applyNumberFormat="1" applyFont="1" applyFill="1" applyBorder="1"/>
    <xf numFmtId="166" fontId="55" fillId="11" borderId="0" xfId="63" quotePrefix="1" applyNumberFormat="1" applyFont="1" applyFill="1" applyAlignment="1">
      <alignment horizontal="left"/>
    </xf>
    <xf numFmtId="166" fontId="55" fillId="11" borderId="0" xfId="63" applyNumberFormat="1" applyFont="1" applyFill="1" applyAlignment="1">
      <alignment horizontal="left"/>
    </xf>
    <xf numFmtId="0" fontId="55" fillId="11" borderId="0" xfId="63" applyFont="1" applyFill="1"/>
    <xf numFmtId="3" fontId="55" fillId="11" borderId="0" xfId="63" applyNumberFormat="1" applyFont="1" applyFill="1"/>
    <xf numFmtId="3" fontId="55" fillId="11" borderId="40" xfId="63" applyNumberFormat="1" applyFont="1" applyFill="1" applyBorder="1"/>
    <xf numFmtId="0" fontId="50" fillId="11" borderId="47" xfId="63" applyFont="1" applyFill="1" applyBorder="1"/>
    <xf numFmtId="0" fontId="55" fillId="11" borderId="0" xfId="63" applyFont="1" applyFill="1" applyAlignment="1">
      <alignment horizontal="left"/>
    </xf>
    <xf numFmtId="3" fontId="50" fillId="6" borderId="0" xfId="63" applyNumberFormat="1" applyFont="1" applyFill="1"/>
    <xf numFmtId="0" fontId="50" fillId="11" borderId="40" xfId="63" applyFont="1" applyFill="1" applyBorder="1"/>
    <xf numFmtId="166" fontId="50" fillId="6" borderId="0" xfId="63" applyNumberFormat="1" applyFont="1" applyFill="1"/>
    <xf numFmtId="0" fontId="55" fillId="11" borderId="10" xfId="63" applyFont="1" applyFill="1" applyBorder="1" applyAlignment="1">
      <alignment horizontal="left"/>
    </xf>
    <xf numFmtId="0" fontId="55" fillId="11" borderId="10" xfId="63" applyFont="1" applyFill="1" applyBorder="1"/>
    <xf numFmtId="3" fontId="55" fillId="11" borderId="10" xfId="63" applyNumberFormat="1" applyFont="1" applyFill="1" applyBorder="1"/>
    <xf numFmtId="3" fontId="55" fillId="11" borderId="62" xfId="63" applyNumberFormat="1" applyFont="1" applyFill="1" applyBorder="1"/>
    <xf numFmtId="3" fontId="55" fillId="11" borderId="47" xfId="63" applyNumberFormat="1" applyFont="1" applyFill="1" applyBorder="1"/>
    <xf numFmtId="0" fontId="50" fillId="11" borderId="54" xfId="63" applyFont="1" applyFill="1" applyBorder="1" applyAlignment="1">
      <alignment horizontal="right"/>
    </xf>
    <xf numFmtId="0" fontId="50" fillId="11" borderId="9" xfId="63" applyFont="1" applyFill="1" applyBorder="1" applyAlignment="1">
      <alignment horizontal="left"/>
    </xf>
    <xf numFmtId="0" fontId="50" fillId="11" borderId="9" xfId="63" applyFont="1" applyFill="1" applyBorder="1"/>
    <xf numFmtId="3" fontId="50" fillId="11" borderId="9" xfId="63" applyNumberFormat="1" applyFont="1" applyFill="1" applyBorder="1"/>
    <xf numFmtId="3" fontId="50" fillId="11" borderId="54" xfId="63" applyNumberFormat="1" applyFont="1" applyFill="1" applyBorder="1"/>
    <xf numFmtId="0" fontId="50" fillId="11" borderId="55" xfId="63" applyFont="1" applyFill="1" applyBorder="1"/>
    <xf numFmtId="3" fontId="55" fillId="8" borderId="10" xfId="63" applyNumberFormat="1" applyFont="1" applyFill="1" applyBorder="1"/>
    <xf numFmtId="0" fontId="17" fillId="0" borderId="0" xfId="27" applyFont="1"/>
    <xf numFmtId="0" fontId="17" fillId="0" borderId="0" xfId="27" applyFont="1" applyAlignment="1">
      <alignment horizontal="center"/>
    </xf>
    <xf numFmtId="0" fontId="57" fillId="0" borderId="0" xfId="27" applyFont="1"/>
    <xf numFmtId="0" fontId="17" fillId="0" borderId="0" xfId="27" applyFont="1" applyAlignment="1">
      <alignment horizontal="center" vertical="center"/>
    </xf>
    <xf numFmtId="0" fontId="58" fillId="0" borderId="0" xfId="27" applyFont="1" applyAlignment="1">
      <alignment horizontal="center" vertical="center" wrapText="1"/>
    </xf>
    <xf numFmtId="0" fontId="58" fillId="0" borderId="0" xfId="27" applyFont="1" applyAlignment="1">
      <alignment horizontal="center" wrapText="1"/>
    </xf>
    <xf numFmtId="0" fontId="17" fillId="8" borderId="0" xfId="27" applyFont="1" applyFill="1" applyAlignment="1">
      <alignment horizontal="center" wrapText="1"/>
    </xf>
    <xf numFmtId="0" fontId="17" fillId="8" borderId="0" xfId="27" applyFont="1" applyFill="1" applyAlignment="1">
      <alignment horizontal="center"/>
    </xf>
    <xf numFmtId="0" fontId="17" fillId="0" borderId="0" xfId="27" applyFont="1" applyAlignment="1">
      <alignment horizontal="center" wrapText="1"/>
    </xf>
    <xf numFmtId="164" fontId="17" fillId="8" borderId="0" xfId="27" applyNumberFormat="1" applyFont="1" applyFill="1" applyAlignment="1">
      <alignment horizontal="center"/>
    </xf>
    <xf numFmtId="164" fontId="17" fillId="0" borderId="0" xfId="27" applyNumberFormat="1" applyFont="1" applyAlignment="1">
      <alignment horizontal="center"/>
    </xf>
    <xf numFmtId="164" fontId="17" fillId="3" borderId="0" xfId="27" applyNumberFormat="1" applyFont="1" applyFill="1" applyAlignment="1">
      <alignment horizontal="center"/>
    </xf>
    <xf numFmtId="164" fontId="17" fillId="0" borderId="0" xfId="27" applyNumberFormat="1" applyFont="1"/>
    <xf numFmtId="9" fontId="17" fillId="0" borderId="0" xfId="65" applyFont="1" applyAlignment="1">
      <alignment horizontal="center"/>
    </xf>
    <xf numFmtId="164" fontId="17" fillId="0" borderId="0" xfId="65" applyNumberFormat="1" applyFont="1" applyAlignment="1">
      <alignment horizontal="center"/>
    </xf>
    <xf numFmtId="0" fontId="17" fillId="0" borderId="0" xfId="27" applyFont="1" applyAlignment="1">
      <alignment wrapText="1"/>
    </xf>
    <xf numFmtId="0" fontId="17" fillId="8" borderId="0" xfId="27" applyFont="1" applyFill="1"/>
    <xf numFmtId="164" fontId="17" fillId="0" borderId="0" xfId="65" applyNumberFormat="1" applyFont="1" applyFill="1" applyAlignment="1">
      <alignment horizontal="center"/>
    </xf>
    <xf numFmtId="173" fontId="29" fillId="12" borderId="0" xfId="0" applyNumberFormat="1" applyFont="1" applyFill="1" applyAlignment="1">
      <alignment horizontal="center"/>
    </xf>
    <xf numFmtId="0" fontId="31" fillId="0" borderId="0" xfId="0" applyFont="1" applyAlignment="1">
      <alignment horizontal="center"/>
    </xf>
    <xf numFmtId="164" fontId="30" fillId="0" borderId="16" xfId="0" applyNumberFormat="1" applyFont="1" applyBorder="1" applyAlignment="1">
      <alignment horizontal="center"/>
    </xf>
    <xf numFmtId="164" fontId="33" fillId="0" borderId="0" xfId="0" applyNumberFormat="1" applyFont="1" applyAlignment="1">
      <alignment horizontal="left"/>
    </xf>
    <xf numFmtId="0" fontId="17" fillId="0" borderId="0" xfId="28" applyFont="1"/>
    <xf numFmtId="164" fontId="17" fillId="0" borderId="0" xfId="28" applyNumberFormat="1" applyFont="1" applyAlignment="1">
      <alignment horizontal="center"/>
    </xf>
    <xf numFmtId="164" fontId="17" fillId="8" borderId="0" xfId="28" applyNumberFormat="1" applyFont="1" applyFill="1" applyAlignment="1">
      <alignment horizontal="center"/>
    </xf>
    <xf numFmtId="0" fontId="17" fillId="0" borderId="0" xfId="67" applyFont="1"/>
    <xf numFmtId="0" fontId="17" fillId="0" borderId="0" xfId="67" applyFont="1" applyAlignment="1">
      <alignment horizontal="center"/>
    </xf>
    <xf numFmtId="0" fontId="63" fillId="0" borderId="0" xfId="67" applyFont="1" applyAlignment="1">
      <alignment horizontal="center"/>
    </xf>
    <xf numFmtId="0" fontId="17" fillId="0" borderId="4" xfId="67" applyFont="1" applyBorder="1" applyAlignment="1">
      <alignment horizontal="center"/>
    </xf>
    <xf numFmtId="8" fontId="17" fillId="0" borderId="4" xfId="67" applyNumberFormat="1" applyFont="1" applyBorder="1" applyAlignment="1">
      <alignment horizontal="center"/>
    </xf>
    <xf numFmtId="0" fontId="57" fillId="0" borderId="0" xfId="67" applyFont="1"/>
    <xf numFmtId="0" fontId="17" fillId="0" borderId="0" xfId="67" applyFont="1" applyAlignment="1">
      <alignment horizontal="center" vertical="center"/>
    </xf>
    <xf numFmtId="0" fontId="17" fillId="0" borderId="0" xfId="67" applyFont="1" applyAlignment="1">
      <alignment horizontal="center" vertical="center" wrapText="1"/>
    </xf>
    <xf numFmtId="0" fontId="58" fillId="0" borderId="0" xfId="67" applyFont="1" applyAlignment="1">
      <alignment horizontal="center" vertical="center" wrapText="1"/>
    </xf>
    <xf numFmtId="0" fontId="58" fillId="0" borderId="0" xfId="67" applyFont="1" applyAlignment="1">
      <alignment horizontal="center" wrapText="1"/>
    </xf>
    <xf numFmtId="0" fontId="17" fillId="0" borderId="0" xfId="67" applyFont="1" applyAlignment="1">
      <alignment horizontal="center" wrapText="1"/>
    </xf>
    <xf numFmtId="0" fontId="17" fillId="12" borderId="0" xfId="67" applyFont="1" applyFill="1" applyAlignment="1">
      <alignment horizontal="center" wrapText="1"/>
    </xf>
    <xf numFmtId="0" fontId="17" fillId="12" borderId="0" xfId="67" applyFont="1" applyFill="1" applyAlignment="1">
      <alignment horizontal="center"/>
    </xf>
    <xf numFmtId="0" fontId="17" fillId="12" borderId="0" xfId="67" applyFont="1" applyFill="1" applyAlignment="1">
      <alignment wrapText="1"/>
    </xf>
    <xf numFmtId="0" fontId="17" fillId="8" borderId="0" xfId="67" applyFont="1" applyFill="1" applyAlignment="1">
      <alignment horizontal="center" wrapText="1"/>
    </xf>
    <xf numFmtId="0" fontId="17" fillId="8" borderId="0" xfId="67" applyFont="1" applyFill="1" applyAlignment="1">
      <alignment horizontal="center"/>
    </xf>
    <xf numFmtId="0" fontId="63" fillId="0" borderId="0" xfId="67" applyFont="1"/>
    <xf numFmtId="0" fontId="7" fillId="0" borderId="0" xfId="67" applyFont="1" applyAlignment="1">
      <alignment horizontal="center" wrapText="1"/>
    </xf>
    <xf numFmtId="0" fontId="17" fillId="13" borderId="0" xfId="67" applyFont="1" applyFill="1" applyAlignment="1">
      <alignment horizontal="center" wrapText="1"/>
    </xf>
    <xf numFmtId="0" fontId="17" fillId="12" borderId="0" xfId="67" applyFont="1" applyFill="1"/>
    <xf numFmtId="164" fontId="17" fillId="0" borderId="0" xfId="67" applyNumberFormat="1" applyFont="1" applyAlignment="1">
      <alignment horizontal="center"/>
    </xf>
    <xf numFmtId="164" fontId="17" fillId="8" borderId="0" xfId="67" applyNumberFormat="1" applyFont="1" applyFill="1" applyAlignment="1">
      <alignment horizontal="center"/>
    </xf>
    <xf numFmtId="0" fontId="17" fillId="13" borderId="0" xfId="67" applyFont="1" applyFill="1" applyAlignment="1">
      <alignment horizontal="center"/>
    </xf>
    <xf numFmtId="164" fontId="17" fillId="3" borderId="0" xfId="67" applyNumberFormat="1" applyFont="1" applyFill="1" applyAlignment="1">
      <alignment horizontal="center"/>
    </xf>
    <xf numFmtId="164" fontId="17" fillId="0" borderId="0" xfId="67" applyNumberFormat="1" applyFont="1"/>
    <xf numFmtId="164" fontId="17" fillId="12" borderId="0" xfId="67" applyNumberFormat="1" applyFont="1" applyFill="1" applyAlignment="1">
      <alignment horizontal="center"/>
    </xf>
    <xf numFmtId="3" fontId="17" fillId="0" borderId="0" xfId="67" applyNumberFormat="1" applyFont="1" applyAlignment="1">
      <alignment horizontal="center"/>
    </xf>
    <xf numFmtId="164" fontId="17" fillId="13" borderId="0" xfId="67" applyNumberFormat="1" applyFont="1" applyFill="1" applyAlignment="1">
      <alignment horizontal="center"/>
    </xf>
    <xf numFmtId="10" fontId="17" fillId="0" borderId="0" xfId="65" applyNumberFormat="1" applyFont="1" applyAlignment="1">
      <alignment horizontal="center"/>
    </xf>
    <xf numFmtId="0" fontId="17" fillId="0" borderId="0" xfId="67" applyFont="1" applyAlignment="1">
      <alignment wrapText="1"/>
    </xf>
    <xf numFmtId="8" fontId="17" fillId="0" borderId="0" xfId="67" applyNumberFormat="1" applyFont="1"/>
    <xf numFmtId="164" fontId="17" fillId="0" borderId="44" xfId="67" applyNumberFormat="1" applyFont="1" applyBorder="1" applyAlignment="1">
      <alignment horizontal="center"/>
    </xf>
    <xf numFmtId="0" fontId="17" fillId="0" borderId="44" xfId="67" applyFont="1" applyBorder="1"/>
    <xf numFmtId="0" fontId="17" fillId="0" borderId="7" xfId="67" applyFont="1" applyBorder="1"/>
    <xf numFmtId="10" fontId="17" fillId="0" borderId="0" xfId="67" applyNumberFormat="1" applyFont="1" applyAlignment="1">
      <alignment horizontal="center"/>
    </xf>
    <xf numFmtId="165" fontId="17" fillId="0" borderId="7" xfId="67" applyNumberFormat="1" applyFont="1" applyBorder="1"/>
    <xf numFmtId="164" fontId="17" fillId="0" borderId="7" xfId="67" applyNumberFormat="1" applyFont="1" applyBorder="1" applyAlignment="1">
      <alignment horizontal="center"/>
    </xf>
    <xf numFmtId="0" fontId="17" fillId="0" borderId="29" xfId="67" applyFont="1" applyBorder="1"/>
    <xf numFmtId="9" fontId="29" fillId="0" borderId="0" xfId="66" applyFont="1" applyAlignment="1">
      <alignment horizontal="center"/>
    </xf>
    <xf numFmtId="0" fontId="29" fillId="0" borderId="0" xfId="0" applyFont="1" applyAlignment="1">
      <alignment horizontal="center" wrapText="1"/>
    </xf>
    <xf numFmtId="173" fontId="28" fillId="0" borderId="0" xfId="66" applyNumberFormat="1" applyFont="1" applyAlignment="1">
      <alignment horizontal="center"/>
    </xf>
    <xf numFmtId="0" fontId="28" fillId="0" borderId="24" xfId="0" applyFont="1" applyBorder="1"/>
    <xf numFmtId="164" fontId="28" fillId="0" borderId="24" xfId="0" applyNumberFormat="1" applyFont="1" applyBorder="1" applyAlignment="1">
      <alignment horizontal="center"/>
    </xf>
    <xf numFmtId="164" fontId="29" fillId="0" borderId="24" xfId="0" applyNumberFormat="1" applyFont="1" applyBorder="1" applyAlignment="1">
      <alignment horizontal="center"/>
    </xf>
    <xf numFmtId="0" fontId="29" fillId="0" borderId="24" xfId="0" applyFont="1" applyBorder="1" applyAlignment="1">
      <alignment horizontal="left"/>
    </xf>
    <xf numFmtId="166" fontId="50" fillId="6" borderId="0" xfId="63" applyNumberFormat="1" applyFont="1" applyFill="1" applyAlignment="1">
      <alignment horizontal="center"/>
    </xf>
    <xf numFmtId="0" fontId="50" fillId="6" borderId="0" xfId="63" applyFont="1" applyFill="1" applyAlignment="1">
      <alignment horizontal="center"/>
    </xf>
    <xf numFmtId="173" fontId="29" fillId="0" borderId="0" xfId="66" applyNumberFormat="1" applyFont="1"/>
    <xf numFmtId="10" fontId="29" fillId="0" borderId="0" xfId="66" applyNumberFormat="1" applyFont="1"/>
    <xf numFmtId="165" fontId="29" fillId="0" borderId="0" xfId="0" applyNumberFormat="1" applyFont="1" applyAlignment="1">
      <alignment horizontal="center"/>
    </xf>
    <xf numFmtId="0" fontId="50" fillId="13" borderId="0" xfId="63" applyFont="1" applyFill="1" applyAlignment="1">
      <alignment horizontal="center"/>
    </xf>
    <xf numFmtId="0" fontId="38" fillId="0" borderId="0" xfId="0" applyFont="1" applyAlignment="1" applyProtection="1">
      <alignment horizontal="left"/>
      <protection hidden="1"/>
    </xf>
    <xf numFmtId="169" fontId="37" fillId="0" borderId="0" xfId="0" applyNumberFormat="1" applyFont="1" applyAlignment="1" applyProtection="1">
      <alignment horizontal="left"/>
      <protection hidden="1"/>
    </xf>
    <xf numFmtId="169" fontId="39" fillId="0" borderId="0" xfId="0" applyNumberFormat="1" applyFont="1" applyAlignment="1" applyProtection="1">
      <alignment horizontal="left"/>
      <protection hidden="1"/>
    </xf>
    <xf numFmtId="164" fontId="38" fillId="0" borderId="0" xfId="0" applyNumberFormat="1" applyFont="1" applyAlignment="1" applyProtection="1">
      <alignment horizontal="left"/>
      <protection hidden="1"/>
    </xf>
    <xf numFmtId="164" fontId="38" fillId="5" borderId="0" xfId="0" applyNumberFormat="1" applyFont="1" applyFill="1" applyAlignment="1" applyProtection="1">
      <alignment horizontal="left"/>
      <protection hidden="1"/>
    </xf>
    <xf numFmtId="164" fontId="38" fillId="0" borderId="1" xfId="0" applyNumberFormat="1" applyFont="1" applyBorder="1" applyAlignment="1" applyProtection="1">
      <alignment horizontal="left"/>
      <protection hidden="1"/>
    </xf>
    <xf numFmtId="164" fontId="37" fillId="0" borderId="1" xfId="0" applyNumberFormat="1" applyFont="1" applyBorder="1" applyAlignment="1" applyProtection="1">
      <alignment horizontal="left"/>
      <protection hidden="1"/>
    </xf>
    <xf numFmtId="165" fontId="38" fillId="0" borderId="0" xfId="0" applyNumberFormat="1" applyFont="1" applyAlignment="1" applyProtection="1">
      <alignment horizontal="left"/>
      <protection hidden="1"/>
    </xf>
    <xf numFmtId="3" fontId="38" fillId="0" borderId="0" xfId="0" applyNumberFormat="1" applyFont="1" applyAlignment="1" applyProtection="1">
      <alignment horizontal="left"/>
      <protection hidden="1"/>
    </xf>
    <xf numFmtId="164" fontId="40" fillId="0" borderId="0" xfId="0" applyNumberFormat="1" applyFont="1" applyAlignment="1" applyProtection="1">
      <alignment horizontal="left"/>
      <protection hidden="1"/>
    </xf>
    <xf numFmtId="164" fontId="41" fillId="0" borderId="0" xfId="0" applyNumberFormat="1" applyFont="1" applyAlignment="1" applyProtection="1">
      <alignment horizontal="left"/>
      <protection hidden="1"/>
    </xf>
    <xf numFmtId="0" fontId="46" fillId="0" borderId="0" xfId="1" applyFont="1" applyAlignment="1" applyProtection="1">
      <alignment horizontal="left"/>
      <protection hidden="1"/>
    </xf>
    <xf numFmtId="164" fontId="44" fillId="0" borderId="0" xfId="0" applyNumberFormat="1" applyFont="1" applyAlignment="1" applyProtection="1">
      <alignment horizontal="left"/>
      <protection hidden="1"/>
    </xf>
    <xf numFmtId="173" fontId="38" fillId="0" borderId="0" xfId="1" applyNumberFormat="1" applyFont="1" applyAlignment="1" applyProtection="1">
      <alignment horizontal="left"/>
      <protection hidden="1"/>
    </xf>
    <xf numFmtId="164" fontId="38" fillId="0" borderId="0" xfId="0" applyNumberFormat="1" applyFont="1" applyAlignment="1" applyProtection="1">
      <alignment horizontal="center"/>
      <protection hidden="1"/>
    </xf>
    <xf numFmtId="164" fontId="43" fillId="0" borderId="0" xfId="0" applyNumberFormat="1" applyFont="1" applyAlignment="1" applyProtection="1">
      <alignment horizontal="left"/>
      <protection hidden="1"/>
    </xf>
    <xf numFmtId="0" fontId="38" fillId="0" borderId="0" xfId="0" applyFont="1" applyAlignment="1" applyProtection="1">
      <alignment horizontal="center"/>
      <protection hidden="1"/>
    </xf>
    <xf numFmtId="0" fontId="37" fillId="0" borderId="0" xfId="0" applyFont="1" applyAlignment="1" applyProtection="1">
      <alignment horizontal="center"/>
      <protection hidden="1"/>
    </xf>
    <xf numFmtId="164" fontId="37" fillId="0" borderId="0" xfId="0" applyNumberFormat="1" applyFont="1" applyAlignment="1" applyProtection="1">
      <alignment horizontal="center"/>
      <protection hidden="1"/>
    </xf>
    <xf numFmtId="164" fontId="37" fillId="0" borderId="0" xfId="0" applyNumberFormat="1" applyFont="1" applyAlignment="1" applyProtection="1">
      <alignment horizontal="left"/>
      <protection hidden="1"/>
    </xf>
    <xf numFmtId="173" fontId="37" fillId="0" borderId="0" xfId="0" applyNumberFormat="1" applyFont="1" applyAlignment="1" applyProtection="1">
      <alignment horizontal="center"/>
      <protection hidden="1"/>
    </xf>
    <xf numFmtId="0" fontId="38" fillId="0" borderId="8" xfId="0" applyFont="1" applyBorder="1" applyAlignment="1" applyProtection="1">
      <alignment horizontal="left"/>
      <protection hidden="1"/>
    </xf>
    <xf numFmtId="0" fontId="38" fillId="0" borderId="0" xfId="0" applyFont="1" applyAlignment="1" applyProtection="1">
      <alignment horizontal="left" wrapText="1"/>
      <protection hidden="1"/>
    </xf>
    <xf numFmtId="164" fontId="45" fillId="0" borderId="0" xfId="0" applyNumberFormat="1" applyFont="1" applyAlignment="1">
      <alignment horizontal="left"/>
    </xf>
    <xf numFmtId="0" fontId="37" fillId="0" borderId="18" xfId="0" applyFont="1" applyBorder="1" applyAlignment="1" applyProtection="1">
      <alignment horizontal="left"/>
      <protection hidden="1"/>
    </xf>
    <xf numFmtId="0" fontId="46" fillId="6" borderId="35" xfId="0" applyFont="1" applyFill="1" applyBorder="1" applyAlignment="1" applyProtection="1">
      <alignment horizontal="left"/>
      <protection hidden="1"/>
    </xf>
    <xf numFmtId="0" fontId="38" fillId="0" borderId="36" xfId="0" applyFont="1" applyBorder="1" applyAlignment="1" applyProtection="1">
      <alignment horizontal="left"/>
      <protection hidden="1"/>
    </xf>
    <xf numFmtId="0" fontId="37" fillId="0" borderId="37" xfId="0" applyFont="1" applyBorder="1" applyAlignment="1" applyProtection="1">
      <alignment horizontal="left" vertical="center"/>
      <protection hidden="1"/>
    </xf>
    <xf numFmtId="0" fontId="37" fillId="0" borderId="38" xfId="0" applyFont="1" applyBorder="1" applyAlignment="1" applyProtection="1">
      <alignment horizontal="left" vertical="center"/>
      <protection hidden="1"/>
    </xf>
    <xf numFmtId="0" fontId="37" fillId="0" borderId="39" xfId="0" applyFont="1" applyBorder="1" applyAlignment="1" applyProtection="1">
      <alignment horizontal="left" vertical="center"/>
      <protection hidden="1"/>
    </xf>
    <xf numFmtId="0" fontId="37" fillId="6" borderId="40" xfId="0" applyFont="1" applyFill="1" applyBorder="1" applyAlignment="1" applyProtection="1">
      <alignment horizontal="left"/>
      <protection hidden="1"/>
    </xf>
    <xf numFmtId="0" fontId="38" fillId="0" borderId="7" xfId="0" applyFont="1" applyBorder="1" applyAlignment="1" applyProtection="1">
      <alignment horizontal="left"/>
      <protection hidden="1"/>
    </xf>
    <xf numFmtId="0" fontId="37" fillId="0" borderId="15" xfId="0" applyFont="1" applyBorder="1" applyAlignment="1" applyProtection="1">
      <alignment horizontal="left" vertical="center"/>
      <protection hidden="1"/>
    </xf>
    <xf numFmtId="0" fontId="37" fillId="0" borderId="10" xfId="0" applyFont="1" applyBorder="1" applyAlignment="1" applyProtection="1">
      <alignment horizontal="left" vertical="center"/>
      <protection hidden="1"/>
    </xf>
    <xf numFmtId="0" fontId="37" fillId="0" borderId="41" xfId="0" applyFont="1" applyBorder="1" applyAlignment="1" applyProtection="1">
      <alignment horizontal="left" vertical="center"/>
      <protection hidden="1"/>
    </xf>
    <xf numFmtId="0" fontId="38" fillId="0" borderId="4" xfId="0" applyFont="1" applyBorder="1" applyAlignment="1" applyProtection="1">
      <alignment horizontal="left"/>
      <protection hidden="1"/>
    </xf>
    <xf numFmtId="164" fontId="38" fillId="0" borderId="4" xfId="0" applyNumberFormat="1" applyFont="1" applyBorder="1" applyAlignment="1" applyProtection="1">
      <alignment horizontal="left"/>
      <protection hidden="1"/>
    </xf>
    <xf numFmtId="0" fontId="38" fillId="0" borderId="42" xfId="0" applyFont="1" applyBorder="1" applyAlignment="1" applyProtection="1">
      <alignment horizontal="left"/>
      <protection hidden="1"/>
    </xf>
    <xf numFmtId="0" fontId="38" fillId="0" borderId="1" xfId="0" applyFont="1" applyBorder="1" applyAlignment="1" applyProtection="1">
      <alignment horizontal="left"/>
      <protection hidden="1"/>
    </xf>
    <xf numFmtId="0" fontId="38" fillId="0" borderId="43" xfId="0" applyFont="1" applyBorder="1" applyAlignment="1" applyProtection="1">
      <alignment horizontal="left"/>
      <protection hidden="1"/>
    </xf>
    <xf numFmtId="0" fontId="38" fillId="0" borderId="4" xfId="0" applyFont="1" applyBorder="1" applyAlignment="1" applyProtection="1">
      <alignment horizontal="left" wrapText="1"/>
      <protection hidden="1"/>
    </xf>
    <xf numFmtId="0" fontId="47" fillId="0" borderId="42" xfId="0" applyFont="1" applyBorder="1" applyAlignment="1" applyProtection="1">
      <alignment horizontal="left"/>
      <protection hidden="1"/>
    </xf>
    <xf numFmtId="0" fontId="47" fillId="0" borderId="1" xfId="0" applyFont="1" applyBorder="1" applyAlignment="1" applyProtection="1">
      <alignment horizontal="left"/>
      <protection hidden="1"/>
    </xf>
    <xf numFmtId="0" fontId="47" fillId="0" borderId="43" xfId="0" applyFont="1" applyBorder="1" applyAlignment="1" applyProtection="1">
      <alignment horizontal="left"/>
      <protection hidden="1"/>
    </xf>
    <xf numFmtId="0" fontId="38" fillId="0" borderId="34" xfId="0" applyFont="1" applyBorder="1" applyAlignment="1" applyProtection="1">
      <alignment horizontal="left"/>
      <protection hidden="1"/>
    </xf>
    <xf numFmtId="164" fontId="38" fillId="0" borderId="34" xfId="0" applyNumberFormat="1" applyFont="1" applyBorder="1" applyAlignment="1" applyProtection="1">
      <alignment horizontal="left"/>
      <protection hidden="1"/>
    </xf>
    <xf numFmtId="0" fontId="38" fillId="6" borderId="45" xfId="0" applyFont="1" applyFill="1" applyBorder="1" applyAlignment="1" applyProtection="1">
      <alignment horizontal="left"/>
      <protection hidden="1"/>
    </xf>
    <xf numFmtId="0" fontId="38" fillId="6" borderId="23" xfId="0" applyFont="1" applyFill="1" applyBorder="1" applyAlignment="1" applyProtection="1">
      <alignment horizontal="left"/>
      <protection hidden="1"/>
    </xf>
    <xf numFmtId="0" fontId="38" fillId="6" borderId="46" xfId="0" applyFont="1" applyFill="1" applyBorder="1" applyAlignment="1" applyProtection="1">
      <alignment horizontal="left"/>
      <protection hidden="1"/>
    </xf>
    <xf numFmtId="0" fontId="37" fillId="7" borderId="17" xfId="0" applyFont="1" applyFill="1" applyBorder="1" applyAlignment="1" applyProtection="1">
      <alignment horizontal="left" wrapText="1"/>
      <protection hidden="1"/>
    </xf>
    <xf numFmtId="0" fontId="37" fillId="0" borderId="27" xfId="0" applyFont="1" applyBorder="1" applyAlignment="1" applyProtection="1">
      <alignment horizontal="left"/>
      <protection hidden="1"/>
    </xf>
    <xf numFmtId="0" fontId="38" fillId="0" borderId="27" xfId="0" applyFont="1" applyBorder="1" applyAlignment="1" applyProtection="1">
      <alignment horizontal="left"/>
      <protection hidden="1"/>
    </xf>
    <xf numFmtId="0" fontId="37" fillId="0" borderId="27" xfId="0" applyFont="1" applyBorder="1" applyAlignment="1" applyProtection="1">
      <alignment horizontal="left" wrapText="1"/>
      <protection hidden="1"/>
    </xf>
    <xf numFmtId="0" fontId="38" fillId="7" borderId="19" xfId="0" applyFont="1" applyFill="1" applyBorder="1" applyAlignment="1" applyProtection="1">
      <alignment horizontal="left"/>
      <protection hidden="1"/>
    </xf>
    <xf numFmtId="0" fontId="42" fillId="0" borderId="4" xfId="0" applyFont="1" applyBorder="1" applyAlignment="1" applyProtection="1">
      <alignment horizontal="left"/>
      <protection hidden="1"/>
    </xf>
    <xf numFmtId="164" fontId="38" fillId="0" borderId="20" xfId="0" applyNumberFormat="1" applyFont="1" applyBorder="1" applyAlignment="1" applyProtection="1">
      <alignment horizontal="left"/>
      <protection hidden="1"/>
    </xf>
    <xf numFmtId="0" fontId="48" fillId="0" borderId="0" xfId="0" applyFont="1" applyAlignment="1" applyProtection="1">
      <alignment horizontal="left"/>
      <protection hidden="1"/>
    </xf>
    <xf numFmtId="0" fontId="38" fillId="4" borderId="40" xfId="0" applyFont="1" applyFill="1" applyBorder="1" applyAlignment="1" applyProtection="1">
      <alignment horizontal="left"/>
      <protection hidden="1"/>
    </xf>
    <xf numFmtId="164" fontId="38" fillId="4" borderId="0" xfId="0" applyNumberFormat="1" applyFont="1" applyFill="1" applyAlignment="1" applyProtection="1">
      <alignment horizontal="left"/>
      <protection hidden="1"/>
    </xf>
    <xf numFmtId="0" fontId="38" fillId="4" borderId="0" xfId="0" applyFont="1" applyFill="1" applyAlignment="1" applyProtection="1">
      <alignment horizontal="left"/>
      <protection hidden="1"/>
    </xf>
    <xf numFmtId="0" fontId="38" fillId="4" borderId="47" xfId="0" applyFont="1" applyFill="1" applyBorder="1" applyAlignment="1" applyProtection="1">
      <alignment horizontal="left"/>
      <protection hidden="1"/>
    </xf>
    <xf numFmtId="164" fontId="38" fillId="7" borderId="4" xfId="0" applyNumberFormat="1" applyFont="1" applyFill="1" applyBorder="1" applyAlignment="1" applyProtection="1">
      <alignment horizontal="left"/>
      <protection hidden="1"/>
    </xf>
    <xf numFmtId="0" fontId="38" fillId="7" borderId="21" xfId="0" applyFont="1" applyFill="1" applyBorder="1" applyAlignment="1" applyProtection="1">
      <alignment horizontal="left"/>
      <protection hidden="1"/>
    </xf>
    <xf numFmtId="164" fontId="38" fillId="7" borderId="34" xfId="0" applyNumberFormat="1" applyFont="1" applyFill="1" applyBorder="1" applyAlignment="1" applyProtection="1">
      <alignment horizontal="left"/>
      <protection hidden="1"/>
    </xf>
    <xf numFmtId="164" fontId="38" fillId="0" borderId="22" xfId="0" applyNumberFormat="1" applyFont="1" applyBorder="1" applyAlignment="1" applyProtection="1">
      <alignment horizontal="left"/>
      <protection hidden="1"/>
    </xf>
    <xf numFmtId="0" fontId="38" fillId="0" borderId="0" xfId="0" applyFont="1" applyAlignment="1" applyProtection="1">
      <alignment horizontal="left" vertical="center"/>
      <protection hidden="1"/>
    </xf>
    <xf numFmtId="0" fontId="38" fillId="0" borderId="0" xfId="0" applyFont="1" applyAlignment="1" applyProtection="1">
      <alignment horizontal="left" vertical="center" wrapText="1"/>
      <protection hidden="1"/>
    </xf>
    <xf numFmtId="0" fontId="38" fillId="0" borderId="48" xfId="0" applyFont="1" applyBorder="1" applyAlignment="1" applyProtection="1">
      <alignment horizontal="left" vertical="center" wrapText="1"/>
      <protection hidden="1"/>
    </xf>
    <xf numFmtId="0" fontId="47" fillId="0" borderId="1" xfId="0" applyFont="1" applyBorder="1" applyAlignment="1" applyProtection="1">
      <alignment horizontal="left" vertical="center"/>
      <protection hidden="1"/>
    </xf>
    <xf numFmtId="0" fontId="47" fillId="0" borderId="0" xfId="0" applyFont="1" applyAlignment="1" applyProtection="1">
      <alignment horizontal="left" vertical="center"/>
      <protection hidden="1"/>
    </xf>
    <xf numFmtId="0" fontId="38" fillId="0" borderId="48" xfId="0" applyFont="1" applyBorder="1" applyAlignment="1" applyProtection="1">
      <alignment horizontal="left" vertical="center"/>
      <protection hidden="1"/>
    </xf>
    <xf numFmtId="0" fontId="47" fillId="0" borderId="48" xfId="0" applyFont="1" applyBorder="1" applyAlignment="1" applyProtection="1">
      <alignment horizontal="left" vertical="center" wrapText="1"/>
      <protection hidden="1"/>
    </xf>
    <xf numFmtId="0" fontId="66" fillId="0" borderId="0" xfId="0" applyFont="1" applyAlignment="1">
      <alignment horizontal="center"/>
    </xf>
    <xf numFmtId="0" fontId="0" fillId="0" borderId="0" xfId="0" applyAlignment="1">
      <alignment horizontal="center"/>
    </xf>
    <xf numFmtId="0" fontId="66" fillId="0" borderId="4" xfId="0" applyFont="1" applyBorder="1" applyAlignment="1">
      <alignment horizontal="center"/>
    </xf>
    <xf numFmtId="0" fontId="0" fillId="0" borderId="4" xfId="0" applyBorder="1" applyAlignment="1">
      <alignment horizontal="center"/>
    </xf>
    <xf numFmtId="164" fontId="0" fillId="0" borderId="4" xfId="0" applyNumberFormat="1" applyBorder="1" applyAlignment="1">
      <alignment horizontal="center"/>
    </xf>
    <xf numFmtId="164" fontId="65" fillId="0" borderId="4" xfId="0" applyNumberFormat="1" applyFont="1" applyBorder="1" applyAlignment="1">
      <alignment horizontal="center"/>
    </xf>
    <xf numFmtId="9" fontId="0" fillId="0" borderId="0" xfId="0" applyNumberFormat="1" applyAlignment="1">
      <alignment horizontal="center"/>
    </xf>
    <xf numFmtId="164" fontId="65" fillId="0" borderId="0" xfId="0" applyNumberFormat="1" applyFont="1" applyAlignment="1">
      <alignment horizontal="center"/>
    </xf>
    <xf numFmtId="0" fontId="29" fillId="0" borderId="0" xfId="0" applyFont="1" applyAlignment="1">
      <alignment wrapText="1"/>
    </xf>
    <xf numFmtId="4" fontId="17" fillId="0" borderId="0" xfId="67" applyNumberFormat="1" applyFont="1" applyAlignment="1">
      <alignment horizontal="center"/>
    </xf>
    <xf numFmtId="0" fontId="38" fillId="0" borderId="1" xfId="0" applyFont="1" applyBorder="1" applyAlignment="1" applyProtection="1">
      <alignment horizontal="left" vertical="center" wrapText="1"/>
      <protection hidden="1"/>
    </xf>
    <xf numFmtId="0" fontId="38" fillId="0" borderId="1" xfId="0" applyFont="1" applyBorder="1" applyAlignment="1" applyProtection="1">
      <alignment horizontal="left" vertical="center"/>
      <protection hidden="1"/>
    </xf>
    <xf numFmtId="0" fontId="47" fillId="0" borderId="42" xfId="0" applyFont="1" applyBorder="1" applyAlignment="1" applyProtection="1">
      <alignment horizontal="left" vertical="center" wrapText="1"/>
      <protection hidden="1"/>
    </xf>
    <xf numFmtId="0" fontId="47" fillId="0" borderId="1" xfId="0" applyFont="1" applyBorder="1" applyAlignment="1" applyProtection="1">
      <alignment horizontal="left" vertical="center" wrapText="1"/>
      <protection hidden="1"/>
    </xf>
    <xf numFmtId="0" fontId="37" fillId="0" borderId="0" xfId="1" applyFont="1" applyAlignment="1" applyProtection="1">
      <alignment horizontal="left"/>
      <protection hidden="1"/>
    </xf>
    <xf numFmtId="0" fontId="67" fillId="0" borderId="0" xfId="0" applyFont="1"/>
    <xf numFmtId="164" fontId="38" fillId="0" borderId="0" xfId="65" applyNumberFormat="1" applyFont="1" applyAlignment="1" applyProtection="1">
      <alignment horizontal="left"/>
      <protection hidden="1"/>
    </xf>
    <xf numFmtId="0" fontId="37" fillId="0" borderId="0" xfId="0" applyFont="1" applyAlignment="1" applyProtection="1">
      <alignment horizontal="left"/>
      <protection hidden="1"/>
    </xf>
    <xf numFmtId="164" fontId="37" fillId="13" borderId="0" xfId="1" applyNumberFormat="1" applyFont="1" applyFill="1" applyAlignment="1" applyProtection="1">
      <alignment horizontal="left"/>
      <protection hidden="1"/>
    </xf>
    <xf numFmtId="0" fontId="38" fillId="0" borderId="24" xfId="0" applyFont="1" applyBorder="1" applyAlignment="1" applyProtection="1">
      <alignment vertical="center" wrapText="1"/>
      <protection hidden="1"/>
    </xf>
    <xf numFmtId="0" fontId="29" fillId="0" borderId="0" xfId="0" applyFont="1" applyAlignment="1">
      <alignment horizontal="left" wrapText="1"/>
    </xf>
    <xf numFmtId="0" fontId="5" fillId="14" borderId="0" xfId="1" applyFont="1" applyFill="1" applyProtection="1">
      <protection hidden="1"/>
    </xf>
    <xf numFmtId="0" fontId="68" fillId="0" borderId="0" xfId="0" applyFont="1"/>
    <xf numFmtId="0" fontId="17" fillId="0" borderId="0" xfId="0" applyFont="1" applyAlignment="1">
      <alignment horizontal="center"/>
    </xf>
    <xf numFmtId="0" fontId="17" fillId="0" borderId="0" xfId="0" applyFont="1"/>
    <xf numFmtId="0" fontId="57" fillId="0" borderId="0" xfId="0" applyFont="1"/>
    <xf numFmtId="0" fontId="58" fillId="0" borderId="4" xfId="0" applyFont="1" applyBorder="1" applyAlignment="1">
      <alignment horizontal="center" vertical="center"/>
    </xf>
    <xf numFmtId="0" fontId="69" fillId="0" borderId="4" xfId="0" applyFont="1" applyBorder="1" applyAlignment="1">
      <alignment horizontal="center"/>
    </xf>
    <xf numFmtId="0" fontId="11" fillId="0" borderId="4" xfId="0" applyFont="1" applyBorder="1" applyAlignment="1">
      <alignment horizontal="center" wrapText="1"/>
    </xf>
    <xf numFmtId="0" fontId="58" fillId="0" borderId="4" xfId="0" applyFont="1" applyBorder="1" applyAlignment="1">
      <alignment horizontal="center" wrapText="1"/>
    </xf>
    <xf numFmtId="0" fontId="17" fillId="0" borderId="4" xfId="0" applyFont="1" applyBorder="1" applyAlignment="1">
      <alignment horizontal="center"/>
    </xf>
    <xf numFmtId="0" fontId="17" fillId="0" borderId="4" xfId="0" applyFont="1" applyBorder="1"/>
    <xf numFmtId="164" fontId="17" fillId="13" borderId="4" xfId="0" applyNumberFormat="1" applyFont="1" applyFill="1" applyBorder="1" applyAlignment="1">
      <alignment horizontal="center"/>
    </xf>
    <xf numFmtId="164" fontId="17" fillId="0" borderId="4" xfId="0" applyNumberFormat="1" applyFont="1" applyBorder="1" applyAlignment="1">
      <alignment horizontal="center"/>
    </xf>
    <xf numFmtId="10" fontId="17" fillId="0" borderId="4" xfId="0" applyNumberFormat="1" applyFont="1" applyBorder="1" applyAlignment="1">
      <alignment horizontal="center"/>
    </xf>
    <xf numFmtId="0" fontId="17" fillId="0" borderId="4" xfId="28" applyFont="1" applyBorder="1" applyAlignment="1">
      <alignment horizontal="center"/>
    </xf>
    <xf numFmtId="10" fontId="17" fillId="0" borderId="0" xfId="0" applyNumberFormat="1" applyFont="1" applyAlignment="1">
      <alignment horizontal="center"/>
    </xf>
    <xf numFmtId="3" fontId="17" fillId="0" borderId="0" xfId="0" applyNumberFormat="1" applyFont="1" applyAlignment="1">
      <alignment horizontal="center"/>
    </xf>
    <xf numFmtId="164" fontId="17" fillId="0" borderId="0" xfId="0" applyNumberFormat="1" applyFont="1" applyAlignment="1">
      <alignment horizontal="center"/>
    </xf>
    <xf numFmtId="0" fontId="50" fillId="6" borderId="0" xfId="0" applyFont="1" applyFill="1"/>
    <xf numFmtId="0" fontId="51" fillId="9" borderId="49" xfId="0" applyFont="1" applyFill="1" applyBorder="1" applyAlignment="1">
      <alignment horizontal="left"/>
    </xf>
    <xf numFmtId="0" fontId="52" fillId="9" borderId="50" xfId="0" applyFont="1" applyFill="1" applyBorder="1" applyAlignment="1">
      <alignment horizontal="centerContinuous"/>
    </xf>
    <xf numFmtId="0" fontId="52" fillId="9" borderId="50" xfId="0" quotePrefix="1" applyFont="1" applyFill="1" applyBorder="1" applyAlignment="1">
      <alignment horizontal="centerContinuous"/>
    </xf>
    <xf numFmtId="0" fontId="52" fillId="9" borderId="51" xfId="0" applyFont="1" applyFill="1" applyBorder="1" applyAlignment="1">
      <alignment horizontal="centerContinuous"/>
    </xf>
    <xf numFmtId="0" fontId="50" fillId="6" borderId="0" xfId="0" applyFont="1" applyFill="1" applyAlignment="1">
      <alignment horizontal="left"/>
    </xf>
    <xf numFmtId="0" fontId="53" fillId="6" borderId="0" xfId="0" applyFont="1" applyFill="1"/>
    <xf numFmtId="0" fontId="53" fillId="0" borderId="0" xfId="0" applyFont="1"/>
    <xf numFmtId="0" fontId="52" fillId="6" borderId="0" xfId="0" applyFont="1" applyFill="1"/>
    <xf numFmtId="0" fontId="51" fillId="9" borderId="52" xfId="0" quotePrefix="1" applyFont="1" applyFill="1" applyBorder="1" applyAlignment="1">
      <alignment horizontal="left"/>
    </xf>
    <xf numFmtId="0" fontId="52" fillId="9" borderId="24" xfId="0" applyFont="1" applyFill="1" applyBorder="1" applyAlignment="1">
      <alignment horizontal="centerContinuous"/>
    </xf>
    <xf numFmtId="0" fontId="52" fillId="9" borderId="24" xfId="0" quotePrefix="1" applyFont="1" applyFill="1" applyBorder="1" applyAlignment="1">
      <alignment horizontal="centerContinuous"/>
    </xf>
    <xf numFmtId="0" fontId="50" fillId="6" borderId="53" xfId="0" applyFont="1" applyFill="1" applyBorder="1"/>
    <xf numFmtId="0" fontId="52" fillId="10" borderId="35" xfId="0" applyFont="1" applyFill="1" applyBorder="1" applyAlignment="1">
      <alignment horizontal="left"/>
    </xf>
    <xf numFmtId="0" fontId="52" fillId="10" borderId="38" xfId="0" applyFont="1" applyFill="1" applyBorder="1" applyAlignment="1">
      <alignment horizontal="centerContinuous"/>
    </xf>
    <xf numFmtId="0" fontId="52" fillId="10" borderId="38" xfId="0" quotePrefix="1" applyFont="1" applyFill="1" applyBorder="1" applyAlignment="1">
      <alignment horizontal="centerContinuous"/>
    </xf>
    <xf numFmtId="0" fontId="52" fillId="10" borderId="39" xfId="0" applyFont="1" applyFill="1" applyBorder="1" applyAlignment="1">
      <alignment horizontal="centerContinuous"/>
    </xf>
    <xf numFmtId="0" fontId="52" fillId="10" borderId="40" xfId="0" applyFont="1" applyFill="1" applyBorder="1" applyAlignment="1">
      <alignment horizontal="left"/>
    </xf>
    <xf numFmtId="0" fontId="52" fillId="10" borderId="0" xfId="0" applyFont="1" applyFill="1" applyAlignment="1">
      <alignment horizontal="centerContinuous"/>
    </xf>
    <xf numFmtId="0" fontId="52" fillId="10" borderId="0" xfId="0" quotePrefix="1" applyFont="1" applyFill="1" applyAlignment="1">
      <alignment horizontal="centerContinuous"/>
    </xf>
    <xf numFmtId="0" fontId="52" fillId="10" borderId="47" xfId="0" applyFont="1" applyFill="1" applyBorder="1" applyAlignment="1">
      <alignment horizontal="centerContinuous"/>
    </xf>
    <xf numFmtId="0" fontId="50" fillId="10" borderId="40" xfId="0" applyFont="1" applyFill="1" applyBorder="1"/>
    <xf numFmtId="0" fontId="52" fillId="10" borderId="0" xfId="0" applyFont="1" applyFill="1"/>
    <xf numFmtId="0" fontId="52" fillId="10" borderId="47" xfId="0" applyFont="1" applyFill="1" applyBorder="1"/>
    <xf numFmtId="0" fontId="13" fillId="6" borderId="0" xfId="0" applyFont="1" applyFill="1" applyAlignment="1">
      <alignment horizontal="right"/>
    </xf>
    <xf numFmtId="0" fontId="50" fillId="10" borderId="54" xfId="0" applyFont="1" applyFill="1" applyBorder="1"/>
    <xf numFmtId="0" fontId="52" fillId="10" borderId="9" xfId="0" applyFont="1" applyFill="1" applyBorder="1"/>
    <xf numFmtId="0" fontId="52" fillId="10" borderId="55" xfId="0" applyFont="1" applyFill="1" applyBorder="1"/>
    <xf numFmtId="0" fontId="7" fillId="11" borderId="35" xfId="0" applyFont="1" applyFill="1" applyBorder="1"/>
    <xf numFmtId="0" fontId="7" fillId="11" borderId="38" xfId="0" applyFont="1" applyFill="1" applyBorder="1"/>
    <xf numFmtId="0" fontId="7" fillId="11" borderId="38" xfId="0" applyFont="1" applyFill="1" applyBorder="1" applyAlignment="1">
      <alignment horizontal="left"/>
    </xf>
    <xf numFmtId="0" fontId="7" fillId="11" borderId="56" xfId="0" applyFont="1" applyFill="1" applyBorder="1"/>
    <xf numFmtId="0" fontId="7" fillId="11" borderId="57" xfId="0" applyFont="1" applyFill="1" applyBorder="1" applyAlignment="1">
      <alignment horizontal="left"/>
    </xf>
    <xf numFmtId="0" fontId="7" fillId="11" borderId="57" xfId="0" applyFont="1" applyFill="1" applyBorder="1"/>
    <xf numFmtId="0" fontId="7" fillId="11" borderId="58" xfId="0" applyFont="1" applyFill="1" applyBorder="1"/>
    <xf numFmtId="0" fontId="13" fillId="11" borderId="35" xfId="0" applyFont="1" applyFill="1" applyBorder="1" applyAlignment="1">
      <alignment horizontal="right"/>
    </xf>
    <xf numFmtId="0" fontId="13" fillId="11" borderId="38" xfId="0" applyFont="1" applyFill="1" applyBorder="1" applyAlignment="1">
      <alignment horizontal="right"/>
    </xf>
    <xf numFmtId="0" fontId="13" fillId="11" borderId="39" xfId="0" applyFont="1" applyFill="1" applyBorder="1" applyAlignment="1">
      <alignment horizontal="right"/>
    </xf>
    <xf numFmtId="0" fontId="11" fillId="6" borderId="0" xfId="0" applyFont="1" applyFill="1"/>
    <xf numFmtId="0" fontId="7" fillId="11" borderId="40" xfId="0" applyFont="1" applyFill="1" applyBorder="1"/>
    <xf numFmtId="0" fontId="7" fillId="11" borderId="0" xfId="0" applyFont="1" applyFill="1"/>
    <xf numFmtId="0" fontId="7" fillId="11" borderId="0" xfId="0" applyFont="1" applyFill="1" applyAlignment="1">
      <alignment horizontal="center"/>
    </xf>
    <xf numFmtId="0" fontId="7" fillId="11" borderId="47" xfId="0" applyFont="1" applyFill="1" applyBorder="1"/>
    <xf numFmtId="0" fontId="7" fillId="6" borderId="0" xfId="0" applyFont="1" applyFill="1"/>
    <xf numFmtId="0" fontId="54" fillId="6" borderId="0" xfId="0" applyFont="1" applyFill="1"/>
    <xf numFmtId="0" fontId="54" fillId="0" borderId="0" xfId="0" applyFont="1"/>
    <xf numFmtId="2" fontId="7" fillId="11" borderId="0" xfId="0" applyNumberFormat="1" applyFont="1" applyFill="1"/>
    <xf numFmtId="10" fontId="7" fillId="11" borderId="0" xfId="0" applyNumberFormat="1" applyFont="1" applyFill="1"/>
    <xf numFmtId="169" fontId="7" fillId="11" borderId="0" xfId="0" applyNumberFormat="1" applyFont="1" applyFill="1" applyAlignment="1">
      <alignment horizontal="left"/>
    </xf>
    <xf numFmtId="169" fontId="7" fillId="11" borderId="0" xfId="0" applyNumberFormat="1" applyFont="1" applyFill="1"/>
    <xf numFmtId="0" fontId="7" fillId="11" borderId="47" xfId="0" applyFont="1" applyFill="1" applyBorder="1" applyAlignment="1">
      <alignment horizontal="left"/>
    </xf>
    <xf numFmtId="0" fontId="7" fillId="6" borderId="0" xfId="0" applyFont="1" applyFill="1" applyAlignment="1">
      <alignment horizontal="right"/>
    </xf>
    <xf numFmtId="170" fontId="7" fillId="11" borderId="0" xfId="0" applyNumberFormat="1" applyFont="1" applyFill="1"/>
    <xf numFmtId="170" fontId="7" fillId="11" borderId="47" xfId="0" applyNumberFormat="1" applyFont="1" applyFill="1" applyBorder="1"/>
    <xf numFmtId="0" fontId="7" fillId="11" borderId="54" xfId="0" applyFont="1" applyFill="1" applyBorder="1"/>
    <xf numFmtId="0" fontId="7" fillId="11" borderId="9" xfId="0" applyFont="1" applyFill="1" applyBorder="1"/>
    <xf numFmtId="0" fontId="7" fillId="11" borderId="9" xfId="0" applyFont="1" applyFill="1" applyBorder="1" applyAlignment="1">
      <alignment horizontal="left"/>
    </xf>
    <xf numFmtId="169" fontId="7" fillId="11" borderId="9" xfId="0" applyNumberFormat="1" applyFont="1" applyFill="1" applyBorder="1"/>
    <xf numFmtId="10" fontId="7" fillId="11" borderId="9" xfId="0" applyNumberFormat="1" applyFont="1" applyFill="1" applyBorder="1"/>
    <xf numFmtId="2" fontId="7" fillId="11" borderId="9" xfId="0" applyNumberFormat="1" applyFont="1" applyFill="1" applyBorder="1"/>
    <xf numFmtId="171" fontId="7" fillId="11" borderId="9" xfId="0" applyNumberFormat="1" applyFont="1" applyFill="1" applyBorder="1"/>
    <xf numFmtId="169" fontId="7" fillId="11" borderId="9" xfId="0" applyNumberFormat="1" applyFont="1" applyFill="1" applyBorder="1" applyAlignment="1">
      <alignment horizontal="left"/>
    </xf>
    <xf numFmtId="0" fontId="7" fillId="11" borderId="55" xfId="0" applyFont="1" applyFill="1" applyBorder="1"/>
    <xf numFmtId="172" fontId="11" fillId="6" borderId="59" xfId="0" applyNumberFormat="1" applyFont="1" applyFill="1" applyBorder="1" applyAlignment="1">
      <alignment horizontal="left"/>
    </xf>
    <xf numFmtId="172" fontId="11" fillId="6" borderId="59" xfId="0" applyNumberFormat="1" applyFont="1" applyFill="1" applyBorder="1"/>
    <xf numFmtId="0" fontId="11" fillId="6" borderId="59" xfId="0" applyFont="1" applyFill="1" applyBorder="1"/>
    <xf numFmtId="0" fontId="11" fillId="0" borderId="0" xfId="0" applyFont="1"/>
    <xf numFmtId="172" fontId="50" fillId="6" borderId="0" xfId="0" applyNumberFormat="1" applyFont="1" applyFill="1" applyAlignment="1">
      <alignment horizontal="fill"/>
    </xf>
    <xf numFmtId="172" fontId="50" fillId="6" borderId="0" xfId="0" applyNumberFormat="1" applyFont="1" applyFill="1" applyAlignment="1">
      <alignment horizontal="center"/>
    </xf>
    <xf numFmtId="0" fontId="7" fillId="6" borderId="61" xfId="0" applyFont="1" applyFill="1" applyBorder="1"/>
    <xf numFmtId="0" fontId="7" fillId="11" borderId="54" xfId="0" applyFont="1" applyFill="1" applyBorder="1" applyAlignment="1">
      <alignment horizontal="center"/>
    </xf>
    <xf numFmtId="170" fontId="7" fillId="11" borderId="9" xfId="0" applyNumberFormat="1" applyFont="1" applyFill="1" applyBorder="1"/>
    <xf numFmtId="172" fontId="50" fillId="9" borderId="40" xfId="0" applyNumberFormat="1" applyFont="1" applyFill="1" applyBorder="1"/>
    <xf numFmtId="0" fontId="52" fillId="9" borderId="0" xfId="0" applyFont="1" applyFill="1"/>
    <xf numFmtId="166" fontId="52" fillId="9" borderId="0" xfId="0" applyNumberFormat="1" applyFont="1" applyFill="1" applyAlignment="1">
      <alignment horizontal="right"/>
    </xf>
    <xf numFmtId="0" fontId="52" fillId="9" borderId="0" xfId="0" applyFont="1" applyFill="1" applyAlignment="1">
      <alignment horizontal="left"/>
    </xf>
    <xf numFmtId="166" fontId="52" fillId="9" borderId="40" xfId="0" applyNumberFormat="1" applyFont="1" applyFill="1" applyBorder="1" applyAlignment="1">
      <alignment horizontal="right"/>
    </xf>
    <xf numFmtId="0" fontId="52" fillId="9" borderId="0" xfId="0" applyFont="1" applyFill="1" applyAlignment="1">
      <alignment horizontal="right"/>
    </xf>
    <xf numFmtId="0" fontId="50" fillId="9" borderId="47" xfId="0" applyFont="1" applyFill="1" applyBorder="1"/>
    <xf numFmtId="0" fontId="50" fillId="0" borderId="0" xfId="0" applyFont="1"/>
    <xf numFmtId="172" fontId="50" fillId="9" borderId="54" xfId="0" applyNumberFormat="1" applyFont="1" applyFill="1" applyBorder="1"/>
    <xf numFmtId="172" fontId="50" fillId="9" borderId="9" xfId="0" applyNumberFormat="1" applyFont="1" applyFill="1" applyBorder="1" applyAlignment="1">
      <alignment horizontal="fill"/>
    </xf>
    <xf numFmtId="172" fontId="50" fillId="9" borderId="54" xfId="0" applyNumberFormat="1" applyFont="1" applyFill="1" applyBorder="1" applyAlignment="1">
      <alignment horizontal="fill"/>
    </xf>
    <xf numFmtId="0" fontId="50" fillId="9" borderId="55" xfId="0" applyFont="1" applyFill="1" applyBorder="1"/>
    <xf numFmtId="169" fontId="50" fillId="6" borderId="0" xfId="0" applyNumberFormat="1" applyFont="1" applyFill="1"/>
    <xf numFmtId="172" fontId="50" fillId="11" borderId="40" xfId="0" applyNumberFormat="1" applyFont="1" applyFill="1" applyBorder="1"/>
    <xf numFmtId="166" fontId="55" fillId="11" borderId="0" xfId="0" quotePrefix="1" applyNumberFormat="1" applyFont="1" applyFill="1" applyAlignment="1">
      <alignment horizontal="left"/>
    </xf>
    <xf numFmtId="166" fontId="55" fillId="11" borderId="0" xfId="0" applyNumberFormat="1" applyFont="1" applyFill="1" applyAlignment="1">
      <alignment horizontal="left"/>
    </xf>
    <xf numFmtId="0" fontId="55" fillId="11" borderId="0" xfId="0" applyFont="1" applyFill="1"/>
    <xf numFmtId="3" fontId="55" fillId="11" borderId="0" xfId="0" applyNumberFormat="1" applyFont="1" applyFill="1"/>
    <xf numFmtId="3" fontId="55" fillId="11" borderId="40" xfId="0" applyNumberFormat="1" applyFont="1" applyFill="1" applyBorder="1"/>
    <xf numFmtId="0" fontId="50" fillId="11" borderId="47" xfId="0" applyFont="1" applyFill="1" applyBorder="1"/>
    <xf numFmtId="0" fontId="55" fillId="11" borderId="0" xfId="0" applyFont="1" applyFill="1" applyAlignment="1">
      <alignment horizontal="left"/>
    </xf>
    <xf numFmtId="3" fontId="50" fillId="6" borderId="0" xfId="0" applyNumberFormat="1" applyFont="1" applyFill="1"/>
    <xf numFmtId="0" fontId="50" fillId="11" borderId="40" xfId="0" applyFont="1" applyFill="1" applyBorder="1"/>
    <xf numFmtId="166" fontId="50" fillId="6" borderId="0" xfId="0" applyNumberFormat="1" applyFont="1" applyFill="1"/>
    <xf numFmtId="0" fontId="55" fillId="11" borderId="10" xfId="0" applyFont="1" applyFill="1" applyBorder="1" applyAlignment="1">
      <alignment horizontal="left"/>
    </xf>
    <xf numFmtId="0" fontId="55" fillId="11" borderId="10" xfId="0" applyFont="1" applyFill="1" applyBorder="1"/>
    <xf numFmtId="3" fontId="55" fillId="11" borderId="10" xfId="0" applyNumberFormat="1" applyFont="1" applyFill="1" applyBorder="1"/>
    <xf numFmtId="3" fontId="55" fillId="11" borderId="62" xfId="0" applyNumberFormat="1" applyFont="1" applyFill="1" applyBorder="1"/>
    <xf numFmtId="3" fontId="55" fillId="11" borderId="47" xfId="0" applyNumberFormat="1" applyFont="1" applyFill="1" applyBorder="1"/>
    <xf numFmtId="0" fontId="50" fillId="11" borderId="54" xfId="0" applyFont="1" applyFill="1" applyBorder="1" applyAlignment="1">
      <alignment horizontal="right"/>
    </xf>
    <xf numFmtId="0" fontId="50" fillId="11" borderId="9" xfId="0" applyFont="1" applyFill="1" applyBorder="1" applyAlignment="1">
      <alignment horizontal="left"/>
    </xf>
    <xf numFmtId="0" fontId="50" fillId="11" borderId="9" xfId="0" applyFont="1" applyFill="1" applyBorder="1"/>
    <xf numFmtId="3" fontId="50" fillId="11" borderId="9" xfId="0" applyNumberFormat="1" applyFont="1" applyFill="1" applyBorder="1"/>
    <xf numFmtId="3" fontId="50" fillId="11" borderId="54" xfId="0" applyNumberFormat="1" applyFont="1" applyFill="1" applyBorder="1"/>
    <xf numFmtId="0" fontId="50" fillId="11" borderId="55" xfId="0" applyFont="1" applyFill="1" applyBorder="1"/>
    <xf numFmtId="3" fontId="55" fillId="15" borderId="10" xfId="0" applyNumberFormat="1" applyFont="1" applyFill="1" applyBorder="1"/>
    <xf numFmtId="3" fontId="55" fillId="13" borderId="10" xfId="0" applyNumberFormat="1" applyFont="1" applyFill="1" applyBorder="1"/>
    <xf numFmtId="164" fontId="28" fillId="14" borderId="0" xfId="0" applyNumberFormat="1" applyFont="1" applyFill="1" applyAlignment="1">
      <alignment horizontal="center"/>
    </xf>
    <xf numFmtId="0" fontId="0" fillId="0" borderId="0" xfId="0" applyAlignment="1">
      <alignment horizontal="center" vertical="center" wrapText="1"/>
    </xf>
    <xf numFmtId="0" fontId="4" fillId="11" borderId="63" xfId="0" applyFont="1" applyFill="1" applyBorder="1" applyAlignment="1">
      <alignment horizontal="centerContinuous"/>
    </xf>
    <xf numFmtId="0" fontId="4" fillId="11" borderId="64" xfId="0" applyFont="1" applyFill="1" applyBorder="1" applyAlignment="1">
      <alignment horizontal="centerContinuous"/>
    </xf>
    <xf numFmtId="0" fontId="4" fillId="11" borderId="64" xfId="0" quotePrefix="1" applyFont="1" applyFill="1" applyBorder="1" applyAlignment="1">
      <alignment horizontal="centerContinuous"/>
    </xf>
    <xf numFmtId="0" fontId="70" fillId="11" borderId="64" xfId="0" applyFont="1" applyFill="1" applyBorder="1" applyAlignment="1">
      <alignment horizontal="centerContinuous"/>
    </xf>
    <xf numFmtId="0" fontId="4" fillId="11" borderId="65" xfId="0" applyFont="1" applyFill="1" applyBorder="1" applyAlignment="1">
      <alignment horizontal="centerContinuous"/>
    </xf>
    <xf numFmtId="0" fontId="5" fillId="0" borderId="0" xfId="0" applyFont="1"/>
    <xf numFmtId="0" fontId="4" fillId="0" borderId="0" xfId="0" applyFont="1" applyAlignment="1">
      <alignment horizontal="centerContinuous"/>
    </xf>
    <xf numFmtId="0" fontId="4" fillId="0" borderId="0" xfId="0" quotePrefix="1" applyFont="1" applyAlignment="1">
      <alignment horizontal="centerContinuous"/>
    </xf>
    <xf numFmtId="0" fontId="5" fillId="0" borderId="0" xfId="0" applyFont="1" applyAlignment="1">
      <alignment horizontal="left"/>
    </xf>
    <xf numFmtId="0" fontId="5" fillId="11" borderId="35" xfId="0" applyFont="1" applyFill="1" applyBorder="1" applyAlignment="1">
      <alignment horizontal="left"/>
    </xf>
    <xf numFmtId="0" fontId="5" fillId="11" borderId="38" xfId="0" applyFont="1" applyFill="1" applyBorder="1"/>
    <xf numFmtId="0" fontId="5" fillId="11" borderId="39" xfId="0" applyFont="1" applyFill="1" applyBorder="1"/>
    <xf numFmtId="0" fontId="49" fillId="0" borderId="0" xfId="64"/>
    <xf numFmtId="0" fontId="72" fillId="6" borderId="0" xfId="64" applyFont="1" applyFill="1" applyAlignment="1">
      <alignment horizontal="right"/>
    </xf>
    <xf numFmtId="0" fontId="7" fillId="0" borderId="0" xfId="0" applyFont="1"/>
    <xf numFmtId="0" fontId="54" fillId="6" borderId="0" xfId="64" applyFont="1" applyFill="1"/>
    <xf numFmtId="0" fontId="11" fillId="0" borderId="0" xfId="0" quotePrefix="1" applyFont="1" applyAlignment="1">
      <alignment horizontal="left"/>
    </xf>
    <xf numFmtId="170" fontId="54" fillId="6" borderId="0" xfId="64" applyNumberFormat="1" applyFont="1" applyFill="1"/>
    <xf numFmtId="0" fontId="11" fillId="11" borderId="35" xfId="0" applyFont="1" applyFill="1" applyBorder="1"/>
    <xf numFmtId="0" fontId="11" fillId="11" borderId="38" xfId="0" applyFont="1" applyFill="1" applyBorder="1" applyAlignment="1">
      <alignment horizontal="left"/>
    </xf>
    <xf numFmtId="0" fontId="11" fillId="11" borderId="38" xfId="0" applyFont="1" applyFill="1" applyBorder="1"/>
    <xf numFmtId="0" fontId="11" fillId="11" borderId="39" xfId="0" applyFont="1" applyFill="1" applyBorder="1"/>
    <xf numFmtId="0" fontId="1" fillId="0" borderId="0" xfId="64" applyFont="1"/>
    <xf numFmtId="0" fontId="11" fillId="11" borderId="40" xfId="0" applyFont="1" applyFill="1" applyBorder="1"/>
    <xf numFmtId="0" fontId="11" fillId="11" borderId="0" xfId="0" applyFont="1" applyFill="1"/>
    <xf numFmtId="0" fontId="11" fillId="11" borderId="0" xfId="0" applyFont="1" applyFill="1" applyAlignment="1">
      <alignment horizontal="right"/>
    </xf>
    <xf numFmtId="0" fontId="11" fillId="11" borderId="47" xfId="0" applyFont="1" applyFill="1" applyBorder="1"/>
    <xf numFmtId="0" fontId="7" fillId="0" borderId="0" xfId="64" applyFont="1"/>
    <xf numFmtId="172" fontId="11" fillId="11" borderId="54" xfId="0" applyNumberFormat="1" applyFont="1" applyFill="1" applyBorder="1" applyAlignment="1">
      <alignment horizontal="left"/>
    </xf>
    <xf numFmtId="172" fontId="11" fillId="11" borderId="9" xfId="0" applyNumberFormat="1" applyFont="1" applyFill="1" applyBorder="1"/>
    <xf numFmtId="0" fontId="11" fillId="11" borderId="9" xfId="0" applyFont="1" applyFill="1" applyBorder="1"/>
    <xf numFmtId="0" fontId="11" fillId="11" borderId="55" xfId="0" applyFont="1" applyFill="1" applyBorder="1"/>
    <xf numFmtId="0" fontId="7" fillId="0" borderId="9" xfId="0" applyFont="1" applyBorder="1"/>
    <xf numFmtId="172" fontId="7" fillId="0" borderId="9" xfId="0" applyNumberFormat="1" applyFont="1" applyBorder="1" applyAlignment="1">
      <alignment horizontal="fill"/>
    </xf>
    <xf numFmtId="0" fontId="54" fillId="6" borderId="0" xfId="64" applyFont="1" applyFill="1" applyAlignment="1">
      <alignment horizontal="right"/>
    </xf>
    <xf numFmtId="166" fontId="50" fillId="11" borderId="0" xfId="0" applyNumberFormat="1" applyFont="1" applyFill="1" applyAlignment="1">
      <alignment horizontal="left"/>
    </xf>
    <xf numFmtId="166" fontId="52" fillId="11" borderId="0" xfId="0" applyNumberFormat="1" applyFont="1" applyFill="1" applyAlignment="1">
      <alignment horizontal="centerContinuous"/>
    </xf>
    <xf numFmtId="0" fontId="52" fillId="11" borderId="0" xfId="0" applyFont="1" applyFill="1" applyAlignment="1">
      <alignment horizontal="centerContinuous"/>
    </xf>
    <xf numFmtId="0" fontId="50" fillId="11" borderId="0" xfId="0" applyFont="1" applyFill="1"/>
    <xf numFmtId="0" fontId="52" fillId="11" borderId="40" xfId="0" applyFont="1" applyFill="1" applyBorder="1" applyAlignment="1">
      <alignment horizontal="centerContinuous"/>
    </xf>
    <xf numFmtId="0" fontId="50" fillId="11" borderId="0" xfId="0" applyFont="1" applyFill="1" applyAlignment="1">
      <alignment horizontal="centerContinuous"/>
    </xf>
    <xf numFmtId="0" fontId="52" fillId="11" borderId="0" xfId="0" applyFont="1" applyFill="1"/>
    <xf numFmtId="166" fontId="52" fillId="11" borderId="0" xfId="0" applyNumberFormat="1" applyFont="1" applyFill="1" applyAlignment="1">
      <alignment horizontal="right"/>
    </xf>
    <xf numFmtId="166" fontId="52" fillId="11" borderId="0" xfId="0" quotePrefix="1" applyNumberFormat="1" applyFont="1" applyFill="1" applyAlignment="1">
      <alignment horizontal="right"/>
    </xf>
    <xf numFmtId="0" fontId="52" fillId="11" borderId="0" xfId="0" applyFont="1" applyFill="1" applyAlignment="1">
      <alignment horizontal="left"/>
    </xf>
    <xf numFmtId="166" fontId="52" fillId="11" borderId="40" xfId="0" applyNumberFormat="1" applyFont="1" applyFill="1" applyBorder="1" applyAlignment="1">
      <alignment horizontal="right"/>
    </xf>
    <xf numFmtId="0" fontId="52" fillId="11" borderId="0" xfId="0" applyFont="1" applyFill="1" applyAlignment="1">
      <alignment horizontal="right"/>
    </xf>
    <xf numFmtId="0" fontId="7" fillId="11" borderId="54" xfId="0" applyFont="1" applyFill="1" applyBorder="1" applyAlignment="1">
      <alignment horizontal="left"/>
    </xf>
    <xf numFmtId="172" fontId="50" fillId="11" borderId="54" xfId="0" applyNumberFormat="1" applyFont="1" applyFill="1" applyBorder="1"/>
    <xf numFmtId="172" fontId="50" fillId="11" borderId="9" xfId="0" applyNumberFormat="1" applyFont="1" applyFill="1" applyBorder="1" applyAlignment="1">
      <alignment horizontal="fill"/>
    </xf>
    <xf numFmtId="172" fontId="50" fillId="11" borderId="54" xfId="0" applyNumberFormat="1" applyFont="1" applyFill="1" applyBorder="1" applyAlignment="1">
      <alignment horizontal="fill"/>
    </xf>
    <xf numFmtId="0" fontId="7" fillId="0" borderId="0" xfId="0" applyFont="1" applyAlignment="1">
      <alignment horizontal="left"/>
    </xf>
    <xf numFmtId="170" fontId="7" fillId="0" borderId="0" xfId="0" applyNumberFormat="1" applyFont="1"/>
    <xf numFmtId="172" fontId="50" fillId="11" borderId="35" xfId="0" applyNumberFormat="1" applyFont="1" applyFill="1" applyBorder="1" applyAlignment="1">
      <alignment horizontal="fill"/>
    </xf>
    <xf numFmtId="172" fontId="50" fillId="11" borderId="38" xfId="0" applyNumberFormat="1" applyFont="1" applyFill="1" applyBorder="1" applyAlignment="1">
      <alignment horizontal="fill"/>
    </xf>
    <xf numFmtId="172" fontId="50" fillId="11" borderId="39" xfId="0" applyNumberFormat="1" applyFont="1" applyFill="1" applyBorder="1" applyAlignment="1">
      <alignment horizontal="fill"/>
    </xf>
    <xf numFmtId="1" fontId="50" fillId="11" borderId="0" xfId="0" applyNumberFormat="1" applyFont="1" applyFill="1" applyAlignment="1">
      <alignment horizontal="center"/>
    </xf>
    <xf numFmtId="164" fontId="50" fillId="11" borderId="0" xfId="0" applyNumberFormat="1" applyFont="1" applyFill="1"/>
    <xf numFmtId="164" fontId="50" fillId="11" borderId="47" xfId="0" applyNumberFormat="1" applyFont="1" applyFill="1" applyBorder="1"/>
    <xf numFmtId="164" fontId="50" fillId="0" borderId="0" xfId="0" applyNumberFormat="1" applyFont="1"/>
    <xf numFmtId="169" fontId="7" fillId="0" borderId="0" xfId="0" applyNumberFormat="1" applyFont="1"/>
    <xf numFmtId="0" fontId="50" fillId="11" borderId="0" xfId="0" applyFont="1" applyFill="1" applyAlignment="1">
      <alignment horizontal="left"/>
    </xf>
    <xf numFmtId="164" fontId="50" fillId="8" borderId="0" xfId="0" applyNumberFormat="1" applyFont="1" applyFill="1"/>
    <xf numFmtId="164" fontId="50" fillId="13" borderId="0" xfId="0" applyNumberFormat="1" applyFont="1" applyFill="1"/>
    <xf numFmtId="166" fontId="7" fillId="0" borderId="0" xfId="0" applyNumberFormat="1" applyFont="1"/>
    <xf numFmtId="174" fontId="7" fillId="0" borderId="0" xfId="9" applyNumberFormat="1" applyFont="1"/>
    <xf numFmtId="0" fontId="50" fillId="11" borderId="40" xfId="0" quotePrefix="1" applyFont="1" applyFill="1" applyBorder="1"/>
    <xf numFmtId="164" fontId="50" fillId="11" borderId="0" xfId="0" quotePrefix="1" applyNumberFormat="1" applyFont="1" applyFill="1"/>
    <xf numFmtId="0" fontId="52" fillId="11" borderId="40" xfId="0" applyFont="1" applyFill="1" applyBorder="1" applyAlignment="1">
      <alignment horizontal="right"/>
    </xf>
    <xf numFmtId="0" fontId="50" fillId="11" borderId="40" xfId="0" applyFont="1" applyFill="1" applyBorder="1" applyAlignment="1">
      <alignment horizontal="left"/>
    </xf>
    <xf numFmtId="166" fontId="50" fillId="11" borderId="0" xfId="0" applyNumberFormat="1" applyFont="1" applyFill="1" applyAlignment="1">
      <alignment horizontal="center"/>
    </xf>
    <xf numFmtId="0" fontId="73" fillId="11" borderId="40" xfId="0" applyFont="1" applyFill="1" applyBorder="1"/>
    <xf numFmtId="3" fontId="50" fillId="11" borderId="0" xfId="0" applyNumberFormat="1" applyFont="1" applyFill="1"/>
    <xf numFmtId="3" fontId="50" fillId="11" borderId="47" xfId="0" applyNumberFormat="1" applyFont="1" applyFill="1" applyBorder="1"/>
    <xf numFmtId="0" fontId="52" fillId="11" borderId="54" xfId="0" quotePrefix="1" applyFont="1" applyFill="1" applyBorder="1"/>
    <xf numFmtId="166" fontId="50" fillId="11" borderId="9" xfId="0" applyNumberFormat="1" applyFont="1" applyFill="1" applyBorder="1" applyAlignment="1">
      <alignment horizontal="center"/>
    </xf>
    <xf numFmtId="3" fontId="50" fillId="11" borderId="55" xfId="0" applyNumberFormat="1" applyFont="1" applyFill="1" applyBorder="1"/>
    <xf numFmtId="3" fontId="50" fillId="11" borderId="9" xfId="0" quotePrefix="1" applyNumberFormat="1" applyFont="1" applyFill="1" applyBorder="1"/>
    <xf numFmtId="0" fontId="11" fillId="0" borderId="0" xfId="0" applyFont="1" applyAlignment="1">
      <alignment horizontal="right"/>
    </xf>
    <xf numFmtId="166" fontId="7" fillId="0" borderId="0" xfId="0" applyNumberFormat="1" applyFont="1" applyAlignment="1">
      <alignment horizontal="center"/>
    </xf>
    <xf numFmtId="3" fontId="7" fillId="0" borderId="0" xfId="0" applyNumberFormat="1" applyFont="1"/>
    <xf numFmtId="1" fontId="7" fillId="11" borderId="38" xfId="0" applyNumberFormat="1" applyFont="1" applyFill="1" applyBorder="1" applyAlignment="1">
      <alignment horizontal="center"/>
    </xf>
    <xf numFmtId="3" fontId="7" fillId="11" borderId="38" xfId="0" applyNumberFormat="1" applyFont="1" applyFill="1" applyBorder="1"/>
    <xf numFmtId="3" fontId="7" fillId="11" borderId="39" xfId="0" applyNumberFormat="1" applyFont="1" applyFill="1" applyBorder="1"/>
    <xf numFmtId="0" fontId="7" fillId="11" borderId="0" xfId="0" applyFont="1" applyFill="1" applyAlignment="1">
      <alignment horizontal="left"/>
    </xf>
    <xf numFmtId="1" fontId="7" fillId="11" borderId="0" xfId="0" applyNumberFormat="1" applyFont="1" applyFill="1" applyAlignment="1">
      <alignment horizontal="center"/>
    </xf>
    <xf numFmtId="3" fontId="7" fillId="11" borderId="0" xfId="0" applyNumberFormat="1" applyFont="1" applyFill="1"/>
    <xf numFmtId="3" fontId="7" fillId="11" borderId="47" xfId="0" applyNumberFormat="1" applyFont="1" applyFill="1" applyBorder="1"/>
    <xf numFmtId="164" fontId="7" fillId="11" borderId="0" xfId="0" applyNumberFormat="1" applyFont="1" applyFill="1"/>
    <xf numFmtId="0" fontId="18" fillId="11" borderId="0" xfId="0" applyFont="1" applyFill="1"/>
    <xf numFmtId="0" fontId="18" fillId="11" borderId="47" xfId="0" applyFont="1" applyFill="1" applyBorder="1"/>
    <xf numFmtId="0" fontId="7" fillId="11" borderId="40" xfId="0" applyFont="1" applyFill="1" applyBorder="1" applyAlignment="1">
      <alignment horizontal="left"/>
    </xf>
    <xf numFmtId="164" fontId="7" fillId="8" borderId="0" xfId="0" applyNumberFormat="1" applyFont="1" applyFill="1"/>
    <xf numFmtId="164" fontId="7" fillId="11" borderId="9" xfId="0" applyNumberFormat="1" applyFont="1" applyFill="1" applyBorder="1"/>
    <xf numFmtId="0" fontId="18" fillId="11" borderId="9" xfId="0" applyFont="1" applyFill="1" applyBorder="1"/>
    <xf numFmtId="3" fontId="7" fillId="11" borderId="55" xfId="0" applyNumberFormat="1" applyFont="1" applyFill="1" applyBorder="1"/>
    <xf numFmtId="0" fontId="13" fillId="0" borderId="0" xfId="0" applyFont="1" applyAlignment="1">
      <alignment horizontal="left"/>
    </xf>
    <xf numFmtId="0" fontId="7" fillId="0" borderId="0" xfId="0" applyFont="1" applyAlignment="1">
      <alignment horizontal="right"/>
    </xf>
    <xf numFmtId="0" fontId="74" fillId="17" borderId="42" xfId="0" applyFont="1" applyFill="1" applyBorder="1"/>
    <xf numFmtId="0" fontId="50" fillId="17" borderId="1" xfId="0" applyFont="1" applyFill="1" applyBorder="1"/>
    <xf numFmtId="0" fontId="75" fillId="18" borderId="1" xfId="0" applyFont="1" applyFill="1" applyBorder="1"/>
    <xf numFmtId="0" fontId="76" fillId="18" borderId="48" xfId="0" applyFont="1" applyFill="1" applyBorder="1" applyAlignment="1">
      <alignment horizontal="right"/>
    </xf>
    <xf numFmtId="0" fontId="78" fillId="19" borderId="42" xfId="0" applyFont="1" applyFill="1" applyBorder="1" applyAlignment="1">
      <alignment horizontal="left"/>
    </xf>
    <xf numFmtId="0" fontId="79" fillId="19" borderId="1" xfId="0" applyFont="1" applyFill="1" applyBorder="1" applyAlignment="1">
      <alignment horizontal="centerContinuous"/>
    </xf>
    <xf numFmtId="0" fontId="79" fillId="19" borderId="48" xfId="0" applyFont="1" applyFill="1" applyBorder="1" applyAlignment="1">
      <alignment horizontal="centerContinuous"/>
    </xf>
    <xf numFmtId="0" fontId="52" fillId="20" borderId="0" xfId="0" applyFont="1" applyFill="1" applyAlignment="1">
      <alignment horizontal="left"/>
    </xf>
    <xf numFmtId="0" fontId="52" fillId="20" borderId="0" xfId="0" applyFont="1" applyFill="1" applyAlignment="1">
      <alignment horizontal="centerContinuous"/>
    </xf>
    <xf numFmtId="0" fontId="50" fillId="20" borderId="0" xfId="0" applyFont="1" applyFill="1"/>
    <xf numFmtId="0" fontId="50" fillId="20" borderId="0" xfId="0" applyFont="1" applyFill="1" applyAlignment="1">
      <alignment horizontal="left"/>
    </xf>
    <xf numFmtId="0" fontId="52" fillId="20" borderId="0" xfId="0" applyFont="1" applyFill="1"/>
    <xf numFmtId="0" fontId="72" fillId="0" borderId="0" xfId="0" applyFont="1" applyAlignment="1">
      <alignment horizontal="right"/>
    </xf>
    <xf numFmtId="0" fontId="54" fillId="0" borderId="38" xfId="0" applyFont="1" applyBorder="1"/>
    <xf numFmtId="0" fontId="54" fillId="0" borderId="38" xfId="0" applyFont="1" applyBorder="1" applyAlignment="1">
      <alignment horizontal="left"/>
    </xf>
    <xf numFmtId="0" fontId="54" fillId="0" borderId="56" xfId="0" applyFont="1" applyBorder="1" applyAlignment="1">
      <alignment horizontal="left"/>
    </xf>
    <xf numFmtId="0" fontId="54" fillId="0" borderId="57" xfId="0" applyFont="1" applyBorder="1" applyAlignment="1">
      <alignment horizontal="left"/>
    </xf>
    <xf numFmtId="0" fontId="54" fillId="0" borderId="57" xfId="0" applyFont="1" applyBorder="1"/>
    <xf numFmtId="0" fontId="54" fillId="0" borderId="66" xfId="0" applyFont="1" applyBorder="1"/>
    <xf numFmtId="0" fontId="54" fillId="0" borderId="0" xfId="0" applyFont="1" applyAlignment="1">
      <alignment horizontal="right"/>
    </xf>
    <xf numFmtId="3" fontId="54" fillId="0" borderId="0" xfId="0" applyNumberFormat="1" applyFont="1"/>
    <xf numFmtId="0" fontId="54" fillId="0" borderId="0" xfId="0" applyFont="1" applyAlignment="1">
      <alignment horizontal="left"/>
    </xf>
    <xf numFmtId="0" fontId="54" fillId="0" borderId="9" xfId="0" applyFont="1" applyBorder="1"/>
    <xf numFmtId="0" fontId="54" fillId="0" borderId="9" xfId="0" applyFont="1" applyBorder="1" applyAlignment="1">
      <alignment horizontal="left"/>
    </xf>
    <xf numFmtId="0" fontId="80" fillId="0" borderId="38" xfId="0" applyFont="1" applyBorder="1" applyAlignment="1">
      <alignment horizontal="left"/>
    </xf>
    <xf numFmtId="0" fontId="80" fillId="0" borderId="38" xfId="0" applyFont="1" applyBorder="1"/>
    <xf numFmtId="0" fontId="50" fillId="19" borderId="49" xfId="0" applyFont="1" applyFill="1" applyBorder="1"/>
    <xf numFmtId="0" fontId="50" fillId="19" borderId="50" xfId="0" applyFont="1" applyFill="1" applyBorder="1" applyAlignment="1">
      <alignment horizontal="left"/>
    </xf>
    <xf numFmtId="0" fontId="50" fillId="19" borderId="50" xfId="0" applyFont="1" applyFill="1" applyBorder="1"/>
    <xf numFmtId="0" fontId="50" fillId="19" borderId="51" xfId="0" applyFont="1" applyFill="1" applyBorder="1"/>
    <xf numFmtId="0" fontId="50" fillId="0" borderId="53" xfId="0" applyFont="1" applyBorder="1"/>
    <xf numFmtId="0" fontId="52" fillId="19" borderId="0" xfId="0" applyFont="1" applyFill="1" applyAlignment="1">
      <alignment horizontal="left"/>
    </xf>
    <xf numFmtId="0" fontId="52" fillId="19" borderId="0" xfId="0" applyFont="1" applyFill="1"/>
    <xf numFmtId="0" fontId="52" fillId="19" borderId="0" xfId="0" applyFont="1" applyFill="1" applyAlignment="1">
      <alignment horizontal="right"/>
    </xf>
    <xf numFmtId="0" fontId="52" fillId="19" borderId="40" xfId="0" applyFont="1" applyFill="1" applyBorder="1" applyAlignment="1">
      <alignment horizontal="right"/>
    </xf>
    <xf numFmtId="0" fontId="50" fillId="19" borderId="67" xfId="0" applyFont="1" applyFill="1" applyBorder="1"/>
    <xf numFmtId="0" fontId="50" fillId="19" borderId="68" xfId="0" applyFont="1" applyFill="1" applyBorder="1"/>
    <xf numFmtId="0" fontId="50" fillId="19" borderId="9" xfId="0" applyFont="1" applyFill="1" applyBorder="1" applyAlignment="1">
      <alignment horizontal="fill"/>
    </xf>
    <xf numFmtId="0" fontId="50" fillId="19" borderId="54" xfId="0" applyFont="1" applyFill="1" applyBorder="1" applyAlignment="1">
      <alignment horizontal="fill"/>
    </xf>
    <xf numFmtId="0" fontId="50" fillId="19" borderId="69" xfId="0" applyFont="1" applyFill="1" applyBorder="1"/>
    <xf numFmtId="0" fontId="50" fillId="0" borderId="0" xfId="0" applyFont="1" applyAlignment="1">
      <alignment horizontal="left"/>
    </xf>
    <xf numFmtId="0" fontId="50" fillId="0" borderId="40" xfId="0" applyFont="1" applyBorder="1"/>
    <xf numFmtId="0" fontId="50" fillId="0" borderId="67" xfId="0" applyFont="1" applyBorder="1"/>
    <xf numFmtId="0" fontId="50" fillId="0" borderId="53" xfId="0" applyFont="1" applyBorder="1" applyAlignment="1">
      <alignment horizontal="left"/>
    </xf>
    <xf numFmtId="0" fontId="56" fillId="0" borderId="0" xfId="0" applyFont="1"/>
    <xf numFmtId="3" fontId="56" fillId="0" borderId="0" xfId="0" applyNumberFormat="1" applyFont="1"/>
    <xf numFmtId="3" fontId="50" fillId="0" borderId="0" xfId="0" applyNumberFormat="1" applyFont="1"/>
    <xf numFmtId="3" fontId="50" fillId="0" borderId="40" xfId="0" applyNumberFormat="1" applyFont="1" applyBorder="1"/>
    <xf numFmtId="3" fontId="50" fillId="13" borderId="0" xfId="0" applyNumberFormat="1" applyFont="1" applyFill="1"/>
    <xf numFmtId="0" fontId="52" fillId="0" borderId="53" xfId="0" applyFont="1" applyBorder="1" applyAlignment="1">
      <alignment horizontal="left"/>
    </xf>
    <xf numFmtId="0" fontId="50" fillId="0" borderId="70" xfId="0" applyFont="1" applyBorder="1" applyAlignment="1">
      <alignment horizontal="right"/>
    </xf>
    <xf numFmtId="0" fontId="50" fillId="0" borderId="71" xfId="0" applyFont="1" applyBorder="1" applyAlignment="1">
      <alignment horizontal="left"/>
    </xf>
    <xf numFmtId="0" fontId="50" fillId="0" borderId="71" xfId="0" applyFont="1" applyBorder="1"/>
    <xf numFmtId="0" fontId="50" fillId="0" borderId="72" xfId="0" applyFont="1" applyBorder="1"/>
    <xf numFmtId="0" fontId="50" fillId="0" borderId="73" xfId="0" applyFont="1" applyBorder="1"/>
    <xf numFmtId="164" fontId="0" fillId="0" borderId="0" xfId="0" applyNumberFormat="1" applyAlignment="1">
      <alignment horizontal="center"/>
    </xf>
    <xf numFmtId="0" fontId="65" fillId="0" borderId="0" xfId="0" applyFont="1" applyAlignment="1">
      <alignment horizontal="center"/>
    </xf>
    <xf numFmtId="164" fontId="0" fillId="13" borderId="0" xfId="0" applyNumberFormat="1" applyFill="1"/>
    <xf numFmtId="0" fontId="29" fillId="0" borderId="0" xfId="0" applyFont="1" applyAlignment="1">
      <alignment horizontal="left" vertical="center" wrapText="1"/>
    </xf>
    <xf numFmtId="0" fontId="5" fillId="0" borderId="0" xfId="0" applyFont="1" applyAlignment="1">
      <alignment horizontal="left" vertical="center" wrapText="1"/>
    </xf>
    <xf numFmtId="0" fontId="29" fillId="0" borderId="0" xfId="0" applyFont="1" applyAlignment="1">
      <alignment horizontal="left" vertical="center"/>
    </xf>
    <xf numFmtId="0" fontId="0" fillId="0" borderId="0" xfId="0" applyAlignment="1">
      <alignment horizontal="center" vertical="center" wrapText="1"/>
    </xf>
    <xf numFmtId="0" fontId="52" fillId="19" borderId="53" xfId="0" applyFont="1" applyFill="1" applyBorder="1" applyAlignment="1">
      <alignment horizontal="left"/>
    </xf>
    <xf numFmtId="0" fontId="52" fillId="19" borderId="0" xfId="0" applyFont="1" applyFill="1" applyAlignment="1">
      <alignment horizontal="left"/>
    </xf>
    <xf numFmtId="0" fontId="50" fillId="0" borderId="53" xfId="0" applyFont="1" applyBorder="1"/>
    <xf numFmtId="0" fontId="50" fillId="0" borderId="0" xfId="0" applyFont="1"/>
    <xf numFmtId="0" fontId="77" fillId="0" borderId="13" xfId="0" applyFont="1" applyBorder="1"/>
    <xf numFmtId="0" fontId="77" fillId="0" borderId="0" xfId="0" applyFont="1"/>
    <xf numFmtId="0" fontId="53" fillId="0" borderId="13" xfId="0" applyFont="1" applyBorder="1"/>
    <xf numFmtId="0" fontId="53" fillId="0" borderId="0" xfId="0" applyFont="1"/>
    <xf numFmtId="0" fontId="54" fillId="0" borderId="38" xfId="0" applyFont="1" applyBorder="1" applyAlignment="1">
      <alignment horizontal="center"/>
    </xf>
    <xf numFmtId="0" fontId="54" fillId="0" borderId="0" xfId="0" applyFont="1"/>
    <xf numFmtId="0" fontId="52" fillId="19" borderId="50" xfId="0" applyFont="1" applyFill="1" applyBorder="1" applyAlignment="1">
      <alignment horizontal="center"/>
    </xf>
    <xf numFmtId="0" fontId="52" fillId="19" borderId="60" xfId="0" applyFont="1" applyFill="1" applyBorder="1" applyAlignment="1">
      <alignment horizontal="center"/>
    </xf>
    <xf numFmtId="0" fontId="4" fillId="12" borderId="4" xfId="0" applyFont="1" applyFill="1" applyBorder="1" applyAlignment="1">
      <alignment wrapText="1"/>
    </xf>
    <xf numFmtId="0" fontId="71" fillId="12" borderId="4" xfId="0" applyFont="1" applyFill="1" applyBorder="1"/>
    <xf numFmtId="0" fontId="11" fillId="16" borderId="4" xfId="0" applyFont="1" applyFill="1" applyBorder="1" applyAlignment="1">
      <alignment horizontal="left"/>
    </xf>
    <xf numFmtId="0" fontId="0" fillId="0" borderId="4" xfId="0" applyBorder="1"/>
    <xf numFmtId="0" fontId="11" fillId="16" borderId="4" xfId="0" quotePrefix="1" applyFont="1" applyFill="1" applyBorder="1" applyAlignment="1">
      <alignment horizontal="left"/>
    </xf>
    <xf numFmtId="0" fontId="29" fillId="0" borderId="0" xfId="0" applyFont="1" applyAlignment="1">
      <alignment horizontal="left" wrapText="1"/>
    </xf>
    <xf numFmtId="0" fontId="29" fillId="0" borderId="0" xfId="0" applyFont="1" applyAlignment="1">
      <alignment horizontal="left"/>
    </xf>
    <xf numFmtId="0" fontId="38" fillId="0" borderId="42" xfId="0" applyFont="1" applyBorder="1" applyAlignment="1" applyProtection="1">
      <alignment horizontal="left" vertical="center" wrapText="1"/>
      <protection hidden="1"/>
    </xf>
    <xf numFmtId="0" fontId="38" fillId="0" borderId="1" xfId="0" applyFont="1" applyBorder="1" applyAlignment="1" applyProtection="1">
      <alignment horizontal="left" vertical="center" wrapText="1"/>
      <protection hidden="1"/>
    </xf>
    <xf numFmtId="0" fontId="38" fillId="0" borderId="42" xfId="0" applyFont="1" applyBorder="1" applyAlignment="1" applyProtection="1">
      <alignment horizontal="left" vertical="center"/>
      <protection hidden="1"/>
    </xf>
    <xf numFmtId="0" fontId="38" fillId="0" borderId="1" xfId="0" applyFont="1" applyBorder="1" applyAlignment="1" applyProtection="1">
      <alignment horizontal="left" vertical="center"/>
      <protection hidden="1"/>
    </xf>
    <xf numFmtId="0" fontId="47" fillId="0" borderId="42" xfId="0" applyFont="1" applyBorder="1" applyAlignment="1" applyProtection="1">
      <alignment horizontal="left" vertical="center" wrapText="1"/>
      <protection hidden="1"/>
    </xf>
    <xf numFmtId="0" fontId="47" fillId="0" borderId="1" xfId="0" applyFont="1" applyBorder="1" applyAlignment="1" applyProtection="1">
      <alignment horizontal="left" vertical="center" wrapText="1"/>
      <protection hidden="1"/>
    </xf>
    <xf numFmtId="0" fontId="37" fillId="0" borderId="0" xfId="1" applyFont="1" applyAlignment="1" applyProtection="1">
      <alignment horizontal="left"/>
      <protection hidden="1"/>
    </xf>
    <xf numFmtId="0" fontId="37" fillId="0" borderId="36" xfId="0" applyFont="1" applyBorder="1" applyAlignment="1" applyProtection="1">
      <alignment horizontal="left" vertical="center"/>
      <protection hidden="1"/>
    </xf>
    <xf numFmtId="0" fontId="37" fillId="0" borderId="29" xfId="0" applyFont="1" applyBorder="1" applyAlignment="1" applyProtection="1">
      <alignment horizontal="left" vertical="center"/>
      <protection hidden="1"/>
    </xf>
    <xf numFmtId="0" fontId="7" fillId="11" borderId="38" xfId="63" applyFill="1" applyBorder="1" applyAlignment="1">
      <alignment horizontal="center"/>
    </xf>
    <xf numFmtId="172" fontId="52" fillId="9" borderId="35" xfId="63" applyNumberFormat="1" applyFont="1" applyFill="1" applyBorder="1" applyAlignment="1">
      <alignment horizontal="center"/>
    </xf>
    <xf numFmtId="172" fontId="52" fillId="9" borderId="38" xfId="63" applyNumberFormat="1" applyFont="1" applyFill="1" applyBorder="1" applyAlignment="1">
      <alignment horizontal="center"/>
    </xf>
    <xf numFmtId="172" fontId="52" fillId="9" borderId="39" xfId="63" applyNumberFormat="1" applyFont="1" applyFill="1" applyBorder="1" applyAlignment="1">
      <alignment horizontal="center"/>
    </xf>
    <xf numFmtId="0" fontId="52" fillId="9" borderId="60" xfId="63" applyFont="1" applyFill="1" applyBorder="1" applyAlignment="1">
      <alignment horizontal="center"/>
    </xf>
    <xf numFmtId="0" fontId="52" fillId="9" borderId="50" xfId="63" applyFont="1" applyFill="1" applyBorder="1" applyAlignment="1">
      <alignment horizontal="center"/>
    </xf>
    <xf numFmtId="0" fontId="7" fillId="11" borderId="38" xfId="0" applyFont="1" applyFill="1" applyBorder="1" applyAlignment="1">
      <alignment horizontal="center"/>
    </xf>
    <xf numFmtId="172" fontId="52" fillId="9" borderId="35" xfId="0" applyNumberFormat="1" applyFont="1" applyFill="1" applyBorder="1" applyAlignment="1">
      <alignment horizontal="center"/>
    </xf>
    <xf numFmtId="172" fontId="52" fillId="9" borderId="38" xfId="0" applyNumberFormat="1" applyFont="1" applyFill="1" applyBorder="1" applyAlignment="1">
      <alignment horizontal="center"/>
    </xf>
    <xf numFmtId="172" fontId="52" fillId="9" borderId="39" xfId="0" applyNumberFormat="1" applyFont="1" applyFill="1" applyBorder="1" applyAlignment="1">
      <alignment horizontal="center"/>
    </xf>
    <xf numFmtId="0" fontId="52" fillId="9" borderId="60" xfId="0" applyFont="1" applyFill="1" applyBorder="1" applyAlignment="1">
      <alignment horizontal="center"/>
    </xf>
    <xf numFmtId="0" fontId="52" fillId="9" borderId="50" xfId="0" applyFont="1" applyFill="1" applyBorder="1" applyAlignment="1">
      <alignment horizontal="center"/>
    </xf>
    <xf numFmtId="0" fontId="17" fillId="0" borderId="0" xfId="67" applyFont="1" applyAlignment="1">
      <alignment horizontal="center" wrapText="1"/>
    </xf>
    <xf numFmtId="0" fontId="17" fillId="0" borderId="10" xfId="67" applyFont="1" applyBorder="1" applyAlignment="1">
      <alignment horizontal="center" wrapText="1"/>
    </xf>
  </cellXfs>
  <cellStyles count="68">
    <cellStyle name="%" xfId="2" xr:uid="{00000000-0005-0000-0000-000000000000}"/>
    <cellStyle name="% 2" xfId="3" xr:uid="{00000000-0005-0000-0000-000001000000}"/>
    <cellStyle name="% 2 2" xfId="4" xr:uid="{00000000-0005-0000-0000-000002000000}"/>
    <cellStyle name="]_x000d__x000a_Zoomed=1_x000d__x000a_Row=0_x000d__x000a_Column=0_x000d__x000a_Height=0_x000d__x000a_Width=0_x000d__x000a_FontName=FoxFont_x000d__x000a_FontStyle=0_x000d__x000a_FontSize=9_x000d__x000a_PrtFontName=FoxPrin" xfId="5" xr:uid="{00000000-0005-0000-0000-000003000000}"/>
    <cellStyle name="0,0_x000d__x000d_NA_x000d__x000d_" xfId="6" xr:uid="{00000000-0005-0000-0000-000004000000}"/>
    <cellStyle name="0,0_x000d__x000d_NA_x000d__x000d_ 2" xfId="7" xr:uid="{00000000-0005-0000-0000-000005000000}"/>
    <cellStyle name="Comma 2" xfId="8" xr:uid="{00000000-0005-0000-0000-000006000000}"/>
    <cellStyle name="Comma 3" xfId="9" xr:uid="{00000000-0005-0000-0000-000007000000}"/>
    <cellStyle name="Comma 3 2" xfId="60" xr:uid="{00000000-0005-0000-0000-000008000000}"/>
    <cellStyle name="Comma 4" xfId="10" xr:uid="{00000000-0005-0000-0000-000009000000}"/>
    <cellStyle name="Comma 5" xfId="61" xr:uid="{00000000-0005-0000-0000-00000A000000}"/>
    <cellStyle name="Currency 2" xfId="11" xr:uid="{00000000-0005-0000-0000-00000B000000}"/>
    <cellStyle name="Estimated" xfId="12" xr:uid="{00000000-0005-0000-0000-00000C000000}"/>
    <cellStyle name="external input" xfId="13" xr:uid="{00000000-0005-0000-0000-00000D000000}"/>
    <cellStyle name="Grant" xfId="14" xr:uid="{00000000-0005-0000-0000-00000E000000}"/>
    <cellStyle name="Header" xfId="15" xr:uid="{00000000-0005-0000-0000-00000F000000}"/>
    <cellStyle name="HeaderGrant" xfId="16" xr:uid="{00000000-0005-0000-0000-000010000000}"/>
    <cellStyle name="HeaderGrant 2" xfId="17" xr:uid="{00000000-0005-0000-0000-000011000000}"/>
    <cellStyle name="HeaderLEA" xfId="18" xr:uid="{00000000-0005-0000-0000-000012000000}"/>
    <cellStyle name="Imported" xfId="19" xr:uid="{00000000-0005-0000-0000-000013000000}"/>
    <cellStyle name="LEAName" xfId="20" xr:uid="{00000000-0005-0000-0000-000014000000}"/>
    <cellStyle name="LEAName 2" xfId="21" xr:uid="{00000000-0005-0000-0000-000015000000}"/>
    <cellStyle name="LEANumber" xfId="22" xr:uid="{00000000-0005-0000-0000-000016000000}"/>
    <cellStyle name="LEANumber 2" xfId="23" xr:uid="{00000000-0005-0000-0000-000017000000}"/>
    <cellStyle name="log projection" xfId="24" xr:uid="{00000000-0005-0000-0000-000018000000}"/>
    <cellStyle name="Normal" xfId="0" builtinId="0"/>
    <cellStyle name="Normal 10" xfId="25" xr:uid="{00000000-0005-0000-0000-00001A000000}"/>
    <cellStyle name="Normal 11" xfId="62" xr:uid="{00000000-0005-0000-0000-00001B000000}"/>
    <cellStyle name="Normal 12" xfId="63" xr:uid="{00000000-0005-0000-0000-00001C000000}"/>
    <cellStyle name="Normal 13" xfId="67" xr:uid="{57124206-1E78-426E-8865-1F8BDC79D0E4}"/>
    <cellStyle name="Normal 2" xfId="26" xr:uid="{00000000-0005-0000-0000-00001D000000}"/>
    <cellStyle name="Normal 2 2" xfId="27" xr:uid="{00000000-0005-0000-0000-00001E000000}"/>
    <cellStyle name="Normal 2 2 2" xfId="28" xr:uid="{00000000-0005-0000-0000-00001F000000}"/>
    <cellStyle name="Normal 2 2 3" xfId="29" xr:uid="{00000000-0005-0000-0000-000020000000}"/>
    <cellStyle name="Normal 2 3" xfId="30" xr:uid="{00000000-0005-0000-0000-000021000000}"/>
    <cellStyle name="Normal 2 4" xfId="64" xr:uid="{00000000-0005-0000-0000-000022000000}"/>
    <cellStyle name="Normal 3" xfId="31" xr:uid="{00000000-0005-0000-0000-000023000000}"/>
    <cellStyle name="Normal 3 2" xfId="32" xr:uid="{00000000-0005-0000-0000-000024000000}"/>
    <cellStyle name="Normal 4" xfId="33" xr:uid="{00000000-0005-0000-0000-000025000000}"/>
    <cellStyle name="Normal 4 2" xfId="34" xr:uid="{00000000-0005-0000-0000-000026000000}"/>
    <cellStyle name="Normal 5" xfId="35" xr:uid="{00000000-0005-0000-0000-000027000000}"/>
    <cellStyle name="Normal 5 2" xfId="36" xr:uid="{00000000-0005-0000-0000-000028000000}"/>
    <cellStyle name="Normal 6" xfId="37" xr:uid="{00000000-0005-0000-0000-000029000000}"/>
    <cellStyle name="Normal 7" xfId="38" xr:uid="{00000000-0005-0000-0000-00002A000000}"/>
    <cellStyle name="Normal 8" xfId="39" xr:uid="{00000000-0005-0000-0000-00002B000000}"/>
    <cellStyle name="Normal 9" xfId="40" xr:uid="{00000000-0005-0000-0000-00002C000000}"/>
    <cellStyle name="Normal_0242 1998-99 ESTIMATE" xfId="1" xr:uid="{00000000-0005-0000-0000-00002D000000}"/>
    <cellStyle name="Normal_Special Schools - Band Descriptors" xfId="41" xr:uid="{00000000-0005-0000-0000-00002E000000}"/>
    <cellStyle name="Number" xfId="42" xr:uid="{00000000-0005-0000-0000-00002F000000}"/>
    <cellStyle name="Number 2" xfId="43" xr:uid="{00000000-0005-0000-0000-000030000000}"/>
    <cellStyle name="Percent" xfId="66" builtinId="5"/>
    <cellStyle name="Percent 2" xfId="65" xr:uid="{00000000-0005-0000-0000-000031000000}"/>
    <cellStyle name="provisional PN158/97" xfId="44" xr:uid="{00000000-0005-0000-0000-000032000000}"/>
    <cellStyle name="SAPBEXaggData" xfId="45" xr:uid="{00000000-0005-0000-0000-000033000000}"/>
    <cellStyle name="SAPBEXchaText" xfId="46" xr:uid="{00000000-0005-0000-0000-000034000000}"/>
    <cellStyle name="SAPBEXHLevel0" xfId="47" xr:uid="{00000000-0005-0000-0000-000035000000}"/>
    <cellStyle name="SAPBEXHLevel2" xfId="48" xr:uid="{00000000-0005-0000-0000-000036000000}"/>
    <cellStyle name="SAPBEXHLevel3" xfId="49" xr:uid="{00000000-0005-0000-0000-000037000000}"/>
    <cellStyle name="SAPBEXstdItem" xfId="50" xr:uid="{00000000-0005-0000-0000-000038000000}"/>
    <cellStyle name="SAPBEXstdItemX" xfId="51" xr:uid="{00000000-0005-0000-0000-000039000000}"/>
    <cellStyle name="SAPBEXtitle" xfId="52" xr:uid="{00000000-0005-0000-0000-00003A000000}"/>
    <cellStyle name="Style 1" xfId="53" xr:uid="{00000000-0005-0000-0000-00003B000000}"/>
    <cellStyle name="sub" xfId="54" xr:uid="{00000000-0005-0000-0000-00003C000000}"/>
    <cellStyle name="table imported" xfId="55" xr:uid="{00000000-0005-0000-0000-00003D000000}"/>
    <cellStyle name="table sum" xfId="56" xr:uid="{00000000-0005-0000-0000-00003E000000}"/>
    <cellStyle name="table values" xfId="57" xr:uid="{00000000-0005-0000-0000-00003F000000}"/>
    <cellStyle name="u5shares" xfId="58" xr:uid="{00000000-0005-0000-0000-000040000000}"/>
    <cellStyle name="Variable assumptions" xfId="59" xr:uid="{00000000-0005-0000-0000-000041000000}"/>
  </cellStyles>
  <dxfs count="6">
    <dxf>
      <fill>
        <patternFill>
          <bgColor theme="6" tint="0.39994506668294322"/>
        </patternFill>
      </fill>
    </dxf>
    <dxf>
      <font>
        <color rgb="FF006100"/>
      </font>
      <fill>
        <patternFill>
          <bgColor rgb="FFC6EFCE"/>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1703295</xdr:colOff>
      <xdr:row>9</xdr:row>
      <xdr:rowOff>1</xdr:rowOff>
    </xdr:from>
    <xdr:to>
      <xdr:col>4</xdr:col>
      <xdr:colOff>1</xdr:colOff>
      <xdr:row>14</xdr:row>
      <xdr:rowOff>145677</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8304120" y="1790701"/>
          <a:ext cx="468406" cy="1098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11</xdr:row>
      <xdr:rowOff>0</xdr:rowOff>
    </xdr:from>
    <xdr:to>
      <xdr:col>1</xdr:col>
      <xdr:colOff>1176618</xdr:colOff>
      <xdr:row>14</xdr:row>
      <xdr:rowOff>0</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5090273" y="2171700"/>
          <a:ext cx="324970" cy="57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xdr:col>
      <xdr:colOff>1703295</xdr:colOff>
      <xdr:row>7</xdr:row>
      <xdr:rowOff>1</xdr:rowOff>
    </xdr:from>
    <xdr:to>
      <xdr:col>4</xdr:col>
      <xdr:colOff>1</xdr:colOff>
      <xdr:row>11</xdr:row>
      <xdr:rowOff>145677</xdr:rowOff>
    </xdr:to>
    <xdr:sp macro="" textlink="">
      <xdr:nvSpPr>
        <xdr:cNvPr id="6" name="Right Brace 5">
          <a:extLst>
            <a:ext uri="{FF2B5EF4-FFF2-40B4-BE49-F238E27FC236}">
              <a16:creationId xmlns:a16="http://schemas.microsoft.com/office/drawing/2014/main" id="{A63E75D7-0A24-4112-9432-0637F81414C3}"/>
            </a:ext>
          </a:extLst>
        </xdr:cNvPr>
        <xdr:cNvSpPr/>
      </xdr:nvSpPr>
      <xdr:spPr>
        <a:xfrm>
          <a:off x="8621620" y="1400176"/>
          <a:ext cx="1284381" cy="942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9</xdr:row>
      <xdr:rowOff>0</xdr:rowOff>
    </xdr:from>
    <xdr:to>
      <xdr:col>1</xdr:col>
      <xdr:colOff>1176618</xdr:colOff>
      <xdr:row>11</xdr:row>
      <xdr:rowOff>0</xdr:rowOff>
    </xdr:to>
    <xdr:sp macro="" textlink="">
      <xdr:nvSpPr>
        <xdr:cNvPr id="7" name="Right Brace 6">
          <a:extLst>
            <a:ext uri="{FF2B5EF4-FFF2-40B4-BE49-F238E27FC236}">
              <a16:creationId xmlns:a16="http://schemas.microsoft.com/office/drawing/2014/main" id="{E88BEC88-59E7-42F6-A422-F3E87140BCB7}"/>
            </a:ext>
          </a:extLst>
        </xdr:cNvPr>
        <xdr:cNvSpPr/>
      </xdr:nvSpPr>
      <xdr:spPr>
        <a:xfrm>
          <a:off x="5287123" y="1800225"/>
          <a:ext cx="32497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xdr:col>
      <xdr:colOff>1703295</xdr:colOff>
      <xdr:row>7</xdr:row>
      <xdr:rowOff>1</xdr:rowOff>
    </xdr:from>
    <xdr:to>
      <xdr:col>4</xdr:col>
      <xdr:colOff>1</xdr:colOff>
      <xdr:row>11</xdr:row>
      <xdr:rowOff>145677</xdr:rowOff>
    </xdr:to>
    <xdr:sp macro="" textlink="">
      <xdr:nvSpPr>
        <xdr:cNvPr id="4" name="Right Brace 3">
          <a:extLst>
            <a:ext uri="{FF2B5EF4-FFF2-40B4-BE49-F238E27FC236}">
              <a16:creationId xmlns:a16="http://schemas.microsoft.com/office/drawing/2014/main" id="{B385875F-D97E-441D-A57B-7C9322E84366}"/>
            </a:ext>
          </a:extLst>
        </xdr:cNvPr>
        <xdr:cNvSpPr/>
      </xdr:nvSpPr>
      <xdr:spPr>
        <a:xfrm>
          <a:off x="8621620" y="1400176"/>
          <a:ext cx="1284381" cy="942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9</xdr:row>
      <xdr:rowOff>0</xdr:rowOff>
    </xdr:from>
    <xdr:to>
      <xdr:col>1</xdr:col>
      <xdr:colOff>1176618</xdr:colOff>
      <xdr:row>11</xdr:row>
      <xdr:rowOff>0</xdr:rowOff>
    </xdr:to>
    <xdr:sp macro="" textlink="">
      <xdr:nvSpPr>
        <xdr:cNvPr id="5" name="Right Brace 4">
          <a:extLst>
            <a:ext uri="{FF2B5EF4-FFF2-40B4-BE49-F238E27FC236}">
              <a16:creationId xmlns:a16="http://schemas.microsoft.com/office/drawing/2014/main" id="{8F894BA2-383F-4C09-AD79-5CAB898B87DA}"/>
            </a:ext>
          </a:extLst>
        </xdr:cNvPr>
        <xdr:cNvSpPr/>
      </xdr:nvSpPr>
      <xdr:spPr>
        <a:xfrm>
          <a:off x="5287123" y="1800225"/>
          <a:ext cx="32497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lincolnshirecc.sharepoint.com/sites/FinancialServices/Childrens/Children's%20Education/Head%20of%20Service%20for%20Inclusion%20(Kate%20Capel)/Pilgrim%20School/Pilgrim%20School%202023-24.xlsx" TargetMode="External"/><Relationship Id="rId1" Type="http://schemas.openxmlformats.org/officeDocument/2006/relationships/externalLinkPath" Target="Pilgrim%20School%202023-24.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lincolnshirecc.sharepoint.com/sites/FinancialServices/All%20Teams%20%20Shared%20Work/Salary%20Scales/Schools%20Salary%20Scales/Salary%20Scales%202023-24/Teaching%20Assistants%20Under%205%20Years%20Salary%20Scales%202023-24%20Updated.xlsx" TargetMode="External"/><Relationship Id="rId1" Type="http://schemas.openxmlformats.org/officeDocument/2006/relationships/externalLinkPath" Target="/sites/FinancialServices/All%20Teams%20%20Shared%20Work/Salary%20Scales/Schools%20Salary%20Scales/Salary%20Scales%202023-24/Teaching%20Assistants%20Under%205%20Years%20Salary%20Scales%202023-24%20Upda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lgrim Formula - 2021"/>
      <sheetName val="Pilgrim Formula - 202324"/>
      <sheetName val="Special Funding Summary"/>
      <sheetName val="ASD Unit"/>
      <sheetName val="TEACHING ASSISTANT 2023-24"/>
      <sheetName val="2122 Band Values"/>
      <sheetName val="2324 Band Values (2)"/>
    </sheetNames>
    <sheetDataSet>
      <sheetData sheetId="0">
        <row r="28">
          <cell r="B28">
            <v>1618882.9710260718</v>
          </cell>
        </row>
        <row r="48">
          <cell r="B48">
            <v>67117.721349999978</v>
          </cell>
        </row>
      </sheetData>
      <sheetData sheetId="1" refreshError="1"/>
      <sheetData sheetId="2">
        <row r="59">
          <cell r="B59">
            <v>438718.2</v>
          </cell>
          <cell r="D59">
            <v>122003.5</v>
          </cell>
        </row>
      </sheetData>
      <sheetData sheetId="3">
        <row r="22">
          <cell r="D22">
            <v>68749.801322425672</v>
          </cell>
        </row>
      </sheetData>
      <sheetData sheetId="4">
        <row r="42">
          <cell r="L42">
            <v>30542.715720524058</v>
          </cell>
        </row>
      </sheetData>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ACHING ASSISTANT 2023-24"/>
      <sheetName val="Sheet2"/>
    </sheetNames>
    <sheetDataSet>
      <sheetData sheetId="0"/>
      <sheetData sheetId="1">
        <row r="22">
          <cell r="E22">
            <v>22737</v>
          </cell>
        </row>
        <row r="23">
          <cell r="E23">
            <v>23107</v>
          </cell>
        </row>
        <row r="24">
          <cell r="E24">
            <v>23521</v>
          </cell>
        </row>
        <row r="25">
          <cell r="E25">
            <v>23893</v>
          </cell>
        </row>
        <row r="28">
          <cell r="E28">
            <v>25119</v>
          </cell>
        </row>
        <row r="29">
          <cell r="E29">
            <v>25961</v>
          </cell>
        </row>
        <row r="30">
          <cell r="E30">
            <v>26884</v>
          </cell>
        </row>
        <row r="31">
          <cell r="E31">
            <v>27803</v>
          </cell>
        </row>
        <row r="32">
          <cell r="E32">
            <v>28609</v>
          </cell>
        </row>
        <row r="33">
          <cell r="E33">
            <v>29413</v>
          </cell>
        </row>
        <row r="34">
          <cell r="E34">
            <v>30296</v>
          </cell>
        </row>
        <row r="35">
          <cell r="E35">
            <v>31104</v>
          </cell>
        </row>
        <row r="36">
          <cell r="E36">
            <v>32064</v>
          </cell>
        </row>
        <row r="37">
          <cell r="E37">
            <v>33024</v>
          </cell>
        </row>
        <row r="38">
          <cell r="E38">
            <v>34294</v>
          </cell>
        </row>
        <row r="39">
          <cell r="E39">
            <v>35446</v>
          </cell>
        </row>
        <row r="40">
          <cell r="E40">
            <v>36648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person displayName="David Leonard" id="{42BA0C60-0C43-4464-B0FD-2A197AC4F92C}" userId="S::David.Leonard@lincolnshire.gov.uk::a21b0ccd-3aee-4046-bc74-d38e7a34107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4-02-29T14:15:57.68" personId="{42BA0C60-0C43-4464-B0FD-2A197AC4F92C}" id="{3717D2D7-E839-4577-9FFD-2953843C8A5C}">
    <text>MP E-mail 1/3/22</text>
  </threadedComment>
</ThreadedComments>
</file>

<file path=xl/threadedComments/threadedComment2.xml><?xml version="1.0" encoding="utf-8"?>
<ThreadedComments xmlns="http://schemas.microsoft.com/office/spreadsheetml/2018/threadedcomments" xmlns:x="http://schemas.openxmlformats.org/spreadsheetml/2006/main">
  <threadedComment ref="W11" dT="2024-01-05T14:43:19.04" personId="{42BA0C60-0C43-4464-B0FD-2A197AC4F92C}" id="{244B375A-E5E1-4C53-8D2C-BEAD0925E316}">
    <text>Altered from 0.1505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G91"/>
  <sheetViews>
    <sheetView tabSelected="1" zoomScaleNormal="100" workbookViewId="0">
      <selection activeCell="B2" sqref="B2"/>
    </sheetView>
  </sheetViews>
  <sheetFormatPr defaultColWidth="9.1796875" defaultRowHeight="14" x14ac:dyDescent="0.3"/>
  <cols>
    <col min="1" max="1" width="66" style="9" customWidth="1"/>
    <col min="2" max="2" width="46.453125" style="9" customWidth="1"/>
    <col min="3" max="3" width="6.54296875" style="9" customWidth="1"/>
    <col min="4" max="4" width="52.7265625" style="10" customWidth="1"/>
    <col min="5" max="5" width="11.81640625" style="9" customWidth="1"/>
    <col min="6" max="6" width="9.1796875" style="9"/>
    <col min="7" max="7" width="12.453125" style="9" bestFit="1" customWidth="1"/>
    <col min="8" max="16384" width="9.1796875" style="9"/>
  </cols>
  <sheetData>
    <row r="2" spans="1:7" x14ac:dyDescent="0.3">
      <c r="A2" s="8" t="s">
        <v>0</v>
      </c>
      <c r="B2" s="10">
        <v>9257012</v>
      </c>
    </row>
    <row r="4" spans="1:7" x14ac:dyDescent="0.3">
      <c r="A4" s="1" t="s">
        <v>1</v>
      </c>
      <c r="B4" s="2" t="s">
        <v>333</v>
      </c>
      <c r="D4" s="2"/>
    </row>
    <row r="5" spans="1:7" x14ac:dyDescent="0.3">
      <c r="A5" s="9" t="s">
        <v>3</v>
      </c>
      <c r="B5" s="10">
        <v>80</v>
      </c>
    </row>
    <row r="6" spans="1:7" x14ac:dyDescent="0.3">
      <c r="A6" s="9" t="s">
        <v>4</v>
      </c>
      <c r="B6" s="10">
        <f>B5*C6</f>
        <v>8</v>
      </c>
      <c r="C6" s="215">
        <v>0.1</v>
      </c>
      <c r="D6" s="9"/>
    </row>
    <row r="7" spans="1:7" x14ac:dyDescent="0.3">
      <c r="A7" s="9" t="s">
        <v>5</v>
      </c>
      <c r="B7" s="10">
        <f>B5*C7</f>
        <v>72</v>
      </c>
      <c r="C7" s="215">
        <v>0.9</v>
      </c>
      <c r="D7" s="10" t="s">
        <v>6</v>
      </c>
    </row>
    <row r="8" spans="1:7" ht="28" x14ac:dyDescent="0.3">
      <c r="A8" s="9" t="s">
        <v>7</v>
      </c>
      <c r="B8" s="11">
        <v>9890</v>
      </c>
      <c r="D8" s="20" t="s">
        <v>8</v>
      </c>
      <c r="G8" s="88"/>
    </row>
    <row r="9" spans="1:7" ht="28" x14ac:dyDescent="0.3">
      <c r="A9" s="9" t="s">
        <v>10</v>
      </c>
      <c r="B9" s="11">
        <v>12745</v>
      </c>
      <c r="D9" s="20" t="s">
        <v>11</v>
      </c>
    </row>
    <row r="10" spans="1:7" x14ac:dyDescent="0.3">
      <c r="B10" s="11"/>
      <c r="D10" s="20"/>
    </row>
    <row r="11" spans="1:7" x14ac:dyDescent="0.3">
      <c r="A11" s="19" t="s">
        <v>12</v>
      </c>
      <c r="B11" s="11"/>
      <c r="D11" s="20"/>
    </row>
    <row r="12" spans="1:7" x14ac:dyDescent="0.3">
      <c r="A12" s="9" t="s">
        <v>13</v>
      </c>
      <c r="B12" s="11">
        <f>(B6*B8)+(B7*B9)</f>
        <v>996760</v>
      </c>
      <c r="D12" s="20"/>
      <c r="F12" s="270"/>
    </row>
    <row r="13" spans="1:7" x14ac:dyDescent="0.3">
      <c r="A13" s="9" t="s">
        <v>14</v>
      </c>
      <c r="B13" s="11">
        <f>('2425 TA Pay Scales'!L31)*6</f>
        <v>206856.31578947368</v>
      </c>
      <c r="D13" s="20" t="s">
        <v>15</v>
      </c>
      <c r="E13" s="11"/>
      <c r="F13" s="11"/>
    </row>
    <row r="14" spans="1:7" x14ac:dyDescent="0.3">
      <c r="A14" s="35" t="s">
        <v>16</v>
      </c>
      <c r="B14" s="36">
        <f>SUM(B12:B13)</f>
        <v>1203616.3157894737</v>
      </c>
      <c r="C14" s="11"/>
      <c r="D14" s="11"/>
    </row>
    <row r="15" spans="1:7" x14ac:dyDescent="0.3">
      <c r="A15" s="35" t="s">
        <v>20</v>
      </c>
      <c r="B15" s="36">
        <f>40*190*2.58</f>
        <v>19608</v>
      </c>
      <c r="C15" s="11"/>
      <c r="D15" s="11" t="s">
        <v>340</v>
      </c>
    </row>
    <row r="16" spans="1:7" x14ac:dyDescent="0.3">
      <c r="A16" s="3"/>
      <c r="B16" s="11"/>
      <c r="C16" s="11"/>
      <c r="D16" s="11"/>
    </row>
    <row r="17" spans="1:7" x14ac:dyDescent="0.3">
      <c r="A17" s="3" t="s">
        <v>24</v>
      </c>
      <c r="B17" s="4" t="s">
        <v>25</v>
      </c>
      <c r="C17" s="4"/>
      <c r="D17" s="4" t="s">
        <v>354</v>
      </c>
    </row>
    <row r="18" spans="1:7" x14ac:dyDescent="0.3">
      <c r="A18" s="1"/>
      <c r="B18" s="2"/>
    </row>
    <row r="19" spans="1:7" ht="28" x14ac:dyDescent="0.3">
      <c r="A19" s="35" t="s">
        <v>27</v>
      </c>
      <c r="B19" s="37">
        <f>SUM(470457-23652)</f>
        <v>446805</v>
      </c>
      <c r="C19" s="10"/>
      <c r="D19" s="261" t="s">
        <v>355</v>
      </c>
      <c r="F19" s="269"/>
    </row>
    <row r="20" spans="1:7" x14ac:dyDescent="0.3">
      <c r="A20" s="35" t="s">
        <v>28</v>
      </c>
      <c r="B20" s="37">
        <v>131813</v>
      </c>
      <c r="D20" s="12"/>
    </row>
    <row r="22" spans="1:7" x14ac:dyDescent="0.3">
      <c r="A22" s="5" t="s">
        <v>67</v>
      </c>
      <c r="B22" s="13">
        <f>B14+B15+B19+B20</f>
        <v>1801842.3157894737</v>
      </c>
      <c r="D22" s="11"/>
    </row>
    <row r="23" spans="1:7" x14ac:dyDescent="0.3">
      <c r="A23" s="5"/>
      <c r="B23" s="13"/>
      <c r="D23" s="13"/>
    </row>
    <row r="24" spans="1:7" x14ac:dyDescent="0.3">
      <c r="A24" s="1" t="s">
        <v>37</v>
      </c>
    </row>
    <row r="25" spans="1:7" x14ac:dyDescent="0.3">
      <c r="D25" s="260"/>
    </row>
    <row r="26" spans="1:7" x14ac:dyDescent="0.3">
      <c r="A26" s="3" t="s">
        <v>38</v>
      </c>
      <c r="B26" s="11">
        <f>164134+61908</f>
        <v>226042</v>
      </c>
      <c r="D26" s="11"/>
    </row>
    <row r="27" spans="1:7" x14ac:dyDescent="0.3">
      <c r="A27" s="3" t="s">
        <v>39</v>
      </c>
      <c r="B27" s="11">
        <v>26562</v>
      </c>
      <c r="D27" s="11" t="s">
        <v>327</v>
      </c>
    </row>
    <row r="28" spans="1:7" x14ac:dyDescent="0.3">
      <c r="A28" s="6" t="s">
        <v>40</v>
      </c>
      <c r="B28" s="41">
        <v>134000</v>
      </c>
      <c r="C28" s="15"/>
      <c r="D28" s="11" t="s">
        <v>364</v>
      </c>
    </row>
    <row r="29" spans="1:7" ht="14.5" x14ac:dyDescent="0.35">
      <c r="A29" s="6" t="s">
        <v>69</v>
      </c>
      <c r="B29" s="42">
        <v>461260</v>
      </c>
      <c r="C29" s="11"/>
      <c r="D29" s="20" t="s">
        <v>42</v>
      </c>
      <c r="G29" s="15"/>
    </row>
    <row r="30" spans="1:7" x14ac:dyDescent="0.3">
      <c r="A30" s="6"/>
      <c r="B30" s="41"/>
      <c r="C30" s="11"/>
      <c r="D30" s="11"/>
      <c r="G30" s="15"/>
    </row>
    <row r="31" spans="1:7" x14ac:dyDescent="0.3">
      <c r="B31" s="16">
        <f>SUM(B26:B30)</f>
        <v>847864</v>
      </c>
      <c r="C31" s="11"/>
      <c r="D31" s="16"/>
    </row>
    <row r="32" spans="1:7" x14ac:dyDescent="0.3">
      <c r="B32" s="13"/>
      <c r="C32" s="11"/>
      <c r="D32" s="13"/>
      <c r="G32" s="15"/>
    </row>
    <row r="33" spans="1:7" x14ac:dyDescent="0.3">
      <c r="A33" s="5" t="s">
        <v>318</v>
      </c>
      <c r="B33" s="13">
        <f>B22+B31</f>
        <v>2649706.3157894737</v>
      </c>
      <c r="C33" s="11"/>
      <c r="D33" s="11" t="s">
        <v>330</v>
      </c>
      <c r="G33" s="15"/>
    </row>
    <row r="34" spans="1:7" x14ac:dyDescent="0.3">
      <c r="B34" s="13"/>
      <c r="C34" s="11"/>
      <c r="D34" s="13"/>
      <c r="G34" s="15"/>
    </row>
    <row r="35" spans="1:7" x14ac:dyDescent="0.3">
      <c r="A35" s="366" t="s">
        <v>362</v>
      </c>
      <c r="B35" s="493">
        <v>65447</v>
      </c>
      <c r="D35" s="11" t="s">
        <v>485</v>
      </c>
    </row>
    <row r="36" spans="1:7" x14ac:dyDescent="0.3">
      <c r="A36" s="5"/>
      <c r="B36" s="13"/>
      <c r="D36" s="13"/>
    </row>
    <row r="37" spans="1:7" x14ac:dyDescent="0.3">
      <c r="A37" s="5" t="s">
        <v>363</v>
      </c>
      <c r="B37" s="13">
        <f>B33+B35</f>
        <v>2715153.3157894737</v>
      </c>
      <c r="C37" s="11"/>
      <c r="D37" s="13"/>
    </row>
    <row r="38" spans="1:7" x14ac:dyDescent="0.3">
      <c r="A38" s="8"/>
      <c r="B38" s="13"/>
      <c r="C38" s="11"/>
      <c r="D38" s="13"/>
    </row>
    <row r="39" spans="1:7" x14ac:dyDescent="0.3">
      <c r="A39" s="263"/>
      <c r="B39" s="264"/>
      <c r="C39" s="265"/>
      <c r="D39" s="264"/>
    </row>
    <row r="40" spans="1:7" x14ac:dyDescent="0.3">
      <c r="A40" s="8" t="s">
        <v>70</v>
      </c>
      <c r="B40" s="13"/>
      <c r="C40" s="11"/>
      <c r="D40" s="13"/>
    </row>
    <row r="41" spans="1:7" x14ac:dyDescent="0.3">
      <c r="A41" s="3" t="s">
        <v>34</v>
      </c>
      <c r="B41" s="13">
        <v>10000</v>
      </c>
      <c r="C41" s="11"/>
      <c r="D41" s="13"/>
    </row>
    <row r="42" spans="1:7" x14ac:dyDescent="0.3">
      <c r="A42" s="3" t="s">
        <v>35</v>
      </c>
      <c r="B42" s="13">
        <f>(B22-(B5*B41))/B5</f>
        <v>12523.028947368421</v>
      </c>
      <c r="C42" s="11"/>
      <c r="D42" s="13"/>
    </row>
    <row r="43" spans="1:7" x14ac:dyDescent="0.3">
      <c r="A43" s="3" t="s">
        <v>36</v>
      </c>
      <c r="B43" s="11">
        <f>SUM(B41:B42)</f>
        <v>22523.028947368421</v>
      </c>
      <c r="C43" s="11"/>
    </row>
    <row r="44" spans="1:7" x14ac:dyDescent="0.3">
      <c r="A44" s="8"/>
      <c r="B44" s="13"/>
      <c r="C44" s="11"/>
    </row>
    <row r="45" spans="1:7" x14ac:dyDescent="0.3">
      <c r="A45" s="5" t="s">
        <v>360</v>
      </c>
      <c r="B45" s="10"/>
    </row>
    <row r="46" spans="1:7" ht="28" x14ac:dyDescent="0.3">
      <c r="A46" s="9" t="s">
        <v>71</v>
      </c>
      <c r="B46" s="11">
        <f>'Pilgrim Formula - 202324'!B22-'Pilgrim Formula - 2021'!B48</f>
        <v>1651082.7618028386</v>
      </c>
      <c r="D46" s="365" t="s">
        <v>332</v>
      </c>
    </row>
    <row r="47" spans="1:7" x14ac:dyDescent="0.3">
      <c r="B47" s="11"/>
      <c r="D47" s="365"/>
    </row>
    <row r="48" spans="1:7" ht="28" x14ac:dyDescent="0.3">
      <c r="A48" s="9" t="s">
        <v>356</v>
      </c>
      <c r="B48" s="11">
        <f>B22-'Pilgrim Formula - 2021'!B48</f>
        <v>1734724.5944394737</v>
      </c>
      <c r="D48" s="365" t="s">
        <v>484</v>
      </c>
    </row>
    <row r="49" spans="1:6" ht="28" x14ac:dyDescent="0.3">
      <c r="A49" s="8" t="s">
        <v>359</v>
      </c>
      <c r="B49" s="262">
        <f>(B48-B46)/B46</f>
        <v>5.065877651421026E-2</v>
      </c>
      <c r="D49" s="365" t="s">
        <v>361</v>
      </c>
    </row>
    <row r="50" spans="1:6" x14ac:dyDescent="0.3">
      <c r="A50" s="8"/>
      <c r="B50" s="262"/>
      <c r="D50" s="261"/>
    </row>
    <row r="51" spans="1:6" ht="14.5" thickBot="1" x14ac:dyDescent="0.35">
      <c r="A51" s="266"/>
      <c r="B51" s="265"/>
      <c r="C51" s="265"/>
      <c r="D51" s="265"/>
    </row>
    <row r="52" spans="1:6" x14ac:dyDescent="0.3">
      <c r="A52" s="27" t="s">
        <v>349</v>
      </c>
      <c r="B52" s="28" t="s">
        <v>49</v>
      </c>
      <c r="C52" s="11"/>
      <c r="D52" s="11"/>
    </row>
    <row r="53" spans="1:6" ht="14.5" x14ac:dyDescent="0.35">
      <c r="A53" s="29"/>
      <c r="B53" s="30"/>
    </row>
    <row r="54" spans="1:6" x14ac:dyDescent="0.3">
      <c r="A54" s="31" t="s">
        <v>350</v>
      </c>
      <c r="B54" s="32">
        <v>80</v>
      </c>
    </row>
    <row r="55" spans="1:6" x14ac:dyDescent="0.3">
      <c r="A55" s="31" t="s">
        <v>351</v>
      </c>
      <c r="B55" s="32">
        <v>80</v>
      </c>
      <c r="C55" s="13"/>
      <c r="D55" s="13"/>
    </row>
    <row r="56" spans="1:6" x14ac:dyDescent="0.3">
      <c r="A56" s="31"/>
      <c r="B56" s="32"/>
      <c r="C56" s="13"/>
      <c r="D56" s="13"/>
    </row>
    <row r="57" spans="1:6" x14ac:dyDescent="0.3">
      <c r="A57" s="31" t="s">
        <v>352</v>
      </c>
      <c r="B57" s="32">
        <v>0</v>
      </c>
      <c r="C57" s="11"/>
      <c r="D57" s="11"/>
    </row>
    <row r="58" spans="1:6" ht="14.5" thickBot="1" x14ac:dyDescent="0.35">
      <c r="A58" s="33" t="s">
        <v>353</v>
      </c>
      <c r="B58" s="34">
        <v>0</v>
      </c>
      <c r="C58" s="11"/>
      <c r="D58" s="11"/>
      <c r="F58" s="15"/>
    </row>
    <row r="59" spans="1:6" x14ac:dyDescent="0.3">
      <c r="A59" s="3"/>
      <c r="B59" s="11"/>
      <c r="C59" s="11"/>
      <c r="D59" s="11"/>
    </row>
    <row r="60" spans="1:6" x14ac:dyDescent="0.3">
      <c r="A60" s="1"/>
      <c r="B60" s="11"/>
      <c r="C60" s="11"/>
      <c r="D60" s="11"/>
    </row>
    <row r="61" spans="1:6" ht="14.25" customHeight="1" x14ac:dyDescent="0.3">
      <c r="A61" s="651" t="s">
        <v>486</v>
      </c>
      <c r="B61" s="651"/>
      <c r="C61" s="651"/>
      <c r="D61" s="11"/>
    </row>
    <row r="62" spans="1:6" ht="18" customHeight="1" x14ac:dyDescent="0.3">
      <c r="A62" s="651"/>
      <c r="B62" s="651"/>
      <c r="C62" s="651"/>
    </row>
    <row r="63" spans="1:6" ht="18" customHeight="1" x14ac:dyDescent="0.3">
      <c r="A63" s="651" t="s">
        <v>491</v>
      </c>
      <c r="B63" s="651"/>
      <c r="C63" s="651"/>
    </row>
    <row r="64" spans="1:6" ht="18" customHeight="1" x14ac:dyDescent="0.3">
      <c r="A64" s="653" t="s">
        <v>321</v>
      </c>
      <c r="B64" s="653"/>
      <c r="C64" s="653"/>
    </row>
    <row r="65" spans="1:4" x14ac:dyDescent="0.3">
      <c r="A65" s="652" t="s">
        <v>490</v>
      </c>
      <c r="B65" s="652"/>
      <c r="C65" s="652"/>
    </row>
    <row r="66" spans="1:4" ht="58.5" customHeight="1" x14ac:dyDescent="0.3">
      <c r="A66" s="652"/>
      <c r="B66" s="652"/>
      <c r="C66" s="652"/>
    </row>
    <row r="67" spans="1:4" ht="14.25" customHeight="1" x14ac:dyDescent="0.3">
      <c r="A67" s="651" t="s">
        <v>489</v>
      </c>
      <c r="B67" s="651"/>
      <c r="C67" s="651"/>
      <c r="D67" s="17"/>
    </row>
    <row r="68" spans="1:4" x14ac:dyDescent="0.3">
      <c r="A68" s="651"/>
      <c r="B68" s="651"/>
      <c r="C68" s="651"/>
    </row>
    <row r="69" spans="1:4" x14ac:dyDescent="0.3">
      <c r="A69" s="651"/>
      <c r="B69" s="651"/>
      <c r="C69" s="651"/>
    </row>
    <row r="70" spans="1:4" x14ac:dyDescent="0.3">
      <c r="A70" s="651"/>
      <c r="B70" s="651"/>
      <c r="C70" s="651"/>
    </row>
    <row r="71" spans="1:4" ht="47.5" customHeight="1" x14ac:dyDescent="0.3">
      <c r="A71" s="651"/>
      <c r="B71" s="651"/>
      <c r="C71" s="651"/>
    </row>
    <row r="72" spans="1:4" x14ac:dyDescent="0.3">
      <c r="A72" s="651" t="s">
        <v>488</v>
      </c>
      <c r="B72" s="651"/>
      <c r="C72" s="651"/>
    </row>
    <row r="73" spans="1:4" x14ac:dyDescent="0.3">
      <c r="A73" s="651"/>
      <c r="B73" s="651"/>
      <c r="C73" s="651"/>
    </row>
    <row r="74" spans="1:4" x14ac:dyDescent="0.3">
      <c r="A74" s="651"/>
      <c r="B74" s="651"/>
      <c r="C74" s="651"/>
    </row>
    <row r="75" spans="1:4" x14ac:dyDescent="0.3">
      <c r="A75" s="651"/>
      <c r="B75" s="651"/>
      <c r="C75" s="651"/>
    </row>
    <row r="76" spans="1:4" x14ac:dyDescent="0.3">
      <c r="A76" s="651" t="s">
        <v>487</v>
      </c>
      <c r="B76" s="651"/>
      <c r="C76" s="651"/>
    </row>
    <row r="77" spans="1:4" ht="14.25" customHeight="1" x14ac:dyDescent="0.3">
      <c r="A77" s="651"/>
      <c r="B77" s="651"/>
      <c r="C77" s="651"/>
    </row>
    <row r="78" spans="1:4" x14ac:dyDescent="0.3">
      <c r="A78" s="651"/>
      <c r="B78" s="651"/>
      <c r="C78" s="651"/>
    </row>
    <row r="82" spans="1:3" ht="14.25" customHeight="1" x14ac:dyDescent="0.3">
      <c r="A82" s="353"/>
      <c r="B82" s="353"/>
      <c r="C82" s="353"/>
    </row>
    <row r="83" spans="1:3" x14ac:dyDescent="0.3">
      <c r="A83" s="353"/>
      <c r="B83" s="353"/>
      <c r="C83" s="353"/>
    </row>
    <row r="84" spans="1:3" x14ac:dyDescent="0.3">
      <c r="A84" s="353"/>
      <c r="B84" s="353"/>
      <c r="C84" s="353"/>
    </row>
    <row r="85" spans="1:3" x14ac:dyDescent="0.3">
      <c r="A85" s="353"/>
      <c r="B85" s="353"/>
      <c r="C85" s="353"/>
    </row>
    <row r="86" spans="1:3" x14ac:dyDescent="0.3">
      <c r="A86" s="353"/>
      <c r="B86" s="353"/>
      <c r="C86" s="353"/>
    </row>
    <row r="87" spans="1:3" ht="5.15" customHeight="1" x14ac:dyDescent="0.3">
      <c r="A87" s="353"/>
      <c r="B87" s="353"/>
      <c r="C87" s="353"/>
    </row>
    <row r="88" spans="1:3" ht="28" customHeight="1" x14ac:dyDescent="0.3"/>
    <row r="89" spans="1:3" x14ac:dyDescent="0.3">
      <c r="A89" s="353"/>
      <c r="B89" s="353"/>
      <c r="C89" s="353"/>
    </row>
    <row r="90" spans="1:3" x14ac:dyDescent="0.3">
      <c r="A90" s="353"/>
      <c r="B90" s="353"/>
      <c r="C90" s="353"/>
    </row>
    <row r="91" spans="1:3" x14ac:dyDescent="0.3">
      <c r="A91" s="360"/>
      <c r="B91" s="353"/>
      <c r="C91" s="353"/>
    </row>
  </sheetData>
  <sheetProtection algorithmName="SHA-512" hashValue="/lkNEP0KoZ77Sx30EPO9WIKVdtPD9f00vw0O9kSjTKyrL6A2zK8+HzJes0RlMhHbNsCEvZr8kFKfxx7hfPNENw==" saltValue="c3xrk2ghq/VgAdsmhxaygA==" spinCount="100000" sheet="1" selectLockedCells="1" selectUnlockedCells="1"/>
  <mergeCells count="7">
    <mergeCell ref="A76:C78"/>
    <mergeCell ref="A61:C62"/>
    <mergeCell ref="A65:C66"/>
    <mergeCell ref="A64:C64"/>
    <mergeCell ref="A67:C71"/>
    <mergeCell ref="A72:C75"/>
    <mergeCell ref="A63:C63"/>
  </mergeCells>
  <conditionalFormatting sqref="B49:B50">
    <cfRule type="cellIs" dxfId="5" priority="1" operator="greaterThan">
      <formula>0</formula>
    </cfRule>
    <cfRule type="cellIs" dxfId="4" priority="2" operator="greaterThan">
      <formula>0</formula>
    </cfRule>
  </conditionalFormatting>
  <pageMargins left="0.70866141732283472" right="0.70866141732283472" top="0.74803149606299213" bottom="0.74803149606299213" header="0.31496062992125984" footer="0.31496062992125984"/>
  <pageSetup paperSize="9" scale="51" orientation="portrait" r:id="rId1"/>
  <headerFooter>
    <oddHeader>&amp;CLincolnshire County Council</oddHeader>
    <oddFooter>&amp;C2024/25 Pilgrim School Budget Share Calculation
Pilgrim Formula - 2023/24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72"/>
  <sheetViews>
    <sheetView topLeftCell="A5" zoomScaleNormal="100" workbookViewId="0">
      <selection activeCell="L42" sqref="L42"/>
    </sheetView>
  </sheetViews>
  <sheetFormatPr defaultColWidth="8.7265625" defaultRowHeight="15.5" x14ac:dyDescent="0.35"/>
  <cols>
    <col min="1" max="1" width="9.453125" style="168" customWidth="1"/>
    <col min="2" max="2" width="4.81640625" style="168" customWidth="1"/>
    <col min="3" max="3" width="16.7265625" style="168" customWidth="1"/>
    <col min="4" max="4" width="8.26953125" style="168" customWidth="1"/>
    <col min="5" max="5" width="7.26953125" style="168" customWidth="1"/>
    <col min="6" max="6" width="10.453125" style="168" customWidth="1"/>
    <col min="7" max="7" width="3.1796875" style="168" customWidth="1"/>
    <col min="8" max="8" width="8.7265625" style="168" bestFit="1" customWidth="1"/>
    <col min="9" max="9" width="3.1796875" style="168" customWidth="1"/>
    <col min="10" max="10" width="9.81640625" style="168" bestFit="1" customWidth="1"/>
    <col min="11" max="11" width="3.1796875" style="168" customWidth="1"/>
    <col min="12" max="12" width="11.54296875" style="168" bestFit="1" customWidth="1"/>
    <col min="13" max="13" width="3.1796875" style="168" customWidth="1"/>
    <col min="14" max="14" width="10.54296875" style="168" customWidth="1"/>
    <col min="15" max="17" width="3.1796875" style="168" customWidth="1"/>
    <col min="18" max="18" width="8.453125" style="168" customWidth="1"/>
    <col min="19" max="19" width="3.1796875" style="168" customWidth="1"/>
    <col min="20" max="20" width="11.26953125" style="168" customWidth="1"/>
    <col min="21" max="21" width="3.1796875" style="168" customWidth="1"/>
    <col min="22" max="22" width="20.7265625" style="168" customWidth="1"/>
    <col min="23" max="25" width="9.81640625" style="168" customWidth="1"/>
    <col min="26" max="16384" width="8.7265625" style="168"/>
  </cols>
  <sheetData>
    <row r="1" spans="1:59" s="96" customFormat="1" ht="21.5" thickTop="1" x14ac:dyDescent="0.5">
      <c r="A1" s="89"/>
      <c r="B1" s="90" t="s">
        <v>175</v>
      </c>
      <c r="C1" s="91"/>
      <c r="D1" s="91"/>
      <c r="E1" s="91"/>
      <c r="F1" s="91"/>
      <c r="G1" s="92"/>
      <c r="H1" s="91"/>
      <c r="I1" s="91"/>
      <c r="J1" s="91"/>
      <c r="K1" s="91"/>
      <c r="L1" s="91"/>
      <c r="M1" s="91"/>
      <c r="N1" s="91"/>
      <c r="O1" s="91"/>
      <c r="P1" s="91"/>
      <c r="Q1" s="91"/>
      <c r="R1" s="91"/>
      <c r="S1" s="91"/>
      <c r="T1" s="91"/>
      <c r="U1" s="93"/>
      <c r="V1" s="89"/>
      <c r="W1" s="94"/>
      <c r="X1" s="89"/>
      <c r="Y1" s="89"/>
      <c r="Z1" s="89"/>
      <c r="AA1" s="89"/>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row>
    <row r="2" spans="1:59" s="96" customFormat="1" ht="21.5" thickBot="1" x14ac:dyDescent="0.55000000000000004">
      <c r="A2" s="97" t="s">
        <v>176</v>
      </c>
      <c r="B2" s="98" t="s">
        <v>177</v>
      </c>
      <c r="C2" s="99"/>
      <c r="D2" s="99"/>
      <c r="E2" s="99"/>
      <c r="F2" s="99"/>
      <c r="G2" s="100"/>
      <c r="H2" s="99"/>
      <c r="I2" s="99"/>
      <c r="J2" s="99"/>
      <c r="K2" s="99"/>
      <c r="L2" s="99"/>
      <c r="M2" s="99"/>
      <c r="N2" s="99"/>
      <c r="O2" s="99"/>
      <c r="P2" s="99"/>
      <c r="Q2" s="99"/>
      <c r="R2" s="99"/>
      <c r="S2" s="99"/>
      <c r="T2" s="99"/>
      <c r="U2" s="99"/>
      <c r="V2" s="101"/>
      <c r="W2" s="94"/>
      <c r="X2" s="89"/>
      <c r="Y2" s="89"/>
      <c r="Z2" s="89"/>
      <c r="AA2" s="89"/>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row>
    <row r="3" spans="1:59" s="96" customFormat="1" ht="21.75" customHeight="1" x14ac:dyDescent="0.5">
      <c r="A3" s="97" t="s">
        <v>178</v>
      </c>
      <c r="B3" s="102" t="s">
        <v>179</v>
      </c>
      <c r="C3" s="103"/>
      <c r="D3" s="103"/>
      <c r="E3" s="103"/>
      <c r="F3" s="103"/>
      <c r="G3" s="104"/>
      <c r="H3" s="103"/>
      <c r="I3" s="103"/>
      <c r="J3" s="103"/>
      <c r="K3" s="103"/>
      <c r="L3" s="103"/>
      <c r="M3" s="103"/>
      <c r="N3" s="103"/>
      <c r="O3" s="103"/>
      <c r="P3" s="103"/>
      <c r="Q3" s="103"/>
      <c r="R3" s="103"/>
      <c r="S3" s="103"/>
      <c r="T3" s="103"/>
      <c r="U3" s="105"/>
      <c r="V3" s="89"/>
      <c r="W3" s="94"/>
      <c r="X3" s="89"/>
      <c r="Y3" s="89"/>
      <c r="Z3" s="89"/>
      <c r="AA3" s="89"/>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row>
    <row r="4" spans="1:59" s="96" customFormat="1" ht="21.75" customHeight="1" x14ac:dyDescent="0.5">
      <c r="A4" s="97"/>
      <c r="B4" s="106"/>
      <c r="C4" s="107"/>
      <c r="D4" s="107"/>
      <c r="E4" s="107"/>
      <c r="F4" s="107"/>
      <c r="G4" s="108"/>
      <c r="H4" s="107"/>
      <c r="I4" s="107"/>
      <c r="J4" s="107"/>
      <c r="K4" s="107"/>
      <c r="L4" s="107"/>
      <c r="M4" s="107"/>
      <c r="N4" s="107"/>
      <c r="O4" s="107"/>
      <c r="P4" s="107"/>
      <c r="Q4" s="107"/>
      <c r="R4" s="107"/>
      <c r="S4" s="107"/>
      <c r="T4" s="107"/>
      <c r="U4" s="109"/>
      <c r="V4" s="89"/>
      <c r="W4" s="94"/>
      <c r="X4" s="89"/>
      <c r="Y4" s="89"/>
      <c r="Z4" s="89"/>
      <c r="AA4" s="89"/>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row>
    <row r="5" spans="1:59" s="96" customFormat="1" ht="21.75" customHeight="1" x14ac:dyDescent="0.5">
      <c r="A5" s="97"/>
      <c r="B5" s="110" t="s">
        <v>180</v>
      </c>
      <c r="C5" s="107"/>
      <c r="D5" s="107"/>
      <c r="E5" s="107"/>
      <c r="F5" s="107"/>
      <c r="G5" s="108"/>
      <c r="H5" s="107"/>
      <c r="I5" s="107"/>
      <c r="J5" s="107"/>
      <c r="K5" s="107"/>
      <c r="L5" s="107"/>
      <c r="M5" s="107"/>
      <c r="N5" s="107"/>
      <c r="O5" s="107"/>
      <c r="P5" s="107"/>
      <c r="Q5" s="107"/>
      <c r="R5" s="107"/>
      <c r="S5" s="107"/>
      <c r="T5" s="107"/>
      <c r="U5" s="109"/>
      <c r="V5" s="89" t="s">
        <v>181</v>
      </c>
      <c r="W5" s="94"/>
      <c r="X5" s="89"/>
      <c r="Y5" s="89"/>
      <c r="Z5" s="89"/>
      <c r="AA5" s="89"/>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row>
    <row r="6" spans="1:59" s="96" customFormat="1" ht="21.75" customHeight="1" x14ac:dyDescent="0.5">
      <c r="A6" s="97"/>
      <c r="B6" s="110" t="s">
        <v>182</v>
      </c>
      <c r="C6" s="111"/>
      <c r="D6" s="111"/>
      <c r="E6" s="111"/>
      <c r="F6" s="111"/>
      <c r="G6" s="111"/>
      <c r="H6" s="111"/>
      <c r="I6" s="111"/>
      <c r="J6" s="111"/>
      <c r="K6" s="111"/>
      <c r="L6" s="111"/>
      <c r="M6" s="111"/>
      <c r="N6" s="111"/>
      <c r="O6" s="111"/>
      <c r="P6" s="111"/>
      <c r="Q6" s="111"/>
      <c r="R6" s="111"/>
      <c r="S6" s="111"/>
      <c r="T6" s="111"/>
      <c r="U6" s="112"/>
      <c r="V6" s="89"/>
      <c r="W6" s="89"/>
      <c r="X6" s="89"/>
      <c r="Y6" s="89"/>
      <c r="Z6" s="89"/>
      <c r="AA6" s="89"/>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row>
    <row r="7" spans="1:59" s="96" customFormat="1" ht="21.75" customHeight="1" x14ac:dyDescent="0.5">
      <c r="A7" s="97"/>
      <c r="B7" s="110" t="s">
        <v>183</v>
      </c>
      <c r="C7" s="111"/>
      <c r="D7" s="111"/>
      <c r="E7" s="111"/>
      <c r="F7" s="111"/>
      <c r="G7" s="111"/>
      <c r="H7" s="111"/>
      <c r="I7" s="111"/>
      <c r="J7" s="111"/>
      <c r="K7" s="111"/>
      <c r="L7" s="111"/>
      <c r="M7" s="111"/>
      <c r="N7" s="111"/>
      <c r="O7" s="111"/>
      <c r="P7" s="111"/>
      <c r="Q7" s="111"/>
      <c r="R7" s="111"/>
      <c r="S7" s="111"/>
      <c r="T7" s="111"/>
      <c r="U7" s="112"/>
      <c r="V7" s="89"/>
      <c r="W7" s="113"/>
      <c r="X7" s="113"/>
      <c r="Y7" s="113"/>
      <c r="Z7" s="89"/>
      <c r="AA7" s="89"/>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row>
    <row r="8" spans="1:59" s="96" customFormat="1" ht="21.75" customHeight="1" thickBot="1" x14ac:dyDescent="0.55000000000000004">
      <c r="A8" s="97"/>
      <c r="B8" s="114" t="s">
        <v>184</v>
      </c>
      <c r="C8" s="115"/>
      <c r="D8" s="115"/>
      <c r="E8" s="115"/>
      <c r="F8" s="115"/>
      <c r="G8" s="115"/>
      <c r="H8" s="115"/>
      <c r="I8" s="115"/>
      <c r="J8" s="115"/>
      <c r="K8" s="115"/>
      <c r="L8" s="115"/>
      <c r="M8" s="115"/>
      <c r="N8" s="115"/>
      <c r="O8" s="115"/>
      <c r="P8" s="115"/>
      <c r="Q8" s="115"/>
      <c r="R8" s="115"/>
      <c r="S8" s="115"/>
      <c r="T8" s="115"/>
      <c r="U8" s="116"/>
      <c r="V8" s="89"/>
      <c r="W8" s="113"/>
      <c r="X8" s="113"/>
      <c r="Y8" s="113"/>
      <c r="Z8" s="89"/>
      <c r="AA8" s="89"/>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row>
    <row r="9" spans="1:59" s="96" customFormat="1" ht="21.75" customHeight="1" x14ac:dyDescent="0.5">
      <c r="A9" s="97" t="s">
        <v>185</v>
      </c>
      <c r="B9" s="117"/>
      <c r="C9" s="683" t="s">
        <v>186</v>
      </c>
      <c r="D9" s="683"/>
      <c r="E9" s="118"/>
      <c r="F9" s="119" t="s">
        <v>187</v>
      </c>
      <c r="G9" s="118"/>
      <c r="H9" s="118"/>
      <c r="I9" s="118"/>
      <c r="J9" s="118"/>
      <c r="K9" s="118"/>
      <c r="L9" s="118"/>
      <c r="M9" s="118"/>
      <c r="N9" s="118"/>
      <c r="O9" s="120" t="s">
        <v>188</v>
      </c>
      <c r="P9" s="121"/>
      <c r="Q9" s="121"/>
      <c r="R9" s="122"/>
      <c r="S9" s="122"/>
      <c r="T9" s="122"/>
      <c r="U9" s="123"/>
      <c r="V9" s="97" t="s">
        <v>189</v>
      </c>
      <c r="W9" s="124" t="s">
        <v>190</v>
      </c>
      <c r="X9" s="125">
        <v>1</v>
      </c>
      <c r="Y9" s="126">
        <v>2</v>
      </c>
      <c r="Z9" s="89"/>
      <c r="AA9" s="89"/>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row>
    <row r="10" spans="1:59" s="134" customFormat="1" x14ac:dyDescent="0.45">
      <c r="A10" s="127"/>
      <c r="B10" s="128"/>
      <c r="C10" s="129">
        <f>$W$10</f>
        <v>0</v>
      </c>
      <c r="D10" s="129">
        <f>W12</f>
        <v>8840</v>
      </c>
      <c r="E10" s="129"/>
      <c r="F10" s="130" t="s">
        <v>191</v>
      </c>
      <c r="G10" s="129"/>
      <c r="H10" s="129"/>
      <c r="I10" s="129"/>
      <c r="J10" s="129"/>
      <c r="K10" s="129"/>
      <c r="L10" s="129"/>
      <c r="M10" s="129"/>
      <c r="N10" s="129"/>
      <c r="O10" s="129"/>
      <c r="P10" s="129"/>
      <c r="Q10" s="129"/>
      <c r="R10" s="129"/>
      <c r="S10" s="129"/>
      <c r="T10" s="129"/>
      <c r="U10" s="131"/>
      <c r="V10" s="132"/>
      <c r="W10" s="128">
        <v>0</v>
      </c>
      <c r="X10" s="129">
        <v>0</v>
      </c>
      <c r="Y10" s="131">
        <v>0</v>
      </c>
      <c r="Z10" s="132"/>
      <c r="AA10" s="132"/>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row>
    <row r="11" spans="1:59" s="134" customFormat="1" x14ac:dyDescent="0.45">
      <c r="A11" s="127"/>
      <c r="B11" s="128"/>
      <c r="C11" s="129">
        <f>W12</f>
        <v>8840</v>
      </c>
      <c r="D11" s="129" t="s">
        <v>192</v>
      </c>
      <c r="E11" s="129"/>
      <c r="F11" s="130" t="s">
        <v>193</v>
      </c>
      <c r="G11" s="129"/>
      <c r="H11" s="135">
        <f>$Y$12*100</f>
        <v>13.8</v>
      </c>
      <c r="I11" s="135" t="s">
        <v>194</v>
      </c>
      <c r="J11" s="129"/>
      <c r="K11" s="129"/>
      <c r="L11" s="135"/>
      <c r="M11" s="136"/>
      <c r="N11" s="129"/>
      <c r="O11" s="129"/>
      <c r="P11" s="129"/>
      <c r="Q11" s="129"/>
      <c r="R11" s="137"/>
      <c r="S11" s="129"/>
      <c r="T11" s="138"/>
      <c r="U11" s="139"/>
      <c r="V11" s="140" t="s">
        <v>195</v>
      </c>
      <c r="W11" s="128">
        <v>6240</v>
      </c>
      <c r="X11" s="141">
        <v>0</v>
      </c>
      <c r="Y11" s="142"/>
      <c r="Z11" s="132"/>
      <c r="AA11" s="132"/>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row>
    <row r="12" spans="1:59" s="134" customFormat="1" ht="16" thickBot="1" x14ac:dyDescent="0.5">
      <c r="A12" s="127"/>
      <c r="B12" s="143"/>
      <c r="C12" s="144"/>
      <c r="D12" s="144"/>
      <c r="E12" s="144"/>
      <c r="F12" s="144"/>
      <c r="G12" s="145"/>
      <c r="H12" s="146"/>
      <c r="I12" s="145"/>
      <c r="J12" s="144"/>
      <c r="K12" s="147"/>
      <c r="L12" s="148"/>
      <c r="M12" s="147"/>
      <c r="N12" s="144"/>
      <c r="O12" s="144"/>
      <c r="P12" s="149"/>
      <c r="Q12" s="144"/>
      <c r="R12" s="150"/>
      <c r="S12" s="144"/>
      <c r="T12" s="144"/>
      <c r="U12" s="151"/>
      <c r="V12" s="140" t="s">
        <v>196</v>
      </c>
      <c r="W12" s="128">
        <v>8840</v>
      </c>
      <c r="X12" s="141">
        <v>0</v>
      </c>
      <c r="Y12" s="142">
        <v>0.13800000000000001</v>
      </c>
      <c r="Z12" s="132"/>
      <c r="AA12" s="132"/>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row>
    <row r="13" spans="1:59" s="134" customFormat="1" ht="17" thickBot="1" x14ac:dyDescent="0.5">
      <c r="A13" s="97"/>
      <c r="B13" s="152"/>
      <c r="C13" s="153"/>
      <c r="D13" s="153"/>
      <c r="E13" s="154"/>
      <c r="F13" s="153"/>
      <c r="G13" s="154"/>
      <c r="H13" s="153"/>
      <c r="I13" s="154"/>
      <c r="J13" s="153"/>
      <c r="K13" s="154"/>
      <c r="L13" s="153"/>
      <c r="M13" s="154"/>
      <c r="N13" s="154"/>
      <c r="O13" s="154"/>
      <c r="P13" s="154"/>
      <c r="Q13" s="154"/>
      <c r="R13" s="154"/>
      <c r="S13" s="154"/>
      <c r="T13" s="154"/>
      <c r="U13" s="154"/>
      <c r="V13" s="140" t="s">
        <v>197</v>
      </c>
      <c r="W13" s="128">
        <v>50270</v>
      </c>
      <c r="X13" s="141">
        <v>0</v>
      </c>
      <c r="Y13" s="131"/>
      <c r="Z13" s="132"/>
      <c r="AA13" s="132"/>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row>
    <row r="14" spans="1:59" s="134" customFormat="1" ht="17.5" thickTop="1" thickBot="1" x14ac:dyDescent="0.5">
      <c r="A14" s="155"/>
      <c r="B14" s="156"/>
      <c r="C14" s="156"/>
      <c r="D14" s="156"/>
      <c r="E14" s="156"/>
      <c r="F14" s="157"/>
      <c r="G14" s="156"/>
      <c r="H14" s="156"/>
      <c r="I14" s="156"/>
      <c r="J14" s="156"/>
      <c r="K14" s="156"/>
      <c r="L14" s="156"/>
      <c r="M14" s="156"/>
      <c r="N14" s="156"/>
      <c r="O14" s="156"/>
      <c r="P14" s="156"/>
      <c r="Q14" s="156"/>
      <c r="R14" s="156"/>
      <c r="S14" s="156"/>
      <c r="T14" s="156"/>
      <c r="U14" s="156"/>
      <c r="V14" s="132"/>
      <c r="W14" s="128"/>
      <c r="X14" s="141"/>
      <c r="Y14" s="142"/>
      <c r="Z14" s="132"/>
      <c r="AA14" s="132"/>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row>
    <row r="15" spans="1:59" s="134" customFormat="1" ht="18.75" customHeight="1" thickTop="1" thickBot="1" x14ac:dyDescent="0.5">
      <c r="A15" s="97" t="s">
        <v>198</v>
      </c>
      <c r="B15" s="684" t="s">
        <v>199</v>
      </c>
      <c r="C15" s="685"/>
      <c r="D15" s="685"/>
      <c r="E15" s="685"/>
      <c r="F15" s="685"/>
      <c r="G15" s="685"/>
      <c r="H15" s="685"/>
      <c r="I15" s="685"/>
      <c r="J15" s="685"/>
      <c r="K15" s="685"/>
      <c r="L15" s="685"/>
      <c r="M15" s="686"/>
      <c r="N15" s="687" t="s">
        <v>200</v>
      </c>
      <c r="O15" s="688"/>
      <c r="P15" s="688"/>
      <c r="Q15" s="688"/>
      <c r="R15" s="688"/>
      <c r="S15" s="688"/>
      <c r="T15" s="688"/>
      <c r="U15" s="688"/>
      <c r="V15" s="158"/>
      <c r="W15" s="159" t="s">
        <v>201</v>
      </c>
      <c r="X15" s="160">
        <v>0.25900000000000001</v>
      </c>
      <c r="Y15" s="151"/>
      <c r="Z15" s="132"/>
      <c r="AA15" s="132"/>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row>
    <row r="16" spans="1:59" x14ac:dyDescent="0.35">
      <c r="A16" s="89"/>
      <c r="B16" s="161"/>
      <c r="C16" s="162" t="s">
        <v>202</v>
      </c>
      <c r="D16" s="162" t="s">
        <v>203</v>
      </c>
      <c r="E16" s="162"/>
      <c r="F16" s="163" t="s">
        <v>204</v>
      </c>
      <c r="G16" s="162"/>
      <c r="H16" s="163" t="s">
        <v>205</v>
      </c>
      <c r="I16" s="162"/>
      <c r="J16" s="163" t="s">
        <v>201</v>
      </c>
      <c r="K16" s="162"/>
      <c r="L16" s="163" t="s">
        <v>206</v>
      </c>
      <c r="M16" s="164"/>
      <c r="N16" s="165" t="s">
        <v>204</v>
      </c>
      <c r="O16" s="162"/>
      <c r="P16" s="162"/>
      <c r="Q16" s="162"/>
      <c r="R16" s="163" t="s">
        <v>205</v>
      </c>
      <c r="S16" s="162"/>
      <c r="T16" s="166" t="s">
        <v>206</v>
      </c>
      <c r="U16" s="167"/>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row>
    <row r="17" spans="1:59" ht="16" customHeight="1" thickBot="1" x14ac:dyDescent="0.4">
      <c r="A17" s="89"/>
      <c r="B17" s="169"/>
      <c r="C17" s="170"/>
      <c r="D17" s="170"/>
      <c r="E17" s="170"/>
      <c r="F17" s="170"/>
      <c r="G17" s="170"/>
      <c r="H17" s="170"/>
      <c r="I17" s="170"/>
      <c r="J17" s="170"/>
      <c r="K17" s="170"/>
      <c r="L17" s="170"/>
      <c r="M17" s="170"/>
      <c r="N17" s="171"/>
      <c r="O17" s="170"/>
      <c r="P17" s="170"/>
      <c r="Q17" s="170"/>
      <c r="R17" s="170"/>
      <c r="S17" s="170"/>
      <c r="T17" s="170"/>
      <c r="U17" s="172"/>
      <c r="V17" s="89"/>
      <c r="W17" s="89"/>
      <c r="X17" s="173"/>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row>
    <row r="18" spans="1:59" ht="16" customHeight="1" x14ac:dyDescent="0.35">
      <c r="A18" s="89"/>
      <c r="B18" s="174"/>
      <c r="C18" s="175" t="s">
        <v>207</v>
      </c>
      <c r="D18" s="176"/>
      <c r="E18" s="177"/>
      <c r="F18" s="178"/>
      <c r="G18" s="178"/>
      <c r="H18" s="178"/>
      <c r="I18" s="178"/>
      <c r="J18" s="178"/>
      <c r="K18" s="178"/>
      <c r="L18" s="178"/>
      <c r="M18" s="178"/>
      <c r="N18" s="179"/>
      <c r="O18" s="178"/>
      <c r="P18" s="178"/>
      <c r="Q18" s="178"/>
      <c r="R18" s="178"/>
      <c r="S18" s="178"/>
      <c r="T18" s="178"/>
      <c r="U18" s="180"/>
      <c r="V18" s="89"/>
      <c r="W18" s="89"/>
      <c r="X18" s="173"/>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row>
    <row r="19" spans="1:59" ht="16" customHeight="1" x14ac:dyDescent="0.35">
      <c r="A19" s="89"/>
      <c r="B19" s="174"/>
      <c r="C19" s="181" t="s">
        <v>208</v>
      </c>
      <c r="D19" s="176"/>
      <c r="E19" s="177"/>
      <c r="F19" s="178"/>
      <c r="G19" s="178"/>
      <c r="H19" s="178"/>
      <c r="I19" s="178"/>
      <c r="J19" s="178"/>
      <c r="K19" s="178"/>
      <c r="L19" s="178"/>
      <c r="M19" s="178"/>
      <c r="N19" s="179"/>
      <c r="O19" s="178"/>
      <c r="P19" s="178"/>
      <c r="Q19" s="178"/>
      <c r="R19" s="178"/>
      <c r="S19" s="178"/>
      <c r="T19" s="178"/>
      <c r="U19" s="180"/>
      <c r="V19" s="89"/>
      <c r="W19" s="182" t="s">
        <v>209</v>
      </c>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row>
    <row r="20" spans="1:59" ht="16" customHeight="1" x14ac:dyDescent="0.35">
      <c r="A20" s="89"/>
      <c r="B20" s="183"/>
      <c r="C20" s="181" t="s">
        <v>210</v>
      </c>
      <c r="D20" s="181">
        <v>6</v>
      </c>
      <c r="E20" s="177"/>
      <c r="F20" s="178">
        <v>16018.951965065502</v>
      </c>
      <c r="G20" s="178"/>
      <c r="H20" s="178">
        <f t="shared" ref="H20:H39" si="0">IF($F20&gt;$W$12,($F20-$W$12)*$Y$12,"ERROR")</f>
        <v>990.6953711790394</v>
      </c>
      <c r="I20" s="178"/>
      <c r="J20" s="178">
        <f t="shared" ref="J20:J39" si="1">$F20*$X$15</f>
        <v>4148.9085589519655</v>
      </c>
      <c r="K20" s="178"/>
      <c r="L20" s="178">
        <f t="shared" ref="L20:L39" si="2">F20+ROUND(H20,0)+ROUND(J20,0)</f>
        <v>21158.951965065502</v>
      </c>
      <c r="M20" s="178"/>
      <c r="N20" s="179">
        <f t="shared" ref="N20:N39" si="3">F20</f>
        <v>16018.951965065502</v>
      </c>
      <c r="O20" s="178"/>
      <c r="P20" s="178"/>
      <c r="Q20" s="178"/>
      <c r="R20" s="178">
        <f t="shared" ref="R20:R39" si="4">IF($N20&gt;$W$12,($N20-$W$12)*$Y$12,"ERROR")</f>
        <v>990.6953711790394</v>
      </c>
      <c r="S20" s="178"/>
      <c r="T20" s="178">
        <f t="shared" ref="T20:T39" si="5">SUM(N20:R20)</f>
        <v>17009.647336244543</v>
      </c>
      <c r="U20" s="180"/>
      <c r="V20" s="184"/>
      <c r="W20" s="182" t="s">
        <v>211</v>
      </c>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row>
    <row r="21" spans="1:59" ht="16" customHeight="1" x14ac:dyDescent="0.35">
      <c r="A21" s="89"/>
      <c r="B21" s="183"/>
      <c r="C21" s="181" t="s">
        <v>207</v>
      </c>
      <c r="D21" s="181">
        <v>7</v>
      </c>
      <c r="E21" s="177"/>
      <c r="F21" s="178">
        <v>16328.908296943231</v>
      </c>
      <c r="G21" s="178"/>
      <c r="H21" s="178">
        <f t="shared" si="0"/>
        <v>1033.469344978166</v>
      </c>
      <c r="I21" s="178"/>
      <c r="J21" s="178">
        <f t="shared" si="1"/>
        <v>4229.1872489082971</v>
      </c>
      <c r="K21" s="178"/>
      <c r="L21" s="178">
        <f t="shared" si="2"/>
        <v>21590.908296943231</v>
      </c>
      <c r="M21" s="178"/>
      <c r="N21" s="179">
        <f t="shared" si="3"/>
        <v>16328.908296943231</v>
      </c>
      <c r="O21" s="178"/>
      <c r="P21" s="178"/>
      <c r="Q21" s="178"/>
      <c r="R21" s="178">
        <f t="shared" si="4"/>
        <v>1033.469344978166</v>
      </c>
      <c r="S21" s="178"/>
      <c r="T21" s="178">
        <f t="shared" si="5"/>
        <v>17362.377641921397</v>
      </c>
      <c r="U21" s="180"/>
      <c r="V21" s="184"/>
      <c r="W21" s="182"/>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row>
    <row r="22" spans="1:59" ht="16" customHeight="1" x14ac:dyDescent="0.35">
      <c r="A22" s="89"/>
      <c r="B22" s="183"/>
      <c r="C22" s="181" t="s">
        <v>207</v>
      </c>
      <c r="D22" s="181">
        <v>8</v>
      </c>
      <c r="E22" s="177"/>
      <c r="F22" s="178">
        <v>16675.48034934498</v>
      </c>
      <c r="G22" s="178"/>
      <c r="H22" s="178">
        <f t="shared" si="0"/>
        <v>1081.2962882096074</v>
      </c>
      <c r="I22" s="178"/>
      <c r="J22" s="178">
        <f t="shared" si="1"/>
        <v>4318.9494104803498</v>
      </c>
      <c r="K22" s="178"/>
      <c r="L22" s="178">
        <f t="shared" si="2"/>
        <v>22075.48034934498</v>
      </c>
      <c r="M22" s="178"/>
      <c r="N22" s="179">
        <f t="shared" si="3"/>
        <v>16675.48034934498</v>
      </c>
      <c r="O22" s="178"/>
      <c r="P22" s="178"/>
      <c r="Q22" s="178"/>
      <c r="R22" s="178">
        <f t="shared" si="4"/>
        <v>1081.2962882096074</v>
      </c>
      <c r="S22" s="178"/>
      <c r="T22" s="178">
        <f t="shared" si="5"/>
        <v>17756.776637554587</v>
      </c>
      <c r="U22" s="180"/>
      <c r="V22" s="184"/>
      <c r="W22" s="182" t="s">
        <v>212</v>
      </c>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row>
    <row r="23" spans="1:59" ht="16" customHeight="1" x14ac:dyDescent="0.35">
      <c r="A23" s="89"/>
      <c r="B23" s="183"/>
      <c r="C23" s="185" t="s">
        <v>207</v>
      </c>
      <c r="D23" s="185">
        <v>9</v>
      </c>
      <c r="E23" s="186"/>
      <c r="F23" s="187">
        <v>16986.288209606988</v>
      </c>
      <c r="G23" s="187"/>
      <c r="H23" s="187">
        <f t="shared" si="0"/>
        <v>1124.1877729257644</v>
      </c>
      <c r="I23" s="187"/>
      <c r="J23" s="187">
        <f t="shared" si="1"/>
        <v>4399.4486462882096</v>
      </c>
      <c r="K23" s="187"/>
      <c r="L23" s="187">
        <f t="shared" si="2"/>
        <v>22509.288209606988</v>
      </c>
      <c r="M23" s="187"/>
      <c r="N23" s="188">
        <f t="shared" si="3"/>
        <v>16986.288209606988</v>
      </c>
      <c r="O23" s="187"/>
      <c r="P23" s="187"/>
      <c r="Q23" s="187"/>
      <c r="R23" s="187">
        <f t="shared" si="4"/>
        <v>1124.1877729257644</v>
      </c>
      <c r="S23" s="187"/>
      <c r="T23" s="187">
        <f t="shared" si="5"/>
        <v>18110.475982532753</v>
      </c>
      <c r="U23" s="180"/>
      <c r="V23" s="89"/>
      <c r="W23" s="182" t="s">
        <v>213</v>
      </c>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row>
    <row r="24" spans="1:59" ht="16" customHeight="1" x14ac:dyDescent="0.35">
      <c r="A24" s="89"/>
      <c r="B24" s="183"/>
      <c r="C24" s="181" t="s">
        <v>214</v>
      </c>
      <c r="D24" s="181">
        <v>12</v>
      </c>
      <c r="E24" s="177"/>
      <c r="F24" s="178">
        <v>18012.379912663757</v>
      </c>
      <c r="G24" s="178"/>
      <c r="H24" s="178">
        <f t="shared" si="0"/>
        <v>1265.7884279475986</v>
      </c>
      <c r="I24" s="178"/>
      <c r="J24" s="178">
        <f t="shared" si="1"/>
        <v>4665.2063973799131</v>
      </c>
      <c r="K24" s="178"/>
      <c r="L24" s="178">
        <f t="shared" si="2"/>
        <v>23943.379912663757</v>
      </c>
      <c r="M24" s="178"/>
      <c r="N24" s="179">
        <f t="shared" si="3"/>
        <v>18012.379912663757</v>
      </c>
      <c r="O24" s="178"/>
      <c r="P24" s="178"/>
      <c r="Q24" s="178"/>
      <c r="R24" s="178">
        <f t="shared" si="4"/>
        <v>1265.7884279475986</v>
      </c>
      <c r="S24" s="178"/>
      <c r="T24" s="178">
        <f t="shared" si="5"/>
        <v>19278.168340611355</v>
      </c>
      <c r="U24" s="180"/>
      <c r="V24" s="184"/>
      <c r="W24" s="182"/>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row>
    <row r="25" spans="1:59" ht="16" customHeight="1" x14ac:dyDescent="0.35">
      <c r="A25" s="89"/>
      <c r="B25" s="183"/>
      <c r="C25" s="181" t="s">
        <v>215</v>
      </c>
      <c r="D25" s="181">
        <v>13</v>
      </c>
      <c r="E25" s="177"/>
      <c r="F25" s="178">
        <v>18717.445414847163</v>
      </c>
      <c r="G25" s="178"/>
      <c r="H25" s="178">
        <f t="shared" si="0"/>
        <v>1363.0874672489085</v>
      </c>
      <c r="I25" s="178"/>
      <c r="J25" s="178">
        <f t="shared" si="1"/>
        <v>4847.818362445415</v>
      </c>
      <c r="K25" s="178"/>
      <c r="L25" s="178">
        <f t="shared" si="2"/>
        <v>24928.445414847163</v>
      </c>
      <c r="M25" s="178"/>
      <c r="N25" s="179">
        <f t="shared" si="3"/>
        <v>18717.445414847163</v>
      </c>
      <c r="O25" s="178"/>
      <c r="P25" s="178"/>
      <c r="Q25" s="178"/>
      <c r="R25" s="178">
        <f t="shared" si="4"/>
        <v>1363.0874672489085</v>
      </c>
      <c r="S25" s="178"/>
      <c r="T25" s="178">
        <f t="shared" si="5"/>
        <v>20080.532882096071</v>
      </c>
      <c r="U25" s="180"/>
      <c r="V25" s="184"/>
      <c r="W25" s="182" t="s">
        <v>216</v>
      </c>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row>
    <row r="26" spans="1:59" ht="16" customHeight="1" x14ac:dyDescent="0.35">
      <c r="A26" s="89"/>
      <c r="B26" s="183"/>
      <c r="C26" s="181" t="s">
        <v>207</v>
      </c>
      <c r="D26" s="181">
        <v>14</v>
      </c>
      <c r="E26" s="177"/>
      <c r="F26" s="178">
        <v>19489.781659388645</v>
      </c>
      <c r="G26" s="178"/>
      <c r="H26" s="178">
        <f t="shared" si="0"/>
        <v>1469.6698689956331</v>
      </c>
      <c r="I26" s="178"/>
      <c r="J26" s="178">
        <f t="shared" si="1"/>
        <v>5047.853449781659</v>
      </c>
      <c r="K26" s="178"/>
      <c r="L26" s="178">
        <f t="shared" si="2"/>
        <v>26007.781659388645</v>
      </c>
      <c r="M26" s="189"/>
      <c r="N26" s="178">
        <f t="shared" si="3"/>
        <v>19489.781659388645</v>
      </c>
      <c r="O26" s="178"/>
      <c r="P26" s="178"/>
      <c r="Q26" s="178"/>
      <c r="R26" s="178">
        <f t="shared" si="4"/>
        <v>1469.6698689956331</v>
      </c>
      <c r="S26" s="178"/>
      <c r="T26" s="178">
        <f t="shared" si="5"/>
        <v>20959.451528384277</v>
      </c>
      <c r="U26" s="180"/>
      <c r="V26" s="184"/>
      <c r="W26" s="182" t="s">
        <v>217</v>
      </c>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row>
    <row r="27" spans="1:59" ht="16" customHeight="1" x14ac:dyDescent="0.35">
      <c r="A27" s="89"/>
      <c r="B27" s="183"/>
      <c r="C27" s="185" t="s">
        <v>207</v>
      </c>
      <c r="D27" s="185">
        <v>15</v>
      </c>
      <c r="E27" s="186"/>
      <c r="F27" s="187">
        <v>20258.711790393012</v>
      </c>
      <c r="G27" s="187"/>
      <c r="H27" s="187">
        <f t="shared" si="0"/>
        <v>1575.7822270742358</v>
      </c>
      <c r="I27" s="187"/>
      <c r="J27" s="187">
        <f t="shared" si="1"/>
        <v>5247.0063537117903</v>
      </c>
      <c r="K27" s="187"/>
      <c r="L27" s="187">
        <f t="shared" si="2"/>
        <v>27081.711790393012</v>
      </c>
      <c r="M27" s="187"/>
      <c r="N27" s="188">
        <f t="shared" si="3"/>
        <v>20258.711790393012</v>
      </c>
      <c r="O27" s="187"/>
      <c r="P27" s="187"/>
      <c r="Q27" s="187"/>
      <c r="R27" s="187">
        <f t="shared" si="4"/>
        <v>1575.7822270742358</v>
      </c>
      <c r="S27" s="187"/>
      <c r="T27" s="187">
        <f t="shared" si="5"/>
        <v>21834.494017467248</v>
      </c>
      <c r="U27" s="180"/>
      <c r="V27" s="184"/>
      <c r="W27" s="182"/>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row>
    <row r="28" spans="1:59" ht="16" customHeight="1" x14ac:dyDescent="0.35">
      <c r="A28" s="89"/>
      <c r="B28" s="183"/>
      <c r="C28" s="181" t="s">
        <v>218</v>
      </c>
      <c r="D28" s="181">
        <v>15</v>
      </c>
      <c r="E28" s="177"/>
      <c r="F28" s="178">
        <v>20258.711790393012</v>
      </c>
      <c r="G28" s="178"/>
      <c r="H28" s="178">
        <f t="shared" si="0"/>
        <v>1575.7822270742358</v>
      </c>
      <c r="I28" s="178"/>
      <c r="J28" s="178">
        <f t="shared" si="1"/>
        <v>5247.0063537117903</v>
      </c>
      <c r="K28" s="178"/>
      <c r="L28" s="178">
        <f t="shared" si="2"/>
        <v>27081.711790393012</v>
      </c>
      <c r="M28" s="178"/>
      <c r="N28" s="179">
        <f t="shared" si="3"/>
        <v>20258.711790393012</v>
      </c>
      <c r="O28" s="178"/>
      <c r="P28" s="178"/>
      <c r="Q28" s="178"/>
      <c r="R28" s="178">
        <f t="shared" si="4"/>
        <v>1575.7822270742358</v>
      </c>
      <c r="S28" s="178"/>
      <c r="T28" s="178">
        <f t="shared" si="5"/>
        <v>21834.494017467248</v>
      </c>
      <c r="U28" s="180"/>
      <c r="V28" s="184"/>
      <c r="W28" s="182" t="s">
        <v>219</v>
      </c>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row>
    <row r="29" spans="1:59" ht="16" customHeight="1" x14ac:dyDescent="0.35">
      <c r="A29" s="89"/>
      <c r="B29" s="183"/>
      <c r="C29" s="181" t="s">
        <v>220</v>
      </c>
      <c r="D29" s="181">
        <v>16</v>
      </c>
      <c r="E29" s="177"/>
      <c r="F29" s="178">
        <v>20720.24017467249</v>
      </c>
      <c r="G29" s="178"/>
      <c r="H29" s="178">
        <f t="shared" si="0"/>
        <v>1639.4731441048039</v>
      </c>
      <c r="I29" s="178"/>
      <c r="J29" s="178">
        <f t="shared" si="1"/>
        <v>5366.5422052401755</v>
      </c>
      <c r="K29" s="178"/>
      <c r="L29" s="178">
        <f t="shared" si="2"/>
        <v>27726.24017467249</v>
      </c>
      <c r="M29" s="178"/>
      <c r="N29" s="179">
        <f t="shared" si="3"/>
        <v>20720.24017467249</v>
      </c>
      <c r="O29" s="178"/>
      <c r="P29" s="178"/>
      <c r="Q29" s="178"/>
      <c r="R29" s="178">
        <f t="shared" si="4"/>
        <v>1639.4731441048039</v>
      </c>
      <c r="S29" s="178"/>
      <c r="T29" s="178">
        <f t="shared" si="5"/>
        <v>22359.713318777292</v>
      </c>
      <c r="U29" s="180"/>
      <c r="V29" s="184"/>
      <c r="W29" s="182" t="s">
        <v>221</v>
      </c>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row>
    <row r="30" spans="1:59" ht="16" customHeight="1" x14ac:dyDescent="0.35">
      <c r="A30" s="89"/>
      <c r="B30" s="183"/>
      <c r="C30" s="181" t="s">
        <v>222</v>
      </c>
      <c r="D30" s="181">
        <v>17</v>
      </c>
      <c r="E30" s="177"/>
      <c r="F30" s="178">
        <v>21392.947598253275</v>
      </c>
      <c r="G30" s="178"/>
      <c r="H30" s="178">
        <f t="shared" si="0"/>
        <v>1732.3067685589522</v>
      </c>
      <c r="I30" s="178"/>
      <c r="J30" s="178">
        <f t="shared" si="1"/>
        <v>5540.7734279475981</v>
      </c>
      <c r="K30" s="178"/>
      <c r="L30" s="178">
        <f t="shared" si="2"/>
        <v>28665.947598253275</v>
      </c>
      <c r="M30" s="178"/>
      <c r="N30" s="179">
        <f t="shared" si="3"/>
        <v>21392.947598253275</v>
      </c>
      <c r="O30" s="178"/>
      <c r="P30" s="178"/>
      <c r="Q30" s="178"/>
      <c r="R30" s="178">
        <f t="shared" si="4"/>
        <v>1732.3067685589522</v>
      </c>
      <c r="S30" s="178"/>
      <c r="T30" s="178">
        <f t="shared" si="5"/>
        <v>23125.254366812227</v>
      </c>
      <c r="U30" s="180"/>
      <c r="V30" s="184"/>
      <c r="W30" s="182" t="s">
        <v>223</v>
      </c>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row>
    <row r="31" spans="1:59" ht="16" customHeight="1" x14ac:dyDescent="0.35">
      <c r="A31" s="89"/>
      <c r="B31" s="183"/>
      <c r="C31" s="185" t="s">
        <v>207</v>
      </c>
      <c r="D31" s="185">
        <v>18</v>
      </c>
      <c r="E31" s="186"/>
      <c r="F31" s="187">
        <v>22132.074235807861</v>
      </c>
      <c r="G31" s="187"/>
      <c r="H31" s="187">
        <f t="shared" si="0"/>
        <v>1834.3062445414848</v>
      </c>
      <c r="I31" s="187"/>
      <c r="J31" s="187">
        <f t="shared" si="1"/>
        <v>5732.2072270742365</v>
      </c>
      <c r="K31" s="187"/>
      <c r="L31" s="196">
        <f t="shared" si="2"/>
        <v>29698.074235807861</v>
      </c>
      <c r="M31" s="187"/>
      <c r="N31" s="188">
        <f t="shared" si="3"/>
        <v>22132.074235807861</v>
      </c>
      <c r="O31" s="187"/>
      <c r="P31" s="187"/>
      <c r="Q31" s="187"/>
      <c r="R31" s="187">
        <f t="shared" si="4"/>
        <v>1834.3062445414848</v>
      </c>
      <c r="S31" s="187"/>
      <c r="T31" s="187">
        <f t="shared" si="5"/>
        <v>23966.380480349344</v>
      </c>
      <c r="U31" s="180"/>
      <c r="V31" s="184"/>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row>
    <row r="32" spans="1:59" ht="16" customHeight="1" x14ac:dyDescent="0.35">
      <c r="A32" s="89"/>
      <c r="B32" s="183"/>
      <c r="C32" s="181" t="s">
        <v>224</v>
      </c>
      <c r="D32" s="181">
        <v>18</v>
      </c>
      <c r="E32" s="177"/>
      <c r="F32" s="178">
        <v>22132.074235807861</v>
      </c>
      <c r="G32" s="178"/>
      <c r="H32" s="178">
        <f t="shared" si="0"/>
        <v>1834.3062445414848</v>
      </c>
      <c r="I32" s="178"/>
      <c r="J32" s="178">
        <f t="shared" si="1"/>
        <v>5732.2072270742365</v>
      </c>
      <c r="K32" s="178"/>
      <c r="L32" s="178">
        <f>F32+ROUND(H32,0)+ROUND(J32,0)</f>
        <v>29698.074235807861</v>
      </c>
      <c r="M32" s="178"/>
      <c r="N32" s="179">
        <f>F32</f>
        <v>22132.074235807861</v>
      </c>
      <c r="O32" s="178"/>
      <c r="P32" s="178"/>
      <c r="Q32" s="178"/>
      <c r="R32" s="178">
        <f t="shared" si="4"/>
        <v>1834.3062445414848</v>
      </c>
      <c r="S32" s="178"/>
      <c r="T32" s="178">
        <f>SUM(N32:R32)</f>
        <v>23966.380480349344</v>
      </c>
      <c r="U32" s="180"/>
      <c r="V32" s="184"/>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row>
    <row r="33" spans="1:59" ht="16" customHeight="1" x14ac:dyDescent="0.35">
      <c r="A33" s="89"/>
      <c r="B33" s="183"/>
      <c r="C33" s="181" t="s">
        <v>225</v>
      </c>
      <c r="D33" s="181">
        <v>19</v>
      </c>
      <c r="E33" s="177"/>
      <c r="F33" s="178">
        <v>22808.187772925765</v>
      </c>
      <c r="G33" s="178"/>
      <c r="H33" s="178">
        <f t="shared" si="0"/>
        <v>1927.6099126637557</v>
      </c>
      <c r="I33" s="178"/>
      <c r="J33" s="178">
        <f t="shared" si="1"/>
        <v>5907.3206331877736</v>
      </c>
      <c r="K33" s="178"/>
      <c r="L33" s="178">
        <f>F33+ROUND(H33,0)+ROUND(J33,0)</f>
        <v>30643.187772925765</v>
      </c>
      <c r="M33" s="178"/>
      <c r="N33" s="179">
        <f>F33</f>
        <v>22808.187772925765</v>
      </c>
      <c r="O33" s="178"/>
      <c r="P33" s="178"/>
      <c r="Q33" s="178"/>
      <c r="R33" s="178">
        <f t="shared" si="4"/>
        <v>1927.6099126637557</v>
      </c>
      <c r="S33" s="178"/>
      <c r="T33" s="178">
        <f>SUM(N33:R33)</f>
        <v>24735.797685589521</v>
      </c>
      <c r="U33" s="180"/>
      <c r="V33" s="184"/>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row>
    <row r="34" spans="1:59" ht="16" customHeight="1" x14ac:dyDescent="0.35">
      <c r="A34" s="89"/>
      <c r="B34" s="183"/>
      <c r="C34" s="181" t="s">
        <v>226</v>
      </c>
      <c r="D34" s="181">
        <v>20</v>
      </c>
      <c r="E34" s="177"/>
      <c r="F34" s="178">
        <v>23612.03056768559</v>
      </c>
      <c r="G34" s="178"/>
      <c r="H34" s="178">
        <f t="shared" si="0"/>
        <v>2038.5402183406115</v>
      </c>
      <c r="I34" s="178"/>
      <c r="J34" s="178">
        <f t="shared" si="1"/>
        <v>6115.5159170305678</v>
      </c>
      <c r="K34" s="178"/>
      <c r="L34" s="178">
        <f>F34+ROUND(H34,0)+ROUND(J34,0)</f>
        <v>31767.03056768559</v>
      </c>
      <c r="M34" s="178"/>
      <c r="N34" s="179">
        <f>F34</f>
        <v>23612.03056768559</v>
      </c>
      <c r="O34" s="178"/>
      <c r="P34" s="178"/>
      <c r="Q34" s="178"/>
      <c r="R34" s="178">
        <f t="shared" si="4"/>
        <v>2038.5402183406115</v>
      </c>
      <c r="S34" s="178"/>
      <c r="T34" s="178">
        <f>SUM(N34:R34)</f>
        <v>25650.570786026201</v>
      </c>
      <c r="U34" s="180"/>
      <c r="V34" s="184"/>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row>
    <row r="35" spans="1:59" ht="16" customHeight="1" x14ac:dyDescent="0.35">
      <c r="A35" s="89"/>
      <c r="B35" s="183"/>
      <c r="C35" s="185" t="s">
        <v>207</v>
      </c>
      <c r="D35" s="185">
        <v>21</v>
      </c>
      <c r="E35" s="186"/>
      <c r="F35" s="187">
        <v>24415.021834061135</v>
      </c>
      <c r="G35" s="187"/>
      <c r="H35" s="187">
        <f t="shared" si="0"/>
        <v>2149.3530131004368</v>
      </c>
      <c r="I35" s="187"/>
      <c r="J35" s="187">
        <f t="shared" si="1"/>
        <v>6323.4906550218338</v>
      </c>
      <c r="K35" s="187"/>
      <c r="L35" s="187">
        <f>F35+ROUND(H35,0)+ROUND(J35,0)</f>
        <v>32887.021834061132</v>
      </c>
      <c r="M35" s="187"/>
      <c r="N35" s="188">
        <f>F35</f>
        <v>24415.021834061135</v>
      </c>
      <c r="O35" s="187"/>
      <c r="P35" s="187"/>
      <c r="Q35" s="187"/>
      <c r="R35" s="187">
        <f t="shared" si="4"/>
        <v>2149.3530131004368</v>
      </c>
      <c r="S35" s="187"/>
      <c r="T35" s="187">
        <f>SUM(N35:R35)</f>
        <v>26564.374847161573</v>
      </c>
      <c r="U35" s="180"/>
      <c r="V35" s="184"/>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row>
    <row r="36" spans="1:59" ht="16" customHeight="1" x14ac:dyDescent="0.35">
      <c r="A36" s="89"/>
      <c r="B36" s="183"/>
      <c r="C36" s="181" t="s">
        <v>227</v>
      </c>
      <c r="D36" s="181">
        <v>21</v>
      </c>
      <c r="E36" s="177"/>
      <c r="F36" s="178">
        <v>24739.115044247788</v>
      </c>
      <c r="G36" s="178"/>
      <c r="H36" s="178">
        <f t="shared" si="0"/>
        <v>2194.0778761061952</v>
      </c>
      <c r="I36" s="178"/>
      <c r="J36" s="178">
        <f t="shared" si="1"/>
        <v>6407.4307964601776</v>
      </c>
      <c r="K36" s="178"/>
      <c r="L36" s="178">
        <f t="shared" si="2"/>
        <v>33340.115044247788</v>
      </c>
      <c r="M36" s="178"/>
      <c r="N36" s="179">
        <f t="shared" si="3"/>
        <v>24739.115044247788</v>
      </c>
      <c r="O36" s="178"/>
      <c r="P36" s="178"/>
      <c r="Q36" s="178"/>
      <c r="R36" s="178">
        <f t="shared" si="4"/>
        <v>2194.0778761061952</v>
      </c>
      <c r="S36" s="178"/>
      <c r="T36" s="178">
        <f t="shared" si="5"/>
        <v>26933.192920353984</v>
      </c>
      <c r="U36" s="180"/>
      <c r="V36" s="184"/>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row>
    <row r="37" spans="1:59" ht="16" customHeight="1" x14ac:dyDescent="0.35">
      <c r="A37" s="89"/>
      <c r="B37" s="183"/>
      <c r="C37" s="181" t="s">
        <v>228</v>
      </c>
      <c r="D37" s="181">
        <v>22</v>
      </c>
      <c r="E37" s="177"/>
      <c r="F37" s="178">
        <v>25815.929203539825</v>
      </c>
      <c r="G37" s="178"/>
      <c r="H37" s="178">
        <f t="shared" si="0"/>
        <v>2342.6782300884961</v>
      </c>
      <c r="I37" s="178"/>
      <c r="J37" s="178">
        <f t="shared" si="1"/>
        <v>6686.3256637168151</v>
      </c>
      <c r="K37" s="178"/>
      <c r="L37" s="178">
        <f t="shared" si="2"/>
        <v>34844.929203539825</v>
      </c>
      <c r="M37" s="178"/>
      <c r="N37" s="179">
        <f t="shared" si="3"/>
        <v>25815.929203539825</v>
      </c>
      <c r="O37" s="178"/>
      <c r="P37" s="178"/>
      <c r="Q37" s="178"/>
      <c r="R37" s="178">
        <f t="shared" si="4"/>
        <v>2342.6782300884961</v>
      </c>
      <c r="S37" s="178"/>
      <c r="T37" s="178">
        <f t="shared" si="5"/>
        <v>28158.60743362832</v>
      </c>
      <c r="U37" s="180"/>
      <c r="V37" s="184"/>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row>
    <row r="38" spans="1:59" ht="16" customHeight="1" x14ac:dyDescent="0.35">
      <c r="A38" s="89"/>
      <c r="B38" s="183"/>
      <c r="C38" s="181" t="s">
        <v>229</v>
      </c>
      <c r="D38" s="181">
        <v>23</v>
      </c>
      <c r="E38" s="177"/>
      <c r="F38" s="178">
        <v>26793.517699115044</v>
      </c>
      <c r="G38" s="178"/>
      <c r="H38" s="178">
        <f t="shared" si="0"/>
        <v>2477.5854424778763</v>
      </c>
      <c r="I38" s="178"/>
      <c r="J38" s="178">
        <f t="shared" si="1"/>
        <v>6939.5210840707969</v>
      </c>
      <c r="K38" s="178"/>
      <c r="L38" s="178">
        <f>F38+ROUND(H38,0)+ROUND(J38,0)</f>
        <v>36211.517699115044</v>
      </c>
      <c r="M38" s="178"/>
      <c r="N38" s="179">
        <f>F38</f>
        <v>26793.517699115044</v>
      </c>
      <c r="O38" s="178"/>
      <c r="P38" s="178"/>
      <c r="Q38" s="178"/>
      <c r="R38" s="178">
        <f t="shared" si="4"/>
        <v>2477.5854424778763</v>
      </c>
      <c r="S38" s="178"/>
      <c r="T38" s="178">
        <f>SUM(N38:R38)</f>
        <v>29271.103141592921</v>
      </c>
      <c r="U38" s="180"/>
      <c r="V38" s="184"/>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row>
    <row r="39" spans="1:59" ht="16" customHeight="1" x14ac:dyDescent="0.35">
      <c r="A39" s="89"/>
      <c r="B39" s="183"/>
      <c r="C39" s="181" t="s">
        <v>207</v>
      </c>
      <c r="D39" s="181">
        <v>24</v>
      </c>
      <c r="E39" s="177"/>
      <c r="F39" s="178">
        <v>27812.522123893807</v>
      </c>
      <c r="G39" s="178"/>
      <c r="H39" s="178">
        <f t="shared" si="0"/>
        <v>2618.2080530973453</v>
      </c>
      <c r="I39" s="178"/>
      <c r="J39" s="178">
        <f t="shared" si="1"/>
        <v>7203.4432300884964</v>
      </c>
      <c r="K39" s="178"/>
      <c r="L39" s="178">
        <f t="shared" si="2"/>
        <v>37633.52212389381</v>
      </c>
      <c r="M39" s="178"/>
      <c r="N39" s="179">
        <f t="shared" si="3"/>
        <v>27812.522123893807</v>
      </c>
      <c r="O39" s="178"/>
      <c r="P39" s="178"/>
      <c r="Q39" s="178"/>
      <c r="R39" s="178">
        <f t="shared" si="4"/>
        <v>2618.2080530973453</v>
      </c>
      <c r="S39" s="178"/>
      <c r="T39" s="178">
        <f t="shared" si="5"/>
        <v>30430.73017699115</v>
      </c>
      <c r="U39" s="180"/>
      <c r="V39" s="184"/>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row>
    <row r="40" spans="1:59" ht="16" customHeight="1" thickBot="1" x14ac:dyDescent="0.4">
      <c r="A40" s="89"/>
      <c r="B40" s="190"/>
      <c r="C40" s="191"/>
      <c r="D40" s="191"/>
      <c r="E40" s="192"/>
      <c r="F40" s="193"/>
      <c r="G40" s="193"/>
      <c r="H40" s="193"/>
      <c r="I40" s="193"/>
      <c r="J40" s="193"/>
      <c r="K40" s="193"/>
      <c r="L40" s="193"/>
      <c r="M40" s="193"/>
      <c r="N40" s="194"/>
      <c r="O40" s="193"/>
      <c r="P40" s="193"/>
      <c r="Q40" s="193"/>
      <c r="R40" s="193"/>
      <c r="S40" s="193"/>
      <c r="T40" s="193"/>
      <c r="U40" s="195"/>
      <c r="V40" s="184"/>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row>
    <row r="41" spans="1:59" ht="16" customHeight="1" x14ac:dyDescent="0.35">
      <c r="A41" s="89"/>
      <c r="B41" s="89"/>
      <c r="C41" s="89"/>
      <c r="D41" s="89"/>
      <c r="E41" s="89"/>
      <c r="F41" s="89"/>
      <c r="G41" s="89"/>
      <c r="H41" s="89"/>
      <c r="I41" s="89"/>
      <c r="J41" s="89"/>
      <c r="K41" s="89"/>
      <c r="L41" s="89"/>
      <c r="M41" s="89"/>
      <c r="N41" s="89"/>
      <c r="O41" s="89"/>
      <c r="P41" s="89"/>
      <c r="Q41" s="89"/>
      <c r="R41" s="89"/>
      <c r="S41" s="89"/>
      <c r="T41" s="89"/>
      <c r="U41" s="89"/>
      <c r="V41" s="267" t="s">
        <v>230</v>
      </c>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row>
    <row r="42" spans="1:59" ht="16" customHeight="1" x14ac:dyDescent="0.35">
      <c r="A42" s="89"/>
      <c r="B42" s="89"/>
      <c r="C42" s="89"/>
      <c r="D42" s="185">
        <v>18</v>
      </c>
      <c r="E42" s="186"/>
      <c r="F42" s="187">
        <f>22132.0742358079*1.02</f>
        <v>22574.715720524058</v>
      </c>
      <c r="G42" s="187"/>
      <c r="H42" s="187">
        <f t="shared" ref="H42" si="6">IF($F42&gt;$W$12,($F42-$W$12)*$Y$12,"ERROR")</f>
        <v>1895.3907694323202</v>
      </c>
      <c r="I42" s="187"/>
      <c r="J42" s="187">
        <f>$F42*($X$15+0.01)</f>
        <v>6072.5985288209722</v>
      </c>
      <c r="K42" s="187"/>
      <c r="L42" s="196">
        <f t="shared" ref="L42" si="7">F42+ROUND(H42,0)+ROUND(J42,0)</f>
        <v>30542.715720524058</v>
      </c>
      <c r="M42" s="89"/>
      <c r="N42" s="89"/>
      <c r="O42" s="89"/>
      <c r="P42" s="89"/>
      <c r="Q42" s="89"/>
      <c r="R42" s="89"/>
      <c r="S42" s="89"/>
      <c r="T42" s="89"/>
      <c r="U42" s="89"/>
      <c r="V42" s="268">
        <f>F42*1.25%</f>
        <v>282.18394650655074</v>
      </c>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row>
    <row r="43" spans="1:59" x14ac:dyDescent="0.35">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row>
    <row r="44" spans="1:59" x14ac:dyDescent="0.35">
      <c r="A44" s="89"/>
      <c r="B44" s="89"/>
      <c r="C44" s="89"/>
      <c r="D44" s="89"/>
      <c r="E44" s="89"/>
      <c r="F44" s="89"/>
      <c r="G44" s="89"/>
      <c r="H44" s="89"/>
      <c r="I44" s="89"/>
      <c r="J44" s="89"/>
      <c r="K44" s="89"/>
      <c r="L44" s="272">
        <f>ROUND((L42*1.03),-1)</f>
        <v>31460</v>
      </c>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row>
    <row r="45" spans="1:59" x14ac:dyDescent="0.35">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row>
    <row r="46" spans="1:59" x14ac:dyDescent="0.35">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row>
    <row r="47" spans="1:59" x14ac:dyDescent="0.35">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row>
    <row r="48" spans="1:59" x14ac:dyDescent="0.3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row>
    <row r="49" spans="1:59" x14ac:dyDescent="0.3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row>
    <row r="50" spans="1:59" x14ac:dyDescent="0.3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row>
    <row r="51" spans="1:59" x14ac:dyDescent="0.35">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row>
    <row r="52" spans="1:59" x14ac:dyDescent="0.35">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row>
    <row r="53" spans="1:59" x14ac:dyDescent="0.35">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row>
    <row r="54" spans="1:59" x14ac:dyDescent="0.3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row>
    <row r="55" spans="1:59" x14ac:dyDescent="0.35">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row>
    <row r="56" spans="1:59" x14ac:dyDescent="0.35">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row>
    <row r="57" spans="1:59" x14ac:dyDescent="0.3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row>
    <row r="58" spans="1:59" x14ac:dyDescent="0.3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row>
    <row r="59" spans="1:59" x14ac:dyDescent="0.3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row>
    <row r="60" spans="1:59" x14ac:dyDescent="0.35">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row>
    <row r="61" spans="1:59" x14ac:dyDescent="0.35">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row>
    <row r="62" spans="1:59" x14ac:dyDescent="0.35">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row>
    <row r="63" spans="1:59" x14ac:dyDescent="0.35">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row>
    <row r="64" spans="1:59" x14ac:dyDescent="0.35">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row>
    <row r="65" spans="1:59" x14ac:dyDescent="0.35">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row>
    <row r="66" spans="1:59" x14ac:dyDescent="0.35">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row>
    <row r="67" spans="1:59" x14ac:dyDescent="0.3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row>
    <row r="68" spans="1:59" x14ac:dyDescent="0.35">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row>
    <row r="69" spans="1:59" x14ac:dyDescent="0.35">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row>
    <row r="70" spans="1:59" x14ac:dyDescent="0.35">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row>
    <row r="71" spans="1:59" x14ac:dyDescent="0.35">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row>
    <row r="72" spans="1:59" x14ac:dyDescent="0.35">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row>
  </sheetData>
  <mergeCells count="3">
    <mergeCell ref="C9:D9"/>
    <mergeCell ref="B15:M15"/>
    <mergeCell ref="N15:U15"/>
  </mergeCells>
  <pageMargins left="0.35433070866141736" right="0.35433070866141736" top="0.98425196850393704" bottom="0.98425196850393704" header="0.51181102362204722" footer="0.51181102362204722"/>
  <pageSetup paperSize="9" scale="72"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246D-D899-41E5-8C24-787944D9E5D2}">
  <dimension ref="A1:BG72"/>
  <sheetViews>
    <sheetView topLeftCell="A12" workbookViewId="0">
      <selection activeCell="L31" sqref="L31"/>
    </sheetView>
  </sheetViews>
  <sheetFormatPr defaultColWidth="8.7265625" defaultRowHeight="15.5" x14ac:dyDescent="0.35"/>
  <cols>
    <col min="1" max="1" width="9.453125" style="463" customWidth="1"/>
    <col min="2" max="2" width="4.81640625" style="463" customWidth="1"/>
    <col min="3" max="3" width="16.7265625" style="463" customWidth="1"/>
    <col min="4" max="4" width="8.26953125" style="463" customWidth="1"/>
    <col min="5" max="5" width="7.26953125" style="463" customWidth="1"/>
    <col min="6" max="6" width="10.453125" style="463" customWidth="1"/>
    <col min="7" max="7" width="3.1796875" style="463" customWidth="1"/>
    <col min="8" max="8" width="8.7265625" style="463"/>
    <col min="9" max="9" width="3.1796875" style="463" customWidth="1"/>
    <col min="10" max="10" width="9.453125" style="463" bestFit="1" customWidth="1"/>
    <col min="11" max="11" width="3.1796875" style="463" customWidth="1"/>
    <col min="12" max="12" width="9.81640625" style="463" bestFit="1" customWidth="1"/>
    <col min="13" max="13" width="3.1796875" style="463" customWidth="1"/>
    <col min="14" max="14" width="10.54296875" style="463" customWidth="1"/>
    <col min="15" max="17" width="3.1796875" style="463" customWidth="1"/>
    <col min="18" max="18" width="8.453125" style="463" customWidth="1"/>
    <col min="19" max="19" width="3.1796875" style="463" customWidth="1"/>
    <col min="20" max="20" width="11.26953125" style="463" customWidth="1"/>
    <col min="21" max="21" width="3.1796875" style="463" customWidth="1"/>
    <col min="22" max="22" width="20.7265625" style="463" customWidth="1"/>
    <col min="23" max="25" width="9.81640625" style="463" customWidth="1"/>
    <col min="26" max="16384" width="8.7265625" style="463"/>
  </cols>
  <sheetData>
    <row r="1" spans="1:59" s="391" customFormat="1" ht="21.5" thickTop="1" x14ac:dyDescent="0.5">
      <c r="A1" s="384"/>
      <c r="B1" s="385" t="s">
        <v>175</v>
      </c>
      <c r="C1" s="386"/>
      <c r="D1" s="386"/>
      <c r="E1" s="386"/>
      <c r="F1" s="386"/>
      <c r="G1" s="387"/>
      <c r="H1" s="386"/>
      <c r="I1" s="386"/>
      <c r="J1" s="386"/>
      <c r="K1" s="386"/>
      <c r="L1" s="386"/>
      <c r="M1" s="386"/>
      <c r="N1" s="386"/>
      <c r="O1" s="386"/>
      <c r="P1" s="386"/>
      <c r="Q1" s="386"/>
      <c r="R1" s="386"/>
      <c r="S1" s="386"/>
      <c r="T1" s="386"/>
      <c r="U1" s="388"/>
      <c r="V1" s="384"/>
      <c r="W1" s="389"/>
      <c r="X1" s="384"/>
      <c r="Y1" s="384"/>
      <c r="Z1" s="384"/>
      <c r="AA1" s="384"/>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row>
    <row r="2" spans="1:59" s="391" customFormat="1" ht="21.5" thickBot="1" x14ac:dyDescent="0.55000000000000004">
      <c r="A2" s="392" t="s">
        <v>176</v>
      </c>
      <c r="B2" s="393" t="s">
        <v>341</v>
      </c>
      <c r="C2" s="394"/>
      <c r="D2" s="394"/>
      <c r="E2" s="394"/>
      <c r="F2" s="394"/>
      <c r="G2" s="395"/>
      <c r="H2" s="394"/>
      <c r="I2" s="394"/>
      <c r="J2" s="394"/>
      <c r="K2" s="394"/>
      <c r="L2" s="394"/>
      <c r="M2" s="394"/>
      <c r="N2" s="394"/>
      <c r="O2" s="394"/>
      <c r="P2" s="394"/>
      <c r="Q2" s="394"/>
      <c r="R2" s="394"/>
      <c r="S2" s="394"/>
      <c r="T2" s="394"/>
      <c r="U2" s="394"/>
      <c r="V2" s="396"/>
      <c r="W2" s="389"/>
      <c r="X2" s="384"/>
      <c r="Y2" s="384"/>
      <c r="Z2" s="384"/>
      <c r="AA2" s="384"/>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row>
    <row r="3" spans="1:59" s="391" customFormat="1" ht="21.75" customHeight="1" x14ac:dyDescent="0.5">
      <c r="A3" s="392" t="s">
        <v>178</v>
      </c>
      <c r="B3" s="397" t="s">
        <v>179</v>
      </c>
      <c r="C3" s="398"/>
      <c r="D3" s="398"/>
      <c r="E3" s="398"/>
      <c r="F3" s="398"/>
      <c r="G3" s="399"/>
      <c r="H3" s="398"/>
      <c r="I3" s="398"/>
      <c r="J3" s="398"/>
      <c r="K3" s="398"/>
      <c r="L3" s="398"/>
      <c r="M3" s="398"/>
      <c r="N3" s="398"/>
      <c r="O3" s="398"/>
      <c r="P3" s="398"/>
      <c r="Q3" s="398"/>
      <c r="R3" s="398"/>
      <c r="S3" s="398"/>
      <c r="T3" s="398"/>
      <c r="U3" s="400"/>
      <c r="V3" s="384"/>
      <c r="W3" s="389"/>
      <c r="X3" s="384"/>
      <c r="Y3" s="384"/>
      <c r="Z3" s="384"/>
      <c r="AA3" s="384"/>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row>
    <row r="4" spans="1:59" s="391" customFormat="1" ht="21.75" customHeight="1" x14ac:dyDescent="0.5">
      <c r="A4" s="392"/>
      <c r="B4" s="401"/>
      <c r="C4" s="402"/>
      <c r="D4" s="402"/>
      <c r="E4" s="402"/>
      <c r="F4" s="402"/>
      <c r="G4" s="403"/>
      <c r="H4" s="402"/>
      <c r="I4" s="402"/>
      <c r="J4" s="402"/>
      <c r="K4" s="402"/>
      <c r="L4" s="402"/>
      <c r="M4" s="402"/>
      <c r="N4" s="402"/>
      <c r="O4" s="402"/>
      <c r="P4" s="402"/>
      <c r="Q4" s="402"/>
      <c r="R4" s="402"/>
      <c r="S4" s="402"/>
      <c r="T4" s="402"/>
      <c r="U4" s="404"/>
      <c r="V4" s="384"/>
      <c r="W4" s="389"/>
      <c r="X4" s="384"/>
      <c r="Y4" s="384"/>
      <c r="Z4" s="384"/>
      <c r="AA4" s="384"/>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row>
    <row r="5" spans="1:59" s="391" customFormat="1" ht="21.75" customHeight="1" x14ac:dyDescent="0.5">
      <c r="A5" s="392"/>
      <c r="B5" s="405" t="s">
        <v>342</v>
      </c>
      <c r="C5" s="402"/>
      <c r="D5" s="402"/>
      <c r="E5" s="402"/>
      <c r="F5" s="402"/>
      <c r="G5" s="403"/>
      <c r="H5" s="402"/>
      <c r="I5" s="402"/>
      <c r="J5" s="402"/>
      <c r="K5" s="402"/>
      <c r="L5" s="402"/>
      <c r="M5" s="402"/>
      <c r="N5" s="402"/>
      <c r="O5" s="402"/>
      <c r="P5" s="402"/>
      <c r="Q5" s="402"/>
      <c r="R5" s="402"/>
      <c r="S5" s="402"/>
      <c r="T5" s="402"/>
      <c r="U5" s="404"/>
      <c r="V5" s="384" t="s">
        <v>181</v>
      </c>
      <c r="W5" s="389"/>
      <c r="X5" s="384"/>
      <c r="Y5" s="384"/>
      <c r="Z5" s="384"/>
      <c r="AA5" s="384"/>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row>
    <row r="6" spans="1:59" s="391" customFormat="1" ht="21.75" customHeight="1" x14ac:dyDescent="0.5">
      <c r="A6" s="392"/>
      <c r="B6" s="405" t="s">
        <v>343</v>
      </c>
      <c r="C6" s="406"/>
      <c r="D6" s="406"/>
      <c r="E6" s="406"/>
      <c r="F6" s="406"/>
      <c r="G6" s="406"/>
      <c r="H6" s="406"/>
      <c r="I6" s="406"/>
      <c r="J6" s="406"/>
      <c r="K6" s="406"/>
      <c r="L6" s="406"/>
      <c r="M6" s="406"/>
      <c r="N6" s="406"/>
      <c r="O6" s="406"/>
      <c r="P6" s="406"/>
      <c r="Q6" s="406"/>
      <c r="R6" s="406"/>
      <c r="S6" s="406"/>
      <c r="T6" s="406"/>
      <c r="U6" s="407"/>
      <c r="V6" s="384"/>
      <c r="W6" s="384"/>
      <c r="X6" s="384"/>
      <c r="Y6" s="384"/>
      <c r="Z6" s="384"/>
      <c r="AA6" s="384"/>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row>
    <row r="7" spans="1:59" s="391" customFormat="1" ht="21.75" customHeight="1" x14ac:dyDescent="0.5">
      <c r="A7" s="392"/>
      <c r="B7" s="405" t="s">
        <v>344</v>
      </c>
      <c r="C7" s="406"/>
      <c r="D7" s="406"/>
      <c r="E7" s="406"/>
      <c r="F7" s="406"/>
      <c r="G7" s="406"/>
      <c r="H7" s="406"/>
      <c r="I7" s="406"/>
      <c r="J7" s="406"/>
      <c r="K7" s="406"/>
      <c r="L7" s="406"/>
      <c r="M7" s="406"/>
      <c r="N7" s="406"/>
      <c r="O7" s="406"/>
      <c r="P7" s="406"/>
      <c r="Q7" s="406"/>
      <c r="R7" s="406"/>
      <c r="S7" s="406"/>
      <c r="T7" s="406"/>
      <c r="U7" s="407"/>
      <c r="V7" s="384"/>
      <c r="W7" s="408"/>
      <c r="X7" s="408"/>
      <c r="Y7" s="408"/>
      <c r="Z7" s="384"/>
      <c r="AA7" s="384"/>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row>
    <row r="8" spans="1:59" s="391" customFormat="1" ht="21.75" customHeight="1" thickBot="1" x14ac:dyDescent="0.55000000000000004">
      <c r="A8" s="392"/>
      <c r="B8" s="409" t="s">
        <v>184</v>
      </c>
      <c r="C8" s="410"/>
      <c r="D8" s="410"/>
      <c r="E8" s="410"/>
      <c r="F8" s="410"/>
      <c r="G8" s="410"/>
      <c r="H8" s="410"/>
      <c r="I8" s="410"/>
      <c r="J8" s="410"/>
      <c r="K8" s="410"/>
      <c r="L8" s="410"/>
      <c r="M8" s="410"/>
      <c r="N8" s="410"/>
      <c r="O8" s="410"/>
      <c r="P8" s="410"/>
      <c r="Q8" s="410"/>
      <c r="R8" s="410"/>
      <c r="S8" s="410"/>
      <c r="T8" s="410"/>
      <c r="U8" s="411"/>
      <c r="V8" s="384"/>
      <c r="W8" s="408"/>
      <c r="X8" s="408"/>
      <c r="Y8" s="408"/>
      <c r="Z8" s="384"/>
      <c r="AA8" s="384"/>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c r="BB8" s="390"/>
      <c r="BC8" s="390"/>
      <c r="BD8" s="390"/>
      <c r="BE8" s="390"/>
      <c r="BF8" s="390"/>
      <c r="BG8" s="390"/>
    </row>
    <row r="9" spans="1:59" s="391" customFormat="1" ht="21.75" customHeight="1" x14ac:dyDescent="0.5">
      <c r="A9" s="392" t="s">
        <v>185</v>
      </c>
      <c r="B9" s="412"/>
      <c r="C9" s="689" t="s">
        <v>186</v>
      </c>
      <c r="D9" s="689"/>
      <c r="E9" s="413"/>
      <c r="F9" s="414" t="s">
        <v>345</v>
      </c>
      <c r="G9" s="413"/>
      <c r="H9" s="413"/>
      <c r="I9" s="413"/>
      <c r="J9" s="413"/>
      <c r="K9" s="413"/>
      <c r="L9" s="413"/>
      <c r="M9" s="413"/>
      <c r="N9" s="413"/>
      <c r="O9" s="415" t="s">
        <v>346</v>
      </c>
      <c r="P9" s="416"/>
      <c r="Q9" s="416"/>
      <c r="R9" s="417"/>
      <c r="S9" s="417"/>
      <c r="T9" s="417"/>
      <c r="U9" s="418"/>
      <c r="V9" s="392" t="s">
        <v>189</v>
      </c>
      <c r="W9" s="419" t="s">
        <v>190</v>
      </c>
      <c r="X9" s="420">
        <v>1</v>
      </c>
      <c r="Y9" s="421">
        <v>2</v>
      </c>
      <c r="Z9" s="384"/>
      <c r="AA9" s="384"/>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90"/>
      <c r="BG9" s="390"/>
    </row>
    <row r="10" spans="1:59" s="429" customFormat="1" x14ac:dyDescent="0.45">
      <c r="A10" s="422"/>
      <c r="B10" s="423"/>
      <c r="C10" s="424">
        <f>$W$10</f>
        <v>0</v>
      </c>
      <c r="D10" s="424">
        <f>W12</f>
        <v>9100</v>
      </c>
      <c r="E10" s="424"/>
      <c r="F10" s="425" t="s">
        <v>191</v>
      </c>
      <c r="G10" s="424"/>
      <c r="H10" s="424"/>
      <c r="I10" s="424"/>
      <c r="J10" s="424"/>
      <c r="K10" s="424"/>
      <c r="L10" s="424"/>
      <c r="M10" s="424"/>
      <c r="N10" s="424"/>
      <c r="O10" s="424"/>
      <c r="P10" s="424"/>
      <c r="Q10" s="424"/>
      <c r="R10" s="424"/>
      <c r="S10" s="424"/>
      <c r="T10" s="424"/>
      <c r="U10" s="426"/>
      <c r="V10" s="427"/>
      <c r="W10" s="423">
        <v>0</v>
      </c>
      <c r="X10" s="424">
        <v>0</v>
      </c>
      <c r="Y10" s="426">
        <v>0</v>
      </c>
      <c r="Z10" s="427"/>
      <c r="AA10" s="427"/>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row>
    <row r="11" spans="1:59" s="429" customFormat="1" x14ac:dyDescent="0.45">
      <c r="A11" s="422"/>
      <c r="B11" s="423"/>
      <c r="C11" s="424">
        <f>W12</f>
        <v>9100</v>
      </c>
      <c r="D11" s="424" t="s">
        <v>192</v>
      </c>
      <c r="E11" s="424"/>
      <c r="F11" s="425" t="s">
        <v>193</v>
      </c>
      <c r="G11" s="424"/>
      <c r="H11" s="430">
        <f>$Y$12*100</f>
        <v>13.8</v>
      </c>
      <c r="I11" s="430" t="s">
        <v>194</v>
      </c>
      <c r="J11" s="424"/>
      <c r="K11" s="424"/>
      <c r="L11" s="430"/>
      <c r="M11" s="431"/>
      <c r="N11" s="424"/>
      <c r="O11" s="424"/>
      <c r="P11" s="424"/>
      <c r="Q11" s="424"/>
      <c r="R11" s="432"/>
      <c r="S11" s="424"/>
      <c r="T11" s="433"/>
      <c r="U11" s="434"/>
      <c r="V11" s="435" t="s">
        <v>195</v>
      </c>
      <c r="W11" s="423">
        <v>6396</v>
      </c>
      <c r="X11" s="436">
        <v>0</v>
      </c>
      <c r="Y11" s="437"/>
      <c r="Z11" s="427"/>
      <c r="AA11" s="427"/>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row>
    <row r="12" spans="1:59" s="429" customFormat="1" ht="16" thickBot="1" x14ac:dyDescent="0.5">
      <c r="A12" s="422"/>
      <c r="B12" s="438"/>
      <c r="C12" s="439"/>
      <c r="D12" s="439"/>
      <c r="E12" s="439"/>
      <c r="F12" s="439"/>
      <c r="G12" s="440"/>
      <c r="H12" s="441"/>
      <c r="I12" s="440"/>
      <c r="J12" s="439"/>
      <c r="K12" s="442"/>
      <c r="L12" s="443"/>
      <c r="M12" s="442"/>
      <c r="N12" s="439"/>
      <c r="O12" s="439"/>
      <c r="P12" s="444"/>
      <c r="Q12" s="439"/>
      <c r="R12" s="445"/>
      <c r="S12" s="439"/>
      <c r="T12" s="439"/>
      <c r="U12" s="446"/>
      <c r="V12" s="435" t="s">
        <v>196</v>
      </c>
      <c r="W12" s="423">
        <v>9100</v>
      </c>
      <c r="X12" s="436">
        <v>0</v>
      </c>
      <c r="Y12" s="437">
        <v>0.13800000000000001</v>
      </c>
      <c r="Z12" s="427"/>
      <c r="AA12" s="427"/>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B12" s="428"/>
      <c r="BC12" s="428"/>
      <c r="BD12" s="428"/>
      <c r="BE12" s="428"/>
      <c r="BF12" s="428"/>
      <c r="BG12" s="428"/>
    </row>
    <row r="13" spans="1:59" s="429" customFormat="1" ht="17" thickBot="1" x14ac:dyDescent="0.5">
      <c r="A13" s="392"/>
      <c r="B13" s="447"/>
      <c r="C13" s="448"/>
      <c r="D13" s="448"/>
      <c r="E13" s="449"/>
      <c r="F13" s="448"/>
      <c r="G13" s="449"/>
      <c r="H13" s="448"/>
      <c r="I13" s="449"/>
      <c r="J13" s="448"/>
      <c r="K13" s="449"/>
      <c r="L13" s="448"/>
      <c r="M13" s="449"/>
      <c r="N13" s="449"/>
      <c r="O13" s="449"/>
      <c r="P13" s="449"/>
      <c r="Q13" s="449"/>
      <c r="R13" s="449"/>
      <c r="S13" s="449"/>
      <c r="T13" s="449"/>
      <c r="U13" s="449"/>
      <c r="V13" s="435" t="s">
        <v>197</v>
      </c>
      <c r="W13" s="423">
        <v>50270</v>
      </c>
      <c r="X13" s="436">
        <v>0</v>
      </c>
      <c r="Y13" s="426"/>
      <c r="Z13" s="427"/>
      <c r="AA13" s="427"/>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c r="BB13" s="428"/>
      <c r="BC13" s="428"/>
      <c r="BD13" s="428"/>
      <c r="BE13" s="428"/>
      <c r="BF13" s="428"/>
      <c r="BG13" s="428"/>
    </row>
    <row r="14" spans="1:59" s="429" customFormat="1" ht="17.5" thickTop="1" thickBot="1" x14ac:dyDescent="0.5">
      <c r="A14" s="450"/>
      <c r="B14" s="451"/>
      <c r="C14" s="451"/>
      <c r="D14" s="451"/>
      <c r="E14" s="451"/>
      <c r="F14" s="452"/>
      <c r="G14" s="451"/>
      <c r="H14" s="451"/>
      <c r="I14" s="451"/>
      <c r="J14" s="451"/>
      <c r="K14" s="451"/>
      <c r="L14" s="451"/>
      <c r="M14" s="451"/>
      <c r="N14" s="451"/>
      <c r="O14" s="451"/>
      <c r="P14" s="451"/>
      <c r="Q14" s="451"/>
      <c r="R14" s="451"/>
      <c r="S14" s="451"/>
      <c r="T14" s="451"/>
      <c r="U14" s="451"/>
      <c r="V14" s="427"/>
      <c r="W14" s="423"/>
      <c r="X14" s="436"/>
      <c r="Y14" s="437"/>
      <c r="Z14" s="427"/>
      <c r="AA14" s="427"/>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c r="BA14" s="428"/>
      <c r="BB14" s="428"/>
      <c r="BC14" s="428"/>
      <c r="BD14" s="428"/>
      <c r="BE14" s="428"/>
      <c r="BF14" s="428"/>
      <c r="BG14" s="428"/>
    </row>
    <row r="15" spans="1:59" s="429" customFormat="1" ht="18.75" customHeight="1" thickTop="1" thickBot="1" x14ac:dyDescent="0.5">
      <c r="A15" s="392" t="s">
        <v>198</v>
      </c>
      <c r="B15" s="690" t="s">
        <v>199</v>
      </c>
      <c r="C15" s="691"/>
      <c r="D15" s="691"/>
      <c r="E15" s="691"/>
      <c r="F15" s="691"/>
      <c r="G15" s="691"/>
      <c r="H15" s="691"/>
      <c r="I15" s="691"/>
      <c r="J15" s="691"/>
      <c r="K15" s="691"/>
      <c r="L15" s="691"/>
      <c r="M15" s="692"/>
      <c r="N15" s="693" t="s">
        <v>200</v>
      </c>
      <c r="O15" s="694"/>
      <c r="P15" s="694"/>
      <c r="Q15" s="694"/>
      <c r="R15" s="694"/>
      <c r="S15" s="694"/>
      <c r="T15" s="694"/>
      <c r="U15" s="694"/>
      <c r="V15" s="453"/>
      <c r="W15" s="454" t="s">
        <v>201</v>
      </c>
      <c r="X15" s="455">
        <v>0.24099999999999999</v>
      </c>
      <c r="Y15" s="446"/>
      <c r="Z15" s="427"/>
      <c r="AA15" s="427"/>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8"/>
      <c r="BF15" s="428"/>
      <c r="BG15" s="428"/>
    </row>
    <row r="16" spans="1:59" x14ac:dyDescent="0.35">
      <c r="A16" s="384"/>
      <c r="B16" s="456"/>
      <c r="C16" s="457" t="s">
        <v>202</v>
      </c>
      <c r="D16" s="457" t="s">
        <v>203</v>
      </c>
      <c r="E16" s="457"/>
      <c r="F16" s="458" t="s">
        <v>204</v>
      </c>
      <c r="G16" s="457"/>
      <c r="H16" s="458" t="s">
        <v>205</v>
      </c>
      <c r="I16" s="457"/>
      <c r="J16" s="458" t="s">
        <v>201</v>
      </c>
      <c r="K16" s="457"/>
      <c r="L16" s="458" t="s">
        <v>206</v>
      </c>
      <c r="M16" s="459"/>
      <c r="N16" s="460" t="s">
        <v>204</v>
      </c>
      <c r="O16" s="457"/>
      <c r="P16" s="457"/>
      <c r="Q16" s="457"/>
      <c r="R16" s="458" t="s">
        <v>205</v>
      </c>
      <c r="S16" s="457"/>
      <c r="T16" s="461" t="s">
        <v>206</v>
      </c>
      <c r="U16" s="462"/>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row>
    <row r="17" spans="1:59" ht="16" thickBot="1" x14ac:dyDescent="0.4">
      <c r="A17" s="384"/>
      <c r="B17" s="464"/>
      <c r="C17" s="465"/>
      <c r="D17" s="465"/>
      <c r="E17" s="465"/>
      <c r="F17" s="465"/>
      <c r="G17" s="465"/>
      <c r="H17" s="465"/>
      <c r="I17" s="465"/>
      <c r="J17" s="465"/>
      <c r="K17" s="465"/>
      <c r="L17" s="465"/>
      <c r="M17" s="465"/>
      <c r="N17" s="466"/>
      <c r="O17" s="465"/>
      <c r="P17" s="465"/>
      <c r="Q17" s="465"/>
      <c r="R17" s="465"/>
      <c r="S17" s="465"/>
      <c r="T17" s="465"/>
      <c r="U17" s="467"/>
      <c r="V17" s="384"/>
      <c r="W17" s="384"/>
      <c r="X17" s="468"/>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row>
    <row r="18" spans="1:59" ht="16" customHeight="1" x14ac:dyDescent="0.35">
      <c r="A18" s="384"/>
      <c r="B18" s="469"/>
      <c r="C18" s="470" t="s">
        <v>207</v>
      </c>
      <c r="D18" s="471"/>
      <c r="E18" s="472"/>
      <c r="F18" s="473"/>
      <c r="G18" s="473"/>
      <c r="H18" s="473"/>
      <c r="I18" s="473"/>
      <c r="J18" s="473"/>
      <c r="K18" s="473"/>
      <c r="L18" s="473"/>
      <c r="M18" s="473"/>
      <c r="N18" s="474"/>
      <c r="O18" s="473"/>
      <c r="P18" s="473"/>
      <c r="Q18" s="473"/>
      <c r="R18" s="473"/>
      <c r="S18" s="473"/>
      <c r="T18" s="473"/>
      <c r="U18" s="475"/>
      <c r="V18" s="384"/>
      <c r="W18" s="384"/>
      <c r="X18" s="468"/>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row>
    <row r="19" spans="1:59" ht="16" customHeight="1" x14ac:dyDescent="0.35">
      <c r="A19" s="384"/>
      <c r="B19" s="469"/>
      <c r="C19" s="476" t="s">
        <v>208</v>
      </c>
      <c r="D19" s="471"/>
      <c r="E19" s="472"/>
      <c r="F19" s="473"/>
      <c r="G19" s="473"/>
      <c r="H19" s="473"/>
      <c r="I19" s="473"/>
      <c r="J19" s="473"/>
      <c r="K19" s="473"/>
      <c r="L19" s="473"/>
      <c r="M19" s="473"/>
      <c r="N19" s="474"/>
      <c r="O19" s="473"/>
      <c r="P19" s="473"/>
      <c r="Q19" s="473"/>
      <c r="R19" s="473"/>
      <c r="S19" s="473"/>
      <c r="T19" s="473"/>
      <c r="U19" s="475"/>
      <c r="V19" s="384"/>
      <c r="W19" s="477" t="s">
        <v>209</v>
      </c>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c r="BB19" s="384"/>
      <c r="BC19" s="384"/>
      <c r="BD19" s="384"/>
      <c r="BE19" s="384"/>
      <c r="BF19" s="384"/>
      <c r="BG19" s="384"/>
    </row>
    <row r="20" spans="1:59" ht="16" customHeight="1" x14ac:dyDescent="0.35">
      <c r="A20" s="384"/>
      <c r="B20" s="478"/>
      <c r="C20" s="476" t="s">
        <v>210</v>
      </c>
      <c r="D20" s="476">
        <v>6</v>
      </c>
      <c r="E20" s="472"/>
      <c r="F20" s="473">
        <f>SUM([15]Sheet2!E22*195/228)</f>
        <v>19446.11842105263</v>
      </c>
      <c r="G20" s="473"/>
      <c r="H20" s="473">
        <f t="shared" ref="H20:H39" si="0">IF($F20&gt;$W$12,($F20-$W$12)*$Y$12,"ERROR")</f>
        <v>1427.764342105263</v>
      </c>
      <c r="I20" s="473"/>
      <c r="J20" s="473">
        <f t="shared" ref="J20:J39" si="1">$F20*$X$15</f>
        <v>4686.5145394736837</v>
      </c>
      <c r="K20" s="473"/>
      <c r="L20" s="473">
        <f t="shared" ref="L20:L39" si="2">F20+ROUND(H20,0)+ROUND(J20,0)</f>
        <v>25561.11842105263</v>
      </c>
      <c r="M20" s="473"/>
      <c r="N20" s="474">
        <f t="shared" ref="N20:N39" si="3">F20</f>
        <v>19446.11842105263</v>
      </c>
      <c r="O20" s="473"/>
      <c r="P20" s="473"/>
      <c r="Q20" s="473"/>
      <c r="R20" s="473">
        <f t="shared" ref="R20:R39" si="4">IF($N20&gt;$W$12,($N20-$W$12)*$Y$12,"ERROR")</f>
        <v>1427.764342105263</v>
      </c>
      <c r="S20" s="473"/>
      <c r="T20" s="473">
        <f t="shared" ref="T20:T39" si="5">SUM(N20:R20)</f>
        <v>20873.882763157893</v>
      </c>
      <c r="U20" s="475"/>
      <c r="V20" s="479"/>
      <c r="W20" s="477" t="s">
        <v>211</v>
      </c>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c r="BB20" s="384"/>
      <c r="BC20" s="384"/>
      <c r="BD20" s="384"/>
      <c r="BE20" s="384"/>
      <c r="BF20" s="384"/>
      <c r="BG20" s="384"/>
    </row>
    <row r="21" spans="1:59" ht="16" customHeight="1" x14ac:dyDescent="0.35">
      <c r="A21" s="384"/>
      <c r="B21" s="478"/>
      <c r="C21" s="476" t="s">
        <v>207</v>
      </c>
      <c r="D21" s="476">
        <v>7</v>
      </c>
      <c r="E21" s="472"/>
      <c r="F21" s="473">
        <f>SUM([15]Sheet2!E23*195/228)</f>
        <v>19762.565789473683</v>
      </c>
      <c r="G21" s="473"/>
      <c r="H21" s="473">
        <f t="shared" si="0"/>
        <v>1471.4340789473683</v>
      </c>
      <c r="I21" s="473"/>
      <c r="J21" s="473">
        <f t="shared" si="1"/>
        <v>4762.7783552631572</v>
      </c>
      <c r="K21" s="473"/>
      <c r="L21" s="473">
        <f t="shared" si="2"/>
        <v>25996.565789473683</v>
      </c>
      <c r="M21" s="473"/>
      <c r="N21" s="474">
        <f t="shared" si="3"/>
        <v>19762.565789473683</v>
      </c>
      <c r="O21" s="473"/>
      <c r="P21" s="473"/>
      <c r="Q21" s="473"/>
      <c r="R21" s="473">
        <f t="shared" si="4"/>
        <v>1471.4340789473683</v>
      </c>
      <c r="S21" s="473"/>
      <c r="T21" s="473">
        <f t="shared" si="5"/>
        <v>21233.999868421051</v>
      </c>
      <c r="U21" s="475"/>
      <c r="V21" s="479"/>
      <c r="W21" s="477"/>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c r="BB21" s="384"/>
      <c r="BC21" s="384"/>
      <c r="BD21" s="384"/>
      <c r="BE21" s="384"/>
      <c r="BF21" s="384"/>
      <c r="BG21" s="384"/>
    </row>
    <row r="22" spans="1:59" ht="16" customHeight="1" x14ac:dyDescent="0.35">
      <c r="A22" s="384"/>
      <c r="B22" s="478"/>
      <c r="C22" s="476" t="s">
        <v>207</v>
      </c>
      <c r="D22" s="476">
        <v>8</v>
      </c>
      <c r="E22" s="472"/>
      <c r="F22" s="473">
        <f>SUM([15]Sheet2!E24*195/228)</f>
        <v>20116.644736842107</v>
      </c>
      <c r="G22" s="473"/>
      <c r="H22" s="473">
        <f t="shared" si="0"/>
        <v>1520.2969736842108</v>
      </c>
      <c r="I22" s="473"/>
      <c r="J22" s="473">
        <f t="shared" si="1"/>
        <v>4848.1113815789477</v>
      </c>
      <c r="K22" s="473"/>
      <c r="L22" s="473">
        <f t="shared" si="2"/>
        <v>26484.644736842107</v>
      </c>
      <c r="M22" s="473"/>
      <c r="N22" s="474">
        <f t="shared" si="3"/>
        <v>20116.644736842107</v>
      </c>
      <c r="O22" s="473"/>
      <c r="P22" s="473"/>
      <c r="Q22" s="473"/>
      <c r="R22" s="473">
        <f t="shared" si="4"/>
        <v>1520.2969736842108</v>
      </c>
      <c r="S22" s="473"/>
      <c r="T22" s="473">
        <f t="shared" si="5"/>
        <v>21636.941710526316</v>
      </c>
      <c r="U22" s="475"/>
      <c r="V22" s="479"/>
      <c r="W22" s="477" t="s">
        <v>212</v>
      </c>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4"/>
    </row>
    <row r="23" spans="1:59" ht="16" customHeight="1" x14ac:dyDescent="0.35">
      <c r="A23" s="384"/>
      <c r="B23" s="478"/>
      <c r="C23" s="480" t="s">
        <v>207</v>
      </c>
      <c r="D23" s="480">
        <v>9</v>
      </c>
      <c r="E23" s="481"/>
      <c r="F23" s="482">
        <f>SUM([15]Sheet2!E25*195/228)</f>
        <v>20434.802631578947</v>
      </c>
      <c r="G23" s="482"/>
      <c r="H23" s="482">
        <f t="shared" si="0"/>
        <v>1564.2027631578947</v>
      </c>
      <c r="I23" s="482"/>
      <c r="J23" s="482">
        <f t="shared" si="1"/>
        <v>4924.787434210526</v>
      </c>
      <c r="K23" s="482"/>
      <c r="L23" s="491">
        <f t="shared" si="2"/>
        <v>26923.802631578947</v>
      </c>
      <c r="M23" s="482"/>
      <c r="N23" s="483">
        <f t="shared" si="3"/>
        <v>20434.802631578947</v>
      </c>
      <c r="O23" s="482"/>
      <c r="P23" s="482"/>
      <c r="Q23" s="482"/>
      <c r="R23" s="482">
        <f t="shared" si="4"/>
        <v>1564.2027631578947</v>
      </c>
      <c r="S23" s="482"/>
      <c r="T23" s="482">
        <f t="shared" si="5"/>
        <v>21999.00539473684</v>
      </c>
      <c r="U23" s="475"/>
      <c r="V23" s="384"/>
      <c r="W23" s="477" t="s">
        <v>213</v>
      </c>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4"/>
      <c r="BC23" s="384"/>
      <c r="BD23" s="384"/>
      <c r="BE23" s="384"/>
      <c r="BF23" s="384"/>
      <c r="BG23" s="384"/>
    </row>
    <row r="24" spans="1:59" ht="16" customHeight="1" x14ac:dyDescent="0.35">
      <c r="A24" s="384"/>
      <c r="B24" s="478"/>
      <c r="C24" s="476" t="s">
        <v>214</v>
      </c>
      <c r="D24" s="476">
        <v>12</v>
      </c>
      <c r="E24" s="472"/>
      <c r="F24" s="473">
        <f>SUM([15]Sheet2!E28*195/228)</f>
        <v>21483.355263157893</v>
      </c>
      <c r="G24" s="473"/>
      <c r="H24" s="473">
        <f t="shared" si="0"/>
        <v>1708.9030263157895</v>
      </c>
      <c r="I24" s="473"/>
      <c r="J24" s="473">
        <f t="shared" si="1"/>
        <v>5177.4886184210518</v>
      </c>
      <c r="K24" s="473"/>
      <c r="L24" s="473">
        <f t="shared" si="2"/>
        <v>28369.355263157893</v>
      </c>
      <c r="M24" s="473"/>
      <c r="N24" s="474">
        <f t="shared" si="3"/>
        <v>21483.355263157893</v>
      </c>
      <c r="O24" s="473"/>
      <c r="P24" s="473"/>
      <c r="Q24" s="473"/>
      <c r="R24" s="473">
        <f t="shared" si="4"/>
        <v>1708.9030263157895</v>
      </c>
      <c r="S24" s="473"/>
      <c r="T24" s="473">
        <f t="shared" si="5"/>
        <v>23192.258289473684</v>
      </c>
      <c r="U24" s="475"/>
      <c r="V24" s="479"/>
      <c r="W24" s="477"/>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4"/>
      <c r="BG24" s="384"/>
    </row>
    <row r="25" spans="1:59" ht="16" customHeight="1" x14ac:dyDescent="0.35">
      <c r="A25" s="384"/>
      <c r="B25" s="478"/>
      <c r="C25" s="476" t="s">
        <v>215</v>
      </c>
      <c r="D25" s="476">
        <v>13</v>
      </c>
      <c r="E25" s="472"/>
      <c r="F25" s="473">
        <f>SUM([15]Sheet2!E29*195/228)</f>
        <v>22203.486842105263</v>
      </c>
      <c r="G25" s="473"/>
      <c r="H25" s="473">
        <f t="shared" si="0"/>
        <v>1808.2811842105266</v>
      </c>
      <c r="I25" s="473"/>
      <c r="J25" s="473">
        <f t="shared" si="1"/>
        <v>5351.0403289473679</v>
      </c>
      <c r="K25" s="473"/>
      <c r="L25" s="473">
        <f t="shared" si="2"/>
        <v>29362.486842105263</v>
      </c>
      <c r="M25" s="473"/>
      <c r="N25" s="474">
        <f t="shared" si="3"/>
        <v>22203.486842105263</v>
      </c>
      <c r="O25" s="473"/>
      <c r="P25" s="473"/>
      <c r="Q25" s="473"/>
      <c r="R25" s="473">
        <f t="shared" si="4"/>
        <v>1808.2811842105266</v>
      </c>
      <c r="S25" s="473"/>
      <c r="T25" s="473">
        <f t="shared" si="5"/>
        <v>24011.768026315789</v>
      </c>
      <c r="U25" s="475"/>
      <c r="V25" s="479"/>
      <c r="W25" s="477" t="s">
        <v>216</v>
      </c>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row>
    <row r="26" spans="1:59" ht="16" customHeight="1" x14ac:dyDescent="0.35">
      <c r="A26" s="384"/>
      <c r="B26" s="478"/>
      <c r="C26" s="476" t="s">
        <v>207</v>
      </c>
      <c r="D26" s="476">
        <v>14</v>
      </c>
      <c r="E26" s="472"/>
      <c r="F26" s="473">
        <f>SUM([15]Sheet2!E30*195/228)</f>
        <v>22992.894736842107</v>
      </c>
      <c r="G26" s="473"/>
      <c r="H26" s="473">
        <f t="shared" si="0"/>
        <v>1917.2194736842109</v>
      </c>
      <c r="I26" s="473"/>
      <c r="J26" s="473">
        <f t="shared" si="1"/>
        <v>5541.2876315789472</v>
      </c>
      <c r="K26" s="473"/>
      <c r="L26" s="473">
        <f t="shared" si="2"/>
        <v>30450.894736842107</v>
      </c>
      <c r="M26" s="484"/>
      <c r="N26" s="473">
        <f t="shared" si="3"/>
        <v>22992.894736842107</v>
      </c>
      <c r="O26" s="473"/>
      <c r="P26" s="473"/>
      <c r="Q26" s="473"/>
      <c r="R26" s="473">
        <f t="shared" si="4"/>
        <v>1917.2194736842109</v>
      </c>
      <c r="S26" s="473"/>
      <c r="T26" s="473">
        <f t="shared" si="5"/>
        <v>24910.114210526317</v>
      </c>
      <c r="U26" s="475"/>
      <c r="V26" s="479"/>
      <c r="W26" s="477" t="s">
        <v>347</v>
      </c>
      <c r="X26" s="384"/>
      <c r="Y26" s="384"/>
      <c r="Z26" s="384"/>
      <c r="AA26" s="384"/>
      <c r="AB26" s="384"/>
      <c r="AC26" s="384"/>
      <c r="AD26" s="384"/>
      <c r="AE26" s="384"/>
      <c r="AF26" s="384"/>
      <c r="AG26" s="384"/>
      <c r="AH26" s="384"/>
      <c r="AI26" s="384"/>
      <c r="AJ26" s="384"/>
      <c r="AK26" s="384"/>
      <c r="AL26" s="384"/>
      <c r="AM26" s="384"/>
      <c r="AN26" s="384"/>
      <c r="AO26" s="384"/>
      <c r="AP26" s="384"/>
      <c r="AQ26" s="384"/>
      <c r="AR26" s="384"/>
      <c r="AS26" s="384"/>
      <c r="AT26" s="384"/>
      <c r="AU26" s="384"/>
      <c r="AV26" s="384"/>
      <c r="AW26" s="384"/>
      <c r="AX26" s="384"/>
      <c r="AY26" s="384"/>
      <c r="AZ26" s="384"/>
      <c r="BA26" s="384"/>
      <c r="BB26" s="384"/>
      <c r="BC26" s="384"/>
      <c r="BD26" s="384"/>
      <c r="BE26" s="384"/>
      <c r="BF26" s="384"/>
      <c r="BG26" s="384"/>
    </row>
    <row r="27" spans="1:59" ht="16" customHeight="1" x14ac:dyDescent="0.35">
      <c r="A27" s="384"/>
      <c r="B27" s="478"/>
      <c r="C27" s="480" t="s">
        <v>207</v>
      </c>
      <c r="D27" s="480">
        <v>15</v>
      </c>
      <c r="E27" s="481"/>
      <c r="F27" s="482">
        <f>SUM([15]Sheet2!E31*195/228)</f>
        <v>23778.88157894737</v>
      </c>
      <c r="G27" s="482"/>
      <c r="H27" s="482">
        <f t="shared" si="0"/>
        <v>2025.6856578947372</v>
      </c>
      <c r="I27" s="482"/>
      <c r="J27" s="482">
        <f t="shared" si="1"/>
        <v>5730.7104605263157</v>
      </c>
      <c r="K27" s="482"/>
      <c r="L27" s="482">
        <f t="shared" si="2"/>
        <v>31535.88157894737</v>
      </c>
      <c r="M27" s="482"/>
      <c r="N27" s="483">
        <f t="shared" si="3"/>
        <v>23778.88157894737</v>
      </c>
      <c r="O27" s="482"/>
      <c r="P27" s="482"/>
      <c r="Q27" s="482"/>
      <c r="R27" s="482">
        <f t="shared" si="4"/>
        <v>2025.6856578947372</v>
      </c>
      <c r="S27" s="482"/>
      <c r="T27" s="482">
        <f t="shared" si="5"/>
        <v>25804.567236842107</v>
      </c>
      <c r="U27" s="475"/>
      <c r="V27" s="479"/>
      <c r="W27" s="477"/>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c r="AW27" s="384"/>
      <c r="AX27" s="384"/>
      <c r="AY27" s="384"/>
      <c r="AZ27" s="384"/>
      <c r="BA27" s="384"/>
      <c r="BB27" s="384"/>
      <c r="BC27" s="384"/>
      <c r="BD27" s="384"/>
      <c r="BE27" s="384"/>
      <c r="BF27" s="384"/>
      <c r="BG27" s="384"/>
    </row>
    <row r="28" spans="1:59" ht="16" customHeight="1" x14ac:dyDescent="0.35">
      <c r="A28" s="384"/>
      <c r="B28" s="478"/>
      <c r="C28" s="476" t="s">
        <v>218</v>
      </c>
      <c r="D28" s="476">
        <v>15</v>
      </c>
      <c r="E28" s="472"/>
      <c r="F28" s="473">
        <f>SUM([15]Sheet2!E31*195/228)</f>
        <v>23778.88157894737</v>
      </c>
      <c r="G28" s="473"/>
      <c r="H28" s="473">
        <f t="shared" si="0"/>
        <v>2025.6856578947372</v>
      </c>
      <c r="I28" s="473"/>
      <c r="J28" s="473">
        <f t="shared" si="1"/>
        <v>5730.7104605263157</v>
      </c>
      <c r="K28" s="473"/>
      <c r="L28" s="473">
        <f t="shared" si="2"/>
        <v>31535.88157894737</v>
      </c>
      <c r="M28" s="473"/>
      <c r="N28" s="474">
        <f t="shared" si="3"/>
        <v>23778.88157894737</v>
      </c>
      <c r="O28" s="473"/>
      <c r="P28" s="473"/>
      <c r="Q28" s="473"/>
      <c r="R28" s="473">
        <f t="shared" si="4"/>
        <v>2025.6856578947372</v>
      </c>
      <c r="S28" s="473"/>
      <c r="T28" s="473">
        <f t="shared" si="5"/>
        <v>25804.567236842107</v>
      </c>
      <c r="U28" s="475"/>
      <c r="V28" s="479"/>
      <c r="W28" s="477" t="s">
        <v>219</v>
      </c>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4"/>
      <c r="BG28" s="384"/>
    </row>
    <row r="29" spans="1:59" ht="16" customHeight="1" x14ac:dyDescent="0.35">
      <c r="A29" s="384"/>
      <c r="B29" s="478"/>
      <c r="C29" s="476" t="s">
        <v>220</v>
      </c>
      <c r="D29" s="476">
        <v>16</v>
      </c>
      <c r="E29" s="472"/>
      <c r="F29" s="473">
        <f>SUM([15]Sheet2!E32*195/228)</f>
        <v>24468.223684210527</v>
      </c>
      <c r="G29" s="473"/>
      <c r="H29" s="473">
        <f t="shared" si="0"/>
        <v>2120.8148684210528</v>
      </c>
      <c r="I29" s="473"/>
      <c r="J29" s="473">
        <f t="shared" si="1"/>
        <v>5896.8419078947363</v>
      </c>
      <c r="K29" s="473"/>
      <c r="L29" s="473">
        <f t="shared" si="2"/>
        <v>32486.223684210527</v>
      </c>
      <c r="M29" s="473"/>
      <c r="N29" s="474">
        <f t="shared" si="3"/>
        <v>24468.223684210527</v>
      </c>
      <c r="O29" s="473"/>
      <c r="P29" s="473"/>
      <c r="Q29" s="473"/>
      <c r="R29" s="473">
        <f t="shared" si="4"/>
        <v>2120.8148684210528</v>
      </c>
      <c r="S29" s="473"/>
      <c r="T29" s="473">
        <f t="shared" si="5"/>
        <v>26589.03855263158</v>
      </c>
      <c r="U29" s="475"/>
      <c r="V29" s="479"/>
      <c r="W29" s="477" t="s">
        <v>221</v>
      </c>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c r="BC29" s="384"/>
      <c r="BD29" s="384"/>
      <c r="BE29" s="384"/>
      <c r="BF29" s="384"/>
      <c r="BG29" s="384"/>
    </row>
    <row r="30" spans="1:59" ht="16" customHeight="1" x14ac:dyDescent="0.35">
      <c r="A30" s="384"/>
      <c r="B30" s="478"/>
      <c r="C30" s="476" t="s">
        <v>222</v>
      </c>
      <c r="D30" s="476">
        <v>17</v>
      </c>
      <c r="E30" s="472"/>
      <c r="F30" s="473">
        <f>SUM([15]Sheet2!E33*195/228)</f>
        <v>25155.855263157893</v>
      </c>
      <c r="G30" s="473"/>
      <c r="H30" s="473">
        <f t="shared" si="0"/>
        <v>2215.7080263157895</v>
      </c>
      <c r="I30" s="473"/>
      <c r="J30" s="473">
        <f t="shared" si="1"/>
        <v>6062.561118421052</v>
      </c>
      <c r="K30" s="473"/>
      <c r="L30" s="473">
        <f t="shared" si="2"/>
        <v>33434.855263157893</v>
      </c>
      <c r="M30" s="473"/>
      <c r="N30" s="474">
        <f t="shared" si="3"/>
        <v>25155.855263157893</v>
      </c>
      <c r="O30" s="473"/>
      <c r="P30" s="473"/>
      <c r="Q30" s="473"/>
      <c r="R30" s="473">
        <f t="shared" si="4"/>
        <v>2215.7080263157895</v>
      </c>
      <c r="S30" s="473"/>
      <c r="T30" s="473">
        <f t="shared" si="5"/>
        <v>27371.563289473685</v>
      </c>
      <c r="U30" s="475"/>
      <c r="V30" s="479"/>
      <c r="W30" s="477" t="s">
        <v>348</v>
      </c>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c r="AW30" s="384"/>
      <c r="AX30" s="384"/>
      <c r="AY30" s="384"/>
      <c r="AZ30" s="384"/>
      <c r="BA30" s="384"/>
      <c r="BB30" s="384"/>
      <c r="BC30" s="384"/>
      <c r="BD30" s="384"/>
      <c r="BE30" s="384"/>
      <c r="BF30" s="384"/>
      <c r="BG30" s="384"/>
    </row>
    <row r="31" spans="1:59" ht="16" customHeight="1" x14ac:dyDescent="0.35">
      <c r="A31" s="384"/>
      <c r="B31" s="478"/>
      <c r="C31" s="480" t="s">
        <v>207</v>
      </c>
      <c r="D31" s="480">
        <v>18</v>
      </c>
      <c r="E31" s="481"/>
      <c r="F31" s="482">
        <f>SUM([15]Sheet2!E34*195/228)</f>
        <v>25911.052631578947</v>
      </c>
      <c r="G31" s="482"/>
      <c r="H31" s="482">
        <f t="shared" si="0"/>
        <v>2319.9252631578947</v>
      </c>
      <c r="I31" s="482"/>
      <c r="J31" s="482">
        <f t="shared" si="1"/>
        <v>6244.5636842105259</v>
      </c>
      <c r="K31" s="482"/>
      <c r="L31" s="492">
        <f t="shared" si="2"/>
        <v>34476.052631578947</v>
      </c>
      <c r="M31" s="482"/>
      <c r="N31" s="483">
        <f t="shared" si="3"/>
        <v>25911.052631578947</v>
      </c>
      <c r="O31" s="482"/>
      <c r="P31" s="482"/>
      <c r="Q31" s="482"/>
      <c r="R31" s="482">
        <f t="shared" si="4"/>
        <v>2319.9252631578947</v>
      </c>
      <c r="S31" s="482"/>
      <c r="T31" s="482">
        <f t="shared" si="5"/>
        <v>28230.97789473684</v>
      </c>
      <c r="U31" s="475"/>
      <c r="V31" s="479"/>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row>
    <row r="32" spans="1:59" ht="16" customHeight="1" x14ac:dyDescent="0.35">
      <c r="A32" s="384"/>
      <c r="B32" s="478"/>
      <c r="C32" s="476" t="s">
        <v>224</v>
      </c>
      <c r="D32" s="476">
        <v>18</v>
      </c>
      <c r="E32" s="472"/>
      <c r="F32" s="473">
        <f>SUM([15]Sheet2!E34*195/228)</f>
        <v>25911.052631578947</v>
      </c>
      <c r="G32" s="473"/>
      <c r="H32" s="473">
        <f t="shared" si="0"/>
        <v>2319.9252631578947</v>
      </c>
      <c r="I32" s="473"/>
      <c r="J32" s="473">
        <f t="shared" si="1"/>
        <v>6244.5636842105259</v>
      </c>
      <c r="K32" s="473"/>
      <c r="L32" s="473">
        <f>F32+ROUND(H32,0)+ROUND(J32,0)</f>
        <v>34476.052631578947</v>
      </c>
      <c r="M32" s="473"/>
      <c r="N32" s="474">
        <f>F32</f>
        <v>25911.052631578947</v>
      </c>
      <c r="O32" s="473"/>
      <c r="P32" s="473"/>
      <c r="Q32" s="473"/>
      <c r="R32" s="473">
        <f t="shared" si="4"/>
        <v>2319.9252631578947</v>
      </c>
      <c r="S32" s="473"/>
      <c r="T32" s="473">
        <f>SUM(N32:R32)</f>
        <v>28230.97789473684</v>
      </c>
      <c r="U32" s="475"/>
      <c r="V32" s="479"/>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row>
    <row r="33" spans="1:59" ht="16" customHeight="1" x14ac:dyDescent="0.35">
      <c r="A33" s="384"/>
      <c r="B33" s="478"/>
      <c r="C33" s="476" t="s">
        <v>225</v>
      </c>
      <c r="D33" s="476">
        <v>19</v>
      </c>
      <c r="E33" s="472"/>
      <c r="F33" s="473">
        <f>SUM([15]Sheet2!E35*195/228)</f>
        <v>26602.105263157893</v>
      </c>
      <c r="G33" s="473"/>
      <c r="H33" s="473">
        <f t="shared" si="0"/>
        <v>2415.2905263157895</v>
      </c>
      <c r="I33" s="473"/>
      <c r="J33" s="473">
        <f t="shared" si="1"/>
        <v>6411.1073684210523</v>
      </c>
      <c r="K33" s="473"/>
      <c r="L33" s="473">
        <f>F33+ROUND(H33,0)+ROUND(J33,0)</f>
        <v>35428.105263157893</v>
      </c>
      <c r="M33" s="473"/>
      <c r="N33" s="474">
        <f>F33</f>
        <v>26602.105263157893</v>
      </c>
      <c r="O33" s="473"/>
      <c r="P33" s="473"/>
      <c r="Q33" s="473"/>
      <c r="R33" s="473">
        <f t="shared" si="4"/>
        <v>2415.2905263157895</v>
      </c>
      <c r="S33" s="473"/>
      <c r="T33" s="473">
        <f>SUM(N33:R33)</f>
        <v>29017.395789473681</v>
      </c>
      <c r="U33" s="475"/>
      <c r="V33" s="479"/>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row>
    <row r="34" spans="1:59" ht="16" customHeight="1" x14ac:dyDescent="0.35">
      <c r="A34" s="384"/>
      <c r="B34" s="478"/>
      <c r="C34" s="476" t="s">
        <v>226</v>
      </c>
      <c r="D34" s="476">
        <v>20</v>
      </c>
      <c r="E34" s="472"/>
      <c r="F34" s="473">
        <f>SUM([15]Sheet2!E36*195/228)</f>
        <v>27423.157894736843</v>
      </c>
      <c r="G34" s="473"/>
      <c r="H34" s="473">
        <f t="shared" si="0"/>
        <v>2528.5957894736848</v>
      </c>
      <c r="I34" s="473"/>
      <c r="J34" s="473">
        <f t="shared" si="1"/>
        <v>6608.9810526315787</v>
      </c>
      <c r="K34" s="473"/>
      <c r="L34" s="473">
        <f>F34+ROUND(H34,0)+ROUND(J34,0)</f>
        <v>36561.15789473684</v>
      </c>
      <c r="M34" s="473"/>
      <c r="N34" s="474">
        <f>F34</f>
        <v>27423.157894736843</v>
      </c>
      <c r="O34" s="473"/>
      <c r="P34" s="473"/>
      <c r="Q34" s="473"/>
      <c r="R34" s="473">
        <f t="shared" si="4"/>
        <v>2528.5957894736848</v>
      </c>
      <c r="S34" s="473"/>
      <c r="T34" s="473">
        <f>SUM(N34:R34)</f>
        <v>29951.753684210529</v>
      </c>
      <c r="U34" s="475"/>
      <c r="V34" s="479"/>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4"/>
      <c r="BC34" s="384"/>
      <c r="BD34" s="384"/>
      <c r="BE34" s="384"/>
      <c r="BF34" s="384"/>
      <c r="BG34" s="384"/>
    </row>
    <row r="35" spans="1:59" ht="16" customHeight="1" x14ac:dyDescent="0.35">
      <c r="A35" s="384"/>
      <c r="B35" s="478"/>
      <c r="C35" s="480" t="s">
        <v>207</v>
      </c>
      <c r="D35" s="480">
        <v>21</v>
      </c>
      <c r="E35" s="481"/>
      <c r="F35" s="482">
        <f>SUM([15]Sheet2!E37*195/228)</f>
        <v>28244.21052631579</v>
      </c>
      <c r="G35" s="482"/>
      <c r="H35" s="482">
        <f t="shared" si="0"/>
        <v>2641.9010526315792</v>
      </c>
      <c r="I35" s="482"/>
      <c r="J35" s="482">
        <f t="shared" si="1"/>
        <v>6806.854736842105</v>
      </c>
      <c r="K35" s="482"/>
      <c r="L35" s="482">
        <f>F35+ROUND(H35,0)+ROUND(J35,0)</f>
        <v>37693.210526315786</v>
      </c>
      <c r="M35" s="482"/>
      <c r="N35" s="483">
        <f>F35</f>
        <v>28244.21052631579</v>
      </c>
      <c r="O35" s="482"/>
      <c r="P35" s="482"/>
      <c r="Q35" s="482"/>
      <c r="R35" s="482">
        <f t="shared" si="4"/>
        <v>2641.9010526315792</v>
      </c>
      <c r="S35" s="482"/>
      <c r="T35" s="482">
        <f>SUM(N35:R35)</f>
        <v>30886.11157894737</v>
      </c>
      <c r="U35" s="475"/>
      <c r="V35" s="479"/>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4"/>
      <c r="BC35" s="384"/>
      <c r="BD35" s="384"/>
      <c r="BE35" s="384"/>
      <c r="BF35" s="384"/>
      <c r="BG35" s="384"/>
    </row>
    <row r="36" spans="1:59" ht="16" customHeight="1" x14ac:dyDescent="0.35">
      <c r="A36" s="384"/>
      <c r="B36" s="478"/>
      <c r="C36" s="476" t="s">
        <v>227</v>
      </c>
      <c r="D36" s="476">
        <v>21</v>
      </c>
      <c r="E36" s="472"/>
      <c r="F36" s="473">
        <f>SUM([15]Sheet2!E37*195/225)</f>
        <v>28620.799999999999</v>
      </c>
      <c r="G36" s="473"/>
      <c r="H36" s="473">
        <f t="shared" si="0"/>
        <v>2693.8704000000002</v>
      </c>
      <c r="I36" s="473"/>
      <c r="J36" s="473">
        <f t="shared" si="1"/>
        <v>6897.6127999999999</v>
      </c>
      <c r="K36" s="473"/>
      <c r="L36" s="473">
        <f t="shared" si="2"/>
        <v>38212.800000000003</v>
      </c>
      <c r="M36" s="473"/>
      <c r="N36" s="474">
        <f t="shared" si="3"/>
        <v>28620.799999999999</v>
      </c>
      <c r="O36" s="473"/>
      <c r="P36" s="473"/>
      <c r="Q36" s="473"/>
      <c r="R36" s="473">
        <f t="shared" si="4"/>
        <v>2693.8704000000002</v>
      </c>
      <c r="S36" s="473"/>
      <c r="T36" s="473">
        <f t="shared" si="5"/>
        <v>31314.670399999999</v>
      </c>
      <c r="U36" s="475"/>
      <c r="V36" s="479"/>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4"/>
      <c r="BG36" s="384"/>
    </row>
    <row r="37" spans="1:59" ht="16" customHeight="1" x14ac:dyDescent="0.35">
      <c r="A37" s="384"/>
      <c r="B37" s="478"/>
      <c r="C37" s="476" t="s">
        <v>228</v>
      </c>
      <c r="D37" s="476">
        <v>22</v>
      </c>
      <c r="E37" s="472"/>
      <c r="F37" s="473">
        <f>SUM([15]Sheet2!E38*195/225)</f>
        <v>29721.466666666667</v>
      </c>
      <c r="G37" s="473"/>
      <c r="H37" s="473">
        <f t="shared" si="0"/>
        <v>2845.7624000000005</v>
      </c>
      <c r="I37" s="473"/>
      <c r="J37" s="473">
        <f t="shared" si="1"/>
        <v>7162.8734666666669</v>
      </c>
      <c r="K37" s="473"/>
      <c r="L37" s="473">
        <f t="shared" si="2"/>
        <v>39730.466666666667</v>
      </c>
      <c r="M37" s="473"/>
      <c r="N37" s="474">
        <f t="shared" si="3"/>
        <v>29721.466666666667</v>
      </c>
      <c r="O37" s="473"/>
      <c r="P37" s="473"/>
      <c r="Q37" s="473"/>
      <c r="R37" s="473">
        <f t="shared" si="4"/>
        <v>2845.7624000000005</v>
      </c>
      <c r="S37" s="473"/>
      <c r="T37" s="473">
        <f t="shared" si="5"/>
        <v>32567.229066666667</v>
      </c>
      <c r="U37" s="475"/>
      <c r="V37" s="479"/>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4"/>
      <c r="BC37" s="384"/>
      <c r="BD37" s="384"/>
      <c r="BE37" s="384"/>
      <c r="BF37" s="384"/>
      <c r="BG37" s="384"/>
    </row>
    <row r="38" spans="1:59" ht="16" customHeight="1" x14ac:dyDescent="0.35">
      <c r="A38" s="384"/>
      <c r="B38" s="478"/>
      <c r="C38" s="476" t="s">
        <v>229</v>
      </c>
      <c r="D38" s="476">
        <v>23</v>
      </c>
      <c r="E38" s="472"/>
      <c r="F38" s="473">
        <f>SUM([15]Sheet2!E39*195/225)</f>
        <v>30719.866666666665</v>
      </c>
      <c r="G38" s="473"/>
      <c r="H38" s="473">
        <f t="shared" si="0"/>
        <v>2983.5416</v>
      </c>
      <c r="I38" s="473"/>
      <c r="J38" s="473">
        <f t="shared" si="1"/>
        <v>7403.4878666666664</v>
      </c>
      <c r="K38" s="473"/>
      <c r="L38" s="473">
        <f>F38+ROUND(H38,0)+ROUND(J38,0)</f>
        <v>41106.866666666669</v>
      </c>
      <c r="M38" s="473"/>
      <c r="N38" s="474">
        <f>F38</f>
        <v>30719.866666666665</v>
      </c>
      <c r="O38" s="473"/>
      <c r="P38" s="473"/>
      <c r="Q38" s="473"/>
      <c r="R38" s="473">
        <f t="shared" si="4"/>
        <v>2983.5416</v>
      </c>
      <c r="S38" s="473"/>
      <c r="T38" s="473">
        <f>SUM(N38:R38)</f>
        <v>33703.408266666665</v>
      </c>
      <c r="U38" s="475"/>
      <c r="V38" s="479"/>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4"/>
      <c r="BC38" s="384"/>
      <c r="BD38" s="384"/>
      <c r="BE38" s="384"/>
      <c r="BF38" s="384"/>
      <c r="BG38" s="384"/>
    </row>
    <row r="39" spans="1:59" ht="16" customHeight="1" x14ac:dyDescent="0.35">
      <c r="A39" s="384"/>
      <c r="B39" s="478"/>
      <c r="C39" s="476" t="s">
        <v>207</v>
      </c>
      <c r="D39" s="476">
        <v>24</v>
      </c>
      <c r="E39" s="472"/>
      <c r="F39" s="473">
        <f>SUM([15]Sheet2!E40*195/225)</f>
        <v>31761.599999999999</v>
      </c>
      <c r="G39" s="473"/>
      <c r="H39" s="473">
        <f t="shared" si="0"/>
        <v>3127.3008</v>
      </c>
      <c r="I39" s="473"/>
      <c r="J39" s="473">
        <f t="shared" si="1"/>
        <v>7654.5455999999995</v>
      </c>
      <c r="K39" s="473"/>
      <c r="L39" s="473">
        <f t="shared" si="2"/>
        <v>42543.6</v>
      </c>
      <c r="M39" s="473"/>
      <c r="N39" s="474">
        <f t="shared" si="3"/>
        <v>31761.599999999999</v>
      </c>
      <c r="O39" s="473"/>
      <c r="P39" s="473"/>
      <c r="Q39" s="473"/>
      <c r="R39" s="473">
        <f t="shared" si="4"/>
        <v>3127.3008</v>
      </c>
      <c r="S39" s="473"/>
      <c r="T39" s="473">
        <f t="shared" si="5"/>
        <v>34888.900799999996</v>
      </c>
      <c r="U39" s="475"/>
      <c r="V39" s="479"/>
      <c r="W39" s="384"/>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c r="AT39" s="384"/>
      <c r="AU39" s="384"/>
      <c r="AV39" s="384"/>
      <c r="AW39" s="384"/>
      <c r="AX39" s="384"/>
      <c r="AY39" s="384"/>
      <c r="AZ39" s="384"/>
      <c r="BA39" s="384"/>
      <c r="BB39" s="384"/>
      <c r="BC39" s="384"/>
      <c r="BD39" s="384"/>
      <c r="BE39" s="384"/>
      <c r="BF39" s="384"/>
      <c r="BG39" s="384"/>
    </row>
    <row r="40" spans="1:59" ht="16" thickBot="1" x14ac:dyDescent="0.4">
      <c r="A40" s="384"/>
      <c r="B40" s="485"/>
      <c r="C40" s="486"/>
      <c r="D40" s="486"/>
      <c r="E40" s="487"/>
      <c r="F40" s="488"/>
      <c r="G40" s="488"/>
      <c r="H40" s="488"/>
      <c r="I40" s="488"/>
      <c r="J40" s="488"/>
      <c r="K40" s="488"/>
      <c r="L40" s="488"/>
      <c r="M40" s="488"/>
      <c r="N40" s="489"/>
      <c r="O40" s="488"/>
      <c r="P40" s="488"/>
      <c r="Q40" s="488"/>
      <c r="R40" s="488"/>
      <c r="S40" s="488"/>
      <c r="T40" s="488"/>
      <c r="U40" s="490"/>
      <c r="V40" s="479"/>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4"/>
      <c r="BF40" s="384"/>
      <c r="BG40" s="384"/>
    </row>
    <row r="41" spans="1:59" ht="16" customHeight="1" x14ac:dyDescent="0.35">
      <c r="A41" s="384"/>
      <c r="B41" s="384"/>
      <c r="C41" s="384"/>
      <c r="D41" s="384"/>
      <c r="E41" s="384"/>
      <c r="F41" s="384"/>
      <c r="G41" s="384"/>
      <c r="H41" s="384"/>
      <c r="I41" s="384"/>
      <c r="J41" s="384"/>
      <c r="K41" s="384"/>
      <c r="L41" s="384"/>
      <c r="M41" s="384"/>
      <c r="N41" s="384"/>
      <c r="O41" s="384"/>
      <c r="P41" s="384"/>
      <c r="Q41" s="384"/>
      <c r="R41" s="384"/>
      <c r="S41" s="384"/>
      <c r="T41" s="384"/>
      <c r="U41" s="384"/>
      <c r="V41" s="479"/>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4"/>
      <c r="BC41" s="384"/>
      <c r="BD41" s="384"/>
      <c r="BE41" s="384"/>
      <c r="BF41" s="384"/>
      <c r="BG41" s="384"/>
    </row>
    <row r="42" spans="1:59" ht="16" customHeight="1" x14ac:dyDescent="0.35">
      <c r="A42" s="384"/>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4"/>
      <c r="BG42" s="384"/>
    </row>
    <row r="43" spans="1:59" x14ac:dyDescent="0.35">
      <c r="A43" s="384"/>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4"/>
      <c r="BC43" s="384"/>
      <c r="BD43" s="384"/>
      <c r="BE43" s="384"/>
      <c r="BF43" s="384"/>
      <c r="BG43" s="384"/>
    </row>
    <row r="44" spans="1:59" x14ac:dyDescent="0.35">
      <c r="A44" s="384"/>
      <c r="B44" s="384"/>
      <c r="C44" s="384"/>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4"/>
      <c r="BC44" s="384"/>
      <c r="BD44" s="384"/>
      <c r="BE44" s="384"/>
      <c r="BF44" s="384"/>
      <c r="BG44" s="384"/>
    </row>
    <row r="45" spans="1:59" x14ac:dyDescent="0.35">
      <c r="A45" s="384"/>
      <c r="B45" s="384"/>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4"/>
      <c r="BD45" s="384"/>
      <c r="BE45" s="384"/>
      <c r="BF45" s="384"/>
      <c r="BG45" s="384"/>
    </row>
    <row r="46" spans="1:59" x14ac:dyDescent="0.35">
      <c r="A46" s="384"/>
      <c r="B46" s="384"/>
      <c r="C46" s="384"/>
      <c r="D46" s="384"/>
      <c r="E46" s="384"/>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4"/>
      <c r="AM46" s="384"/>
      <c r="AN46" s="384"/>
      <c r="AO46" s="384"/>
      <c r="AP46" s="384"/>
      <c r="AQ46" s="384"/>
      <c r="AR46" s="384"/>
      <c r="AS46" s="384"/>
      <c r="AT46" s="384"/>
      <c r="AU46" s="384"/>
      <c r="AV46" s="384"/>
      <c r="AW46" s="384"/>
      <c r="AX46" s="384"/>
      <c r="AY46" s="384"/>
      <c r="AZ46" s="384"/>
      <c r="BA46" s="384"/>
      <c r="BB46" s="384"/>
      <c r="BC46" s="384"/>
      <c r="BD46" s="384"/>
      <c r="BE46" s="384"/>
      <c r="BF46" s="384"/>
      <c r="BG46" s="384"/>
    </row>
    <row r="47" spans="1:59" x14ac:dyDescent="0.35">
      <c r="A47" s="384"/>
      <c r="B47" s="384"/>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4"/>
      <c r="BC47" s="384"/>
      <c r="BD47" s="384"/>
      <c r="BE47" s="384"/>
      <c r="BF47" s="384"/>
      <c r="BG47" s="384"/>
    </row>
    <row r="48" spans="1:59" x14ac:dyDescent="0.35">
      <c r="A48" s="384"/>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4"/>
      <c r="BC48" s="384"/>
      <c r="BD48" s="384"/>
      <c r="BE48" s="384"/>
      <c r="BF48" s="384"/>
      <c r="BG48" s="384"/>
    </row>
    <row r="49" spans="1:59" x14ac:dyDescent="0.35">
      <c r="A49" s="384"/>
      <c r="B49" s="384"/>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4"/>
      <c r="AT49" s="384"/>
      <c r="AU49" s="384"/>
      <c r="AV49" s="384"/>
      <c r="AW49" s="384"/>
      <c r="AX49" s="384"/>
      <c r="AY49" s="384"/>
      <c r="AZ49" s="384"/>
      <c r="BA49" s="384"/>
      <c r="BB49" s="384"/>
      <c r="BC49" s="384"/>
      <c r="BD49" s="384"/>
      <c r="BE49" s="384"/>
      <c r="BF49" s="384"/>
      <c r="BG49" s="384"/>
    </row>
    <row r="50" spans="1:59" x14ac:dyDescent="0.35">
      <c r="A50" s="384"/>
      <c r="B50" s="384"/>
      <c r="C50" s="384"/>
      <c r="D50" s="384"/>
      <c r="E50" s="384"/>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4"/>
      <c r="BC50" s="384"/>
      <c r="BD50" s="384"/>
      <c r="BE50" s="384"/>
      <c r="BF50" s="384"/>
      <c r="BG50" s="384"/>
    </row>
    <row r="51" spans="1:59" x14ac:dyDescent="0.35">
      <c r="A51" s="384"/>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4"/>
      <c r="BD51" s="384"/>
      <c r="BE51" s="384"/>
      <c r="BF51" s="384"/>
      <c r="BG51" s="384"/>
    </row>
    <row r="52" spans="1:59" x14ac:dyDescent="0.35">
      <c r="A52" s="384"/>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row>
    <row r="53" spans="1:59" x14ac:dyDescent="0.35">
      <c r="A53" s="384"/>
      <c r="B53" s="384"/>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4"/>
      <c r="BD53" s="384"/>
      <c r="BE53" s="384"/>
      <c r="BF53" s="384"/>
      <c r="BG53" s="384"/>
    </row>
    <row r="54" spans="1:59" x14ac:dyDescent="0.35">
      <c r="A54" s="384"/>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4"/>
      <c r="BD54" s="384"/>
      <c r="BE54" s="384"/>
      <c r="BF54" s="384"/>
      <c r="BG54" s="384"/>
    </row>
    <row r="55" spans="1:59" x14ac:dyDescent="0.35">
      <c r="A55" s="384"/>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4"/>
      <c r="BD55" s="384"/>
      <c r="BE55" s="384"/>
      <c r="BF55" s="384"/>
      <c r="BG55" s="384"/>
    </row>
    <row r="56" spans="1:59" x14ac:dyDescent="0.35">
      <c r="A56" s="384"/>
      <c r="B56" s="384"/>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4"/>
      <c r="BC56" s="384"/>
      <c r="BD56" s="384"/>
      <c r="BE56" s="384"/>
      <c r="BF56" s="384"/>
      <c r="BG56" s="384"/>
    </row>
    <row r="57" spans="1:59" x14ac:dyDescent="0.35">
      <c r="A57" s="384"/>
      <c r="B57" s="384"/>
      <c r="C57" s="384"/>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4"/>
      <c r="BC57" s="384"/>
      <c r="BD57" s="384"/>
      <c r="BE57" s="384"/>
      <c r="BF57" s="384"/>
      <c r="BG57" s="384"/>
    </row>
    <row r="58" spans="1:59" x14ac:dyDescent="0.35">
      <c r="A58" s="384"/>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4"/>
      <c r="BD58" s="384"/>
      <c r="BE58" s="384"/>
      <c r="BF58" s="384"/>
      <c r="BG58" s="384"/>
    </row>
    <row r="59" spans="1:59" x14ac:dyDescent="0.35">
      <c r="A59" s="384"/>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4"/>
      <c r="AY59" s="384"/>
      <c r="AZ59" s="384"/>
      <c r="BA59" s="384"/>
      <c r="BB59" s="384"/>
      <c r="BC59" s="384"/>
      <c r="BD59" s="384"/>
      <c r="BE59" s="384"/>
      <c r="BF59" s="384"/>
      <c r="BG59" s="384"/>
    </row>
    <row r="60" spans="1:59" x14ac:dyDescent="0.35">
      <c r="A60" s="384"/>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4"/>
      <c r="AZ60" s="384"/>
      <c r="BA60" s="384"/>
      <c r="BB60" s="384"/>
      <c r="BC60" s="384"/>
      <c r="BD60" s="384"/>
      <c r="BE60" s="384"/>
      <c r="BF60" s="384"/>
      <c r="BG60" s="384"/>
    </row>
    <row r="61" spans="1:59" x14ac:dyDescent="0.35">
      <c r="A61" s="384"/>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4"/>
      <c r="AY61" s="384"/>
      <c r="AZ61" s="384"/>
      <c r="BA61" s="384"/>
      <c r="BB61" s="384"/>
      <c r="BC61" s="384"/>
      <c r="BD61" s="384"/>
      <c r="BE61" s="384"/>
      <c r="BF61" s="384"/>
      <c r="BG61" s="384"/>
    </row>
    <row r="62" spans="1:59" x14ac:dyDescent="0.35">
      <c r="A62" s="384"/>
      <c r="B62" s="384"/>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c r="AY62" s="384"/>
      <c r="AZ62" s="384"/>
      <c r="BA62" s="384"/>
      <c r="BB62" s="384"/>
      <c r="BC62" s="384"/>
      <c r="BD62" s="384"/>
      <c r="BE62" s="384"/>
      <c r="BF62" s="384"/>
      <c r="BG62" s="384"/>
    </row>
    <row r="63" spans="1:59" x14ac:dyDescent="0.35">
      <c r="A63" s="384"/>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384"/>
      <c r="BD63" s="384"/>
      <c r="BE63" s="384"/>
      <c r="BF63" s="384"/>
      <c r="BG63" s="384"/>
    </row>
    <row r="64" spans="1:59" x14ac:dyDescent="0.35">
      <c r="A64" s="384"/>
      <c r="B64" s="384"/>
      <c r="C64" s="384"/>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384"/>
      <c r="BD64" s="384"/>
      <c r="BE64" s="384"/>
      <c r="BF64" s="384"/>
      <c r="BG64" s="384"/>
    </row>
    <row r="65" spans="1:59" x14ac:dyDescent="0.35">
      <c r="A65" s="384"/>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4"/>
      <c r="AZ65" s="384"/>
      <c r="BA65" s="384"/>
      <c r="BB65" s="384"/>
      <c r="BC65" s="384"/>
      <c r="BD65" s="384"/>
      <c r="BE65" s="384"/>
      <c r="BF65" s="384"/>
      <c r="BG65" s="384"/>
    </row>
    <row r="66" spans="1:59" x14ac:dyDescent="0.35">
      <c r="A66" s="384"/>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4"/>
      <c r="BD66" s="384"/>
      <c r="BE66" s="384"/>
      <c r="BF66" s="384"/>
      <c r="BG66" s="384"/>
    </row>
    <row r="67" spans="1:59" x14ac:dyDescent="0.35">
      <c r="A67" s="384"/>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4"/>
      <c r="AZ67" s="384"/>
      <c r="BA67" s="384"/>
      <c r="BB67" s="384"/>
      <c r="BC67" s="384"/>
      <c r="BD67" s="384"/>
      <c r="BE67" s="384"/>
      <c r="BF67" s="384"/>
      <c r="BG67" s="384"/>
    </row>
    <row r="68" spans="1:59" x14ac:dyDescent="0.35">
      <c r="A68" s="384"/>
      <c r="B68" s="384"/>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4"/>
      <c r="BD68" s="384"/>
      <c r="BE68" s="384"/>
      <c r="BF68" s="384"/>
      <c r="BG68" s="384"/>
    </row>
    <row r="69" spans="1:59" x14ac:dyDescent="0.35">
      <c r="A69" s="384"/>
      <c r="B69" s="384"/>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384"/>
      <c r="BC69" s="384"/>
      <c r="BD69" s="384"/>
      <c r="BE69" s="384"/>
      <c r="BF69" s="384"/>
      <c r="BG69" s="384"/>
    </row>
    <row r="70" spans="1:59" x14ac:dyDescent="0.35">
      <c r="A70" s="384"/>
      <c r="B70" s="384"/>
      <c r="C70" s="384"/>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4"/>
      <c r="BD70" s="384"/>
      <c r="BE70" s="384"/>
      <c r="BF70" s="384"/>
      <c r="BG70" s="384"/>
    </row>
    <row r="71" spans="1:59" x14ac:dyDescent="0.35">
      <c r="A71" s="384"/>
      <c r="B71" s="384"/>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4"/>
      <c r="AY71" s="384"/>
      <c r="AZ71" s="384"/>
      <c r="BA71" s="384"/>
      <c r="BB71" s="384"/>
      <c r="BC71" s="384"/>
      <c r="BD71" s="384"/>
      <c r="BE71" s="384"/>
      <c r="BF71" s="384"/>
      <c r="BG71" s="384"/>
    </row>
    <row r="72" spans="1:59" x14ac:dyDescent="0.35">
      <c r="A72" s="384"/>
      <c r="B72" s="384"/>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row>
  </sheetData>
  <mergeCells count="3">
    <mergeCell ref="C9:D9"/>
    <mergeCell ref="B15:M15"/>
    <mergeCell ref="N15:U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29"/>
  <sheetViews>
    <sheetView zoomScaleNormal="100" workbookViewId="0">
      <selection activeCell="K26" sqref="K26"/>
    </sheetView>
  </sheetViews>
  <sheetFormatPr defaultColWidth="9.1796875" defaultRowHeight="12.5" x14ac:dyDescent="0.25"/>
  <cols>
    <col min="1" max="1" width="11.26953125" style="197" customWidth="1"/>
    <col min="2" max="2" width="20.7265625" style="198" customWidth="1"/>
    <col min="3" max="3" width="61.7265625" style="197" customWidth="1"/>
    <col min="4" max="4" width="9.1796875" style="197"/>
    <col min="5" max="7" width="15.7265625" style="198" customWidth="1"/>
    <col min="8" max="8" width="11.54296875" style="198" customWidth="1"/>
    <col min="9" max="16384" width="9.1796875" style="197"/>
  </cols>
  <sheetData>
    <row r="1" spans="1:19" ht="12.75" customHeight="1" x14ac:dyDescent="0.25"/>
    <row r="2" spans="1:19" x14ac:dyDescent="0.25">
      <c r="A2" s="199" t="s">
        <v>231</v>
      </c>
      <c r="G2" s="197"/>
      <c r="H2" s="197"/>
    </row>
    <row r="3" spans="1:19" ht="39" x14ac:dyDescent="0.3">
      <c r="B3" s="200" t="s">
        <v>115</v>
      </c>
      <c r="C3" s="200" t="s">
        <v>232</v>
      </c>
      <c r="E3" s="201" t="s">
        <v>233</v>
      </c>
      <c r="F3" s="201" t="s">
        <v>234</v>
      </c>
      <c r="G3" s="201" t="s">
        <v>235</v>
      </c>
      <c r="H3" s="202" t="s">
        <v>236</v>
      </c>
      <c r="K3" s="203" t="s">
        <v>237</v>
      </c>
      <c r="L3" s="203" t="s">
        <v>238</v>
      </c>
      <c r="M3" s="204" t="s">
        <v>239</v>
      </c>
      <c r="N3" s="198" t="s">
        <v>240</v>
      </c>
      <c r="O3" s="205" t="s">
        <v>241</v>
      </c>
      <c r="P3" s="205"/>
      <c r="Q3" s="205" t="s">
        <v>242</v>
      </c>
      <c r="R3" s="205" t="s">
        <v>243</v>
      </c>
    </row>
    <row r="4" spans="1:19" x14ac:dyDescent="0.25">
      <c r="K4" s="206"/>
      <c r="L4" s="206"/>
      <c r="M4" s="206"/>
      <c r="N4" s="207"/>
      <c r="O4" s="207"/>
    </row>
    <row r="5" spans="1:19" x14ac:dyDescent="0.25">
      <c r="A5" s="197" t="s">
        <v>108</v>
      </c>
      <c r="B5" s="198" t="s">
        <v>126</v>
      </c>
      <c r="C5" s="197" t="s">
        <v>127</v>
      </c>
      <c r="E5" s="207">
        <v>5389.75</v>
      </c>
      <c r="F5" s="207">
        <v>8314.3681768558963</v>
      </c>
      <c r="G5" s="207">
        <v>300.11777569980694</v>
      </c>
      <c r="H5" s="208">
        <v>14004.235952555704</v>
      </c>
      <c r="J5" s="209"/>
      <c r="K5" s="206">
        <v>6120.2340168749997</v>
      </c>
      <c r="L5" s="206">
        <v>8578.5707014192139</v>
      </c>
      <c r="M5" s="206">
        <f>G5</f>
        <v>300.11777569980694</v>
      </c>
      <c r="N5" s="207">
        <f>SUM(K5:M5)</f>
        <v>14998.922493994021</v>
      </c>
      <c r="O5" s="207">
        <f>N5-H5</f>
        <v>994.68654143831736</v>
      </c>
      <c r="P5" s="210"/>
      <c r="Q5" s="211">
        <f>K5-E5</f>
        <v>730.48401687499972</v>
      </c>
      <c r="R5" s="207"/>
      <c r="S5" s="209"/>
    </row>
    <row r="6" spans="1:19" x14ac:dyDescent="0.25">
      <c r="E6" s="207"/>
      <c r="H6" s="207"/>
      <c r="J6" s="209"/>
      <c r="K6" s="206"/>
      <c r="L6" s="204"/>
      <c r="M6" s="206"/>
      <c r="N6" s="207"/>
      <c r="O6" s="207"/>
      <c r="P6" s="210"/>
      <c r="Q6" s="211"/>
      <c r="R6" s="207"/>
      <c r="S6" s="209"/>
    </row>
    <row r="7" spans="1:19" x14ac:dyDescent="0.25">
      <c r="E7" s="207"/>
      <c r="F7" s="207"/>
      <c r="G7" s="207"/>
      <c r="H7" s="207"/>
      <c r="J7" s="209"/>
      <c r="K7" s="206"/>
      <c r="L7" s="206"/>
      <c r="M7" s="206"/>
      <c r="N7" s="207"/>
      <c r="O7" s="207"/>
      <c r="P7" s="210"/>
      <c r="Q7" s="211"/>
      <c r="R7" s="207"/>
      <c r="S7" s="209"/>
    </row>
    <row r="8" spans="1:19" x14ac:dyDescent="0.25">
      <c r="A8" s="197" t="s">
        <v>106</v>
      </c>
      <c r="B8" s="198" t="s">
        <v>121</v>
      </c>
      <c r="C8" s="197" t="s">
        <v>244</v>
      </c>
      <c r="E8" s="207">
        <v>4311.8</v>
      </c>
      <c r="F8" s="207">
        <v>2217.1648471615722</v>
      </c>
      <c r="G8" s="207">
        <v>300.11777569980694</v>
      </c>
      <c r="H8" s="208">
        <v>6829.0826228613796</v>
      </c>
      <c r="J8" s="209"/>
      <c r="K8" s="206">
        <v>4896.1872134999994</v>
      </c>
      <c r="L8" s="206">
        <v>2287.6188537117905</v>
      </c>
      <c r="M8" s="206">
        <f>G8</f>
        <v>300.11777569980694</v>
      </c>
      <c r="N8" s="207">
        <f>SUM(K8:M8)</f>
        <v>7483.9238429115967</v>
      </c>
      <c r="O8" s="207">
        <f>N8-H8</f>
        <v>654.84122005021709</v>
      </c>
      <c r="P8" s="210"/>
      <c r="Q8" s="211">
        <f t="shared" ref="Q8:Q22" si="0">K8-E8</f>
        <v>584.38721349999923</v>
      </c>
      <c r="R8" s="207"/>
      <c r="S8" s="209"/>
    </row>
    <row r="9" spans="1:19" x14ac:dyDescent="0.25">
      <c r="E9" s="207"/>
      <c r="F9" s="207"/>
      <c r="G9" s="207"/>
      <c r="H9" s="207"/>
      <c r="J9" s="209"/>
      <c r="K9" s="206"/>
      <c r="L9" s="206"/>
      <c r="M9" s="206"/>
      <c r="N9" s="207"/>
      <c r="O9" s="207"/>
      <c r="P9" s="210"/>
      <c r="Q9" s="211"/>
      <c r="R9" s="207"/>
      <c r="S9" s="209"/>
    </row>
    <row r="10" spans="1:19" x14ac:dyDescent="0.25">
      <c r="E10" s="207"/>
      <c r="F10" s="207"/>
      <c r="G10" s="207"/>
      <c r="H10" s="207"/>
      <c r="J10" s="209"/>
      <c r="K10" s="206"/>
      <c r="L10" s="206"/>
      <c r="M10" s="206"/>
      <c r="N10" s="207"/>
      <c r="O10" s="207"/>
      <c r="P10" s="210"/>
      <c r="Q10" s="211"/>
      <c r="R10" s="207"/>
      <c r="S10" s="209"/>
    </row>
    <row r="11" spans="1:19" x14ac:dyDescent="0.25">
      <c r="A11" s="213" t="s">
        <v>105</v>
      </c>
      <c r="B11" s="198" t="s">
        <v>119</v>
      </c>
      <c r="C11" s="197" t="s">
        <v>120</v>
      </c>
      <c r="D11" s="209"/>
      <c r="E11" s="207">
        <v>3593.1666666666665</v>
      </c>
      <c r="F11" s="207">
        <v>1847.6373726346435</v>
      </c>
      <c r="G11" s="207">
        <v>300.11777569980694</v>
      </c>
      <c r="H11" s="208">
        <v>5740.9218150011166</v>
      </c>
      <c r="J11" s="209"/>
      <c r="K11" s="206">
        <v>4080.1560112499997</v>
      </c>
      <c r="L11" s="206">
        <v>1906.3490447598253</v>
      </c>
      <c r="M11" s="206">
        <f>G11</f>
        <v>300.11777569980694</v>
      </c>
      <c r="N11" s="207">
        <f>SUM(K11:M11)</f>
        <v>6286.622831709632</v>
      </c>
      <c r="O11" s="207">
        <f>N11-H11</f>
        <v>545.70101670851545</v>
      </c>
      <c r="P11" s="210"/>
      <c r="Q11" s="211">
        <f t="shared" si="0"/>
        <v>486.98934458333315</v>
      </c>
      <c r="R11" s="207">
        <f>L11-F11</f>
        <v>58.711672125181849</v>
      </c>
      <c r="S11" s="209"/>
    </row>
    <row r="12" spans="1:19" x14ac:dyDescent="0.25">
      <c r="E12" s="207"/>
      <c r="F12" s="207"/>
      <c r="G12" s="207"/>
      <c r="H12" s="207"/>
      <c r="J12" s="209"/>
      <c r="K12" s="206"/>
      <c r="L12" s="206"/>
      <c r="M12" s="206"/>
      <c r="N12" s="207"/>
      <c r="O12" s="207"/>
      <c r="P12" s="210"/>
      <c r="Q12" s="211"/>
      <c r="R12" s="207"/>
      <c r="S12" s="209"/>
    </row>
    <row r="13" spans="1:19" x14ac:dyDescent="0.25">
      <c r="E13" s="207"/>
      <c r="F13" s="207"/>
      <c r="G13" s="207"/>
      <c r="H13" s="207"/>
      <c r="J13" s="209"/>
      <c r="K13" s="206"/>
      <c r="L13" s="206"/>
      <c r="M13" s="206"/>
      <c r="N13" s="207"/>
      <c r="O13" s="207"/>
      <c r="P13" s="210"/>
      <c r="Q13" s="211"/>
      <c r="R13" s="207"/>
      <c r="S13" s="209"/>
    </row>
    <row r="14" spans="1:19" x14ac:dyDescent="0.25">
      <c r="A14" s="197" t="s">
        <v>109</v>
      </c>
      <c r="B14" s="198" t="s">
        <v>126</v>
      </c>
      <c r="C14" s="197" t="s">
        <v>127</v>
      </c>
      <c r="E14" s="207">
        <v>5389.75</v>
      </c>
      <c r="F14" s="207">
        <v>8314.3681768558963</v>
      </c>
      <c r="G14" s="207">
        <v>300.11777569980694</v>
      </c>
      <c r="H14" s="208">
        <v>14004.235952555704</v>
      </c>
      <c r="J14" s="209"/>
      <c r="K14" s="206">
        <v>6120.2340168749997</v>
      </c>
      <c r="L14" s="206">
        <v>8578.5707014192139</v>
      </c>
      <c r="M14" s="206">
        <f>G14</f>
        <v>300.11777569980694</v>
      </c>
      <c r="N14" s="207">
        <f>SUM(K14:M14)</f>
        <v>14998.922493994021</v>
      </c>
      <c r="O14" s="207">
        <f>N14-H14</f>
        <v>994.68654143831736</v>
      </c>
      <c r="P14" s="210"/>
      <c r="Q14" s="211">
        <f t="shared" si="0"/>
        <v>730.48401687499972</v>
      </c>
      <c r="R14" s="207"/>
      <c r="S14" s="209"/>
    </row>
    <row r="15" spans="1:19" x14ac:dyDescent="0.25">
      <c r="E15" s="207"/>
      <c r="F15" s="207"/>
      <c r="G15" s="207"/>
      <c r="H15" s="207"/>
      <c r="J15" s="209"/>
      <c r="K15" s="206"/>
      <c r="L15" s="206"/>
      <c r="M15" s="206"/>
      <c r="N15" s="207"/>
      <c r="O15" s="207"/>
      <c r="P15" s="210"/>
      <c r="Q15" s="211"/>
      <c r="R15" s="207"/>
      <c r="S15" s="209"/>
    </row>
    <row r="16" spans="1:19" x14ac:dyDescent="0.25">
      <c r="E16" s="207"/>
      <c r="F16" s="207"/>
      <c r="G16" s="207"/>
      <c r="H16" s="207"/>
      <c r="J16" s="209"/>
      <c r="K16" s="206"/>
      <c r="L16" s="206"/>
      <c r="M16" s="206"/>
      <c r="N16" s="207"/>
      <c r="O16" s="207"/>
      <c r="P16" s="210"/>
      <c r="Q16" s="211"/>
      <c r="R16" s="207"/>
      <c r="S16" s="209"/>
    </row>
    <row r="17" spans="1:21" x14ac:dyDescent="0.25">
      <c r="A17" s="197" t="s">
        <v>107</v>
      </c>
      <c r="B17" s="198" t="s">
        <v>245</v>
      </c>
      <c r="C17" s="197" t="s">
        <v>246</v>
      </c>
      <c r="E17" s="207">
        <v>4311.8</v>
      </c>
      <c r="F17" s="207">
        <v>6651.494541484717</v>
      </c>
      <c r="G17" s="207">
        <v>300.11777569980694</v>
      </c>
      <c r="H17" s="208">
        <v>11263.412317184524</v>
      </c>
      <c r="J17" s="209"/>
      <c r="K17" s="206">
        <v>4896.1872134999994</v>
      </c>
      <c r="L17" s="206">
        <v>6862.8565611353715</v>
      </c>
      <c r="M17" s="206">
        <f>G17</f>
        <v>300.11777569980694</v>
      </c>
      <c r="N17" s="207">
        <f>SUM(K17:M17)</f>
        <v>12059.161550335179</v>
      </c>
      <c r="O17" s="207">
        <f>N17-H17</f>
        <v>795.74923315065462</v>
      </c>
      <c r="P17" s="210"/>
      <c r="Q17" s="211">
        <f t="shared" si="0"/>
        <v>584.38721349999923</v>
      </c>
      <c r="R17" s="207">
        <f>L17-F17</f>
        <v>211.36201965065447</v>
      </c>
      <c r="S17" s="209"/>
    </row>
    <row r="18" spans="1:21" x14ac:dyDescent="0.25">
      <c r="K18" s="204"/>
      <c r="L18" s="204"/>
      <c r="M18" s="206"/>
      <c r="N18" s="207"/>
      <c r="O18" s="198"/>
      <c r="Q18" s="211"/>
      <c r="R18" s="207"/>
      <c r="S18" s="209"/>
    </row>
    <row r="19" spans="1:21" x14ac:dyDescent="0.25">
      <c r="K19" s="204"/>
      <c r="L19" s="204"/>
      <c r="M19" s="206"/>
      <c r="N19" s="207"/>
      <c r="O19" s="198"/>
      <c r="Q19" s="211"/>
      <c r="R19" s="207"/>
      <c r="S19" s="209"/>
    </row>
    <row r="20" spans="1:21" ht="25" x14ac:dyDescent="0.25">
      <c r="A20" s="197" t="s">
        <v>247</v>
      </c>
      <c r="C20" s="212" t="s">
        <v>248</v>
      </c>
      <c r="E20" s="207">
        <v>0</v>
      </c>
      <c r="F20" s="207">
        <v>0</v>
      </c>
      <c r="G20" s="207">
        <v>0</v>
      </c>
      <c r="H20" s="208">
        <v>2635</v>
      </c>
      <c r="K20" s="204"/>
      <c r="L20" s="204"/>
      <c r="M20" s="206">
        <v>2635</v>
      </c>
      <c r="N20" s="207">
        <f t="shared" ref="N20" si="1">SUM(K20:M20)</f>
        <v>2635</v>
      </c>
      <c r="O20" s="198"/>
      <c r="Q20" s="211"/>
      <c r="R20" s="207"/>
      <c r="S20" s="209"/>
    </row>
    <row r="21" spans="1:21" x14ac:dyDescent="0.25">
      <c r="C21" s="199"/>
      <c r="E21" s="207"/>
      <c r="F21" s="207"/>
      <c r="G21" s="207"/>
      <c r="H21" s="207"/>
      <c r="K21" s="204"/>
      <c r="L21" s="204"/>
      <c r="M21" s="206"/>
      <c r="N21" s="207"/>
      <c r="O21" s="198"/>
      <c r="Q21" s="211"/>
      <c r="R21" s="207"/>
      <c r="S21" s="209"/>
    </row>
    <row r="22" spans="1:21" x14ac:dyDescent="0.25">
      <c r="A22" s="197" t="s">
        <v>110</v>
      </c>
      <c r="B22" s="198" t="s">
        <v>126</v>
      </c>
      <c r="C22" s="197" t="s">
        <v>128</v>
      </c>
      <c r="E22" s="207">
        <v>7186.333333333333</v>
      </c>
      <c r="F22" s="207">
        <v>7390.549490538574</v>
      </c>
      <c r="G22" s="207">
        <v>300.11777569980694</v>
      </c>
      <c r="H22" s="208">
        <v>14877.000599571715</v>
      </c>
      <c r="K22" s="206">
        <v>8160.3120224999993</v>
      </c>
      <c r="L22" s="206">
        <v>7625.3961790393014</v>
      </c>
      <c r="M22" s="206">
        <f>G22</f>
        <v>300.11777569980694</v>
      </c>
      <c r="N22" s="207">
        <f>SUM(K22:M22)</f>
        <v>16085.825977239108</v>
      </c>
      <c r="O22" s="198"/>
      <c r="Q22" s="211">
        <f t="shared" si="0"/>
        <v>973.9786891666663</v>
      </c>
      <c r="R22" s="207"/>
      <c r="S22" s="209"/>
    </row>
    <row r="23" spans="1:21" x14ac:dyDescent="0.25">
      <c r="E23" s="207"/>
      <c r="F23" s="207"/>
      <c r="G23" s="207"/>
      <c r="H23" s="207"/>
      <c r="K23" s="206"/>
      <c r="L23" s="204"/>
      <c r="M23" s="206"/>
      <c r="N23" s="207"/>
      <c r="O23" s="198"/>
      <c r="Q23" s="211"/>
      <c r="R23" s="207"/>
      <c r="S23" s="209"/>
    </row>
    <row r="24" spans="1:21" x14ac:dyDescent="0.25">
      <c r="A24" s="197" t="s">
        <v>111</v>
      </c>
      <c r="B24" s="198" t="s">
        <v>129</v>
      </c>
      <c r="C24" s="197" t="s">
        <v>249</v>
      </c>
      <c r="E24" s="207">
        <v>0</v>
      </c>
      <c r="F24" s="207">
        <v>22512.750755794426</v>
      </c>
      <c r="G24" s="207">
        <v>0</v>
      </c>
      <c r="H24" s="208">
        <v>22512.750755794426</v>
      </c>
      <c r="K24" s="206"/>
      <c r="L24" s="206">
        <v>22876.188537117905</v>
      </c>
      <c r="M24" s="206">
        <f>G24</f>
        <v>0</v>
      </c>
      <c r="N24" s="207">
        <f>SUM(K24:M24)</f>
        <v>22876.188537117905</v>
      </c>
      <c r="O24" s="198"/>
      <c r="Q24" s="211"/>
      <c r="R24" s="207"/>
      <c r="S24" s="209"/>
    </row>
    <row r="25" spans="1:21" x14ac:dyDescent="0.25">
      <c r="G25" s="197"/>
      <c r="H25" s="197"/>
      <c r="K25" s="206"/>
      <c r="L25" s="206"/>
      <c r="M25" s="206"/>
      <c r="N25" s="207"/>
      <c r="Q25" s="211"/>
    </row>
    <row r="26" spans="1:21" x14ac:dyDescent="0.25">
      <c r="A26" s="213" t="s">
        <v>250</v>
      </c>
      <c r="B26" s="198" t="s">
        <v>251</v>
      </c>
      <c r="C26" s="197" t="s">
        <v>252</v>
      </c>
      <c r="E26" s="207">
        <v>5046.875</v>
      </c>
      <c r="F26" s="207">
        <v>5542.9121179039303</v>
      </c>
      <c r="G26" s="207">
        <v>300.11777569980694</v>
      </c>
      <c r="H26" s="207">
        <v>10889.904893603738</v>
      </c>
      <c r="K26" s="206">
        <v>5730.1090168749997</v>
      </c>
      <c r="L26" s="206">
        <v>5719.0471342794763</v>
      </c>
      <c r="M26" s="206">
        <f>G26</f>
        <v>300.11777569980694</v>
      </c>
      <c r="N26" s="207">
        <f t="shared" ref="N26" si="2">SUM(K26:M26)</f>
        <v>11749.273926854283</v>
      </c>
      <c r="Q26" s="211">
        <f>K26-E26</f>
        <v>683.23401687499972</v>
      </c>
      <c r="R26" s="207">
        <f>L26-F26</f>
        <v>176.135016375546</v>
      </c>
      <c r="S26" s="197" t="s">
        <v>253</v>
      </c>
    </row>
    <row r="27" spans="1:21" x14ac:dyDescent="0.25">
      <c r="E27" s="207"/>
      <c r="F27" s="207"/>
      <c r="G27" s="207"/>
      <c r="H27" s="207"/>
      <c r="K27" s="207"/>
      <c r="L27" s="207"/>
      <c r="M27" s="207"/>
      <c r="N27" s="207"/>
      <c r="Q27" s="214"/>
      <c r="R27" s="207"/>
    </row>
    <row r="28" spans="1:21" x14ac:dyDescent="0.25">
      <c r="G28" s="197"/>
      <c r="H28" s="197"/>
      <c r="U28" s="207"/>
    </row>
    <row r="29" spans="1:21" x14ac:dyDescent="0.25">
      <c r="C29" s="197" t="s">
        <v>254</v>
      </c>
      <c r="E29" s="207">
        <v>5389.75</v>
      </c>
      <c r="F29" s="207">
        <v>2771.4560589519651</v>
      </c>
      <c r="G29" s="207">
        <v>300</v>
      </c>
      <c r="H29" s="207">
        <f>SUM(E29:G29)</f>
        <v>8461.2060589519642</v>
      </c>
      <c r="I29" s="207"/>
      <c r="J29" s="207"/>
      <c r="K29" s="207">
        <v>6120.2340168749997</v>
      </c>
      <c r="L29" s="207">
        <v>2859.5235671397381</v>
      </c>
      <c r="M29" s="207">
        <v>300.11777569980694</v>
      </c>
      <c r="N29" s="207">
        <f>SUM(K29:M29)</f>
        <v>9279.875359714546</v>
      </c>
      <c r="O29" s="207"/>
      <c r="P29" s="207"/>
      <c r="Q29" s="207">
        <f>K29-E29</f>
        <v>730.48401687499972</v>
      </c>
      <c r="R29" s="207">
        <f>L29-F29</f>
        <v>88.067508187773001</v>
      </c>
      <c r="S29" s="197" t="s">
        <v>255</v>
      </c>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F902-BAE2-4866-960F-BD00541CA640}">
  <sheetPr>
    <tabColor rgb="FFFFFF00"/>
  </sheetPr>
  <dimension ref="A1:BS48"/>
  <sheetViews>
    <sheetView topLeftCell="AR1" workbookViewId="0">
      <selection activeCell="BK26" sqref="BK26"/>
    </sheetView>
  </sheetViews>
  <sheetFormatPr defaultColWidth="9.1796875" defaultRowHeight="12.5" x14ac:dyDescent="0.25"/>
  <cols>
    <col min="1" max="1" width="19.26953125" style="222" customWidth="1"/>
    <col min="2" max="2" width="20.7265625" style="223" customWidth="1"/>
    <col min="3" max="6" width="15.7265625" style="223" customWidth="1"/>
    <col min="7" max="7" width="61.7265625" style="222" customWidth="1"/>
    <col min="8" max="8" width="9.1796875" style="222"/>
    <col min="9" max="11" width="15.7265625" style="223" customWidth="1"/>
    <col min="12" max="12" width="11.54296875" style="223" customWidth="1"/>
    <col min="13" max="15" width="9.1796875" style="222"/>
    <col min="16" max="16" width="9.1796875" style="223"/>
    <col min="17" max="17" width="10.1796875" style="222" bestFit="1" customWidth="1"/>
    <col min="18" max="31" width="9.1796875" style="222"/>
    <col min="32" max="32" width="10.453125" style="222" customWidth="1"/>
    <col min="33" max="40" width="9.1796875" style="222"/>
    <col min="41" max="41" width="10.1796875" style="222" bestFit="1" customWidth="1"/>
    <col min="42" max="42" width="12" style="222" customWidth="1"/>
    <col min="43" max="53" width="9.1796875" style="222"/>
    <col min="54" max="54" width="11.7265625" style="222" customWidth="1"/>
    <col min="55" max="58" width="9.1796875" style="222"/>
    <col min="59" max="60" width="9.1796875" style="223"/>
    <col min="61" max="61" width="9.453125" style="223" bestFit="1" customWidth="1"/>
    <col min="62" max="62" width="9.1796875" style="222"/>
    <col min="63" max="63" width="13.1796875" style="223" customWidth="1"/>
    <col min="64" max="16384" width="9.1796875" style="222"/>
  </cols>
  <sheetData>
    <row r="1" spans="1:71" x14ac:dyDescent="0.25">
      <c r="E1" s="224" t="s">
        <v>256</v>
      </c>
      <c r="N1" s="695" t="s">
        <v>257</v>
      </c>
      <c r="P1" s="225" t="s">
        <v>258</v>
      </c>
      <c r="Q1" s="226">
        <v>484.95</v>
      </c>
    </row>
    <row r="2" spans="1:71" ht="28.5" customHeight="1" x14ac:dyDescent="0.25">
      <c r="A2" s="227" t="s">
        <v>231</v>
      </c>
      <c r="D2" s="224"/>
      <c r="K2" s="222"/>
      <c r="L2" s="222"/>
      <c r="N2" s="695"/>
      <c r="P2" s="225" t="s">
        <v>259</v>
      </c>
      <c r="Q2" s="226">
        <v>72.91</v>
      </c>
      <c r="V2" s="223" t="s">
        <v>260</v>
      </c>
      <c r="BQ2" s="696" t="s">
        <v>261</v>
      </c>
      <c r="BR2" s="696"/>
      <c r="BS2" s="696"/>
    </row>
    <row r="3" spans="1:71" ht="63" x14ac:dyDescent="0.3">
      <c r="B3" s="228" t="s">
        <v>115</v>
      </c>
      <c r="C3" s="229" t="s">
        <v>233</v>
      </c>
      <c r="D3" s="229" t="s">
        <v>234</v>
      </c>
      <c r="E3" s="229" t="s">
        <v>235</v>
      </c>
      <c r="F3" s="228" t="s">
        <v>116</v>
      </c>
      <c r="G3" s="228" t="s">
        <v>232</v>
      </c>
      <c r="I3" s="230" t="s">
        <v>233</v>
      </c>
      <c r="J3" s="230" t="s">
        <v>234</v>
      </c>
      <c r="K3" s="230" t="s">
        <v>235</v>
      </c>
      <c r="L3" s="231" t="s">
        <v>262</v>
      </c>
      <c r="N3" s="695"/>
      <c r="P3" s="232" t="s">
        <v>263</v>
      </c>
      <c r="Q3" s="228" t="s">
        <v>264</v>
      </c>
      <c r="R3" s="223" t="s">
        <v>265</v>
      </c>
      <c r="U3" s="223" t="s">
        <v>266</v>
      </c>
      <c r="V3" s="223" t="s">
        <v>267</v>
      </c>
      <c r="W3" s="223" t="s">
        <v>239</v>
      </c>
      <c r="X3" s="223" t="s">
        <v>240</v>
      </c>
      <c r="Y3" s="232" t="s">
        <v>241</v>
      </c>
      <c r="AA3" s="223" t="s">
        <v>268</v>
      </c>
      <c r="AB3" s="223" t="s">
        <v>269</v>
      </c>
      <c r="AC3" s="223" t="s">
        <v>239</v>
      </c>
      <c r="AD3" s="223" t="s">
        <v>240</v>
      </c>
      <c r="AE3" s="232" t="s">
        <v>241</v>
      </c>
      <c r="AF3" s="223"/>
      <c r="AG3" s="233" t="s">
        <v>270</v>
      </c>
      <c r="AH3" s="233" t="s">
        <v>271</v>
      </c>
      <c r="AI3" s="234" t="s">
        <v>239</v>
      </c>
      <c r="AJ3" s="234" t="s">
        <v>240</v>
      </c>
      <c r="AK3" s="233" t="s">
        <v>241</v>
      </c>
      <c r="AL3" s="235" t="s">
        <v>272</v>
      </c>
      <c r="AN3" s="232" t="s">
        <v>273</v>
      </c>
      <c r="AO3" s="236" t="s">
        <v>238</v>
      </c>
      <c r="AP3" s="223" t="s">
        <v>239</v>
      </c>
      <c r="AQ3" s="223" t="s">
        <v>240</v>
      </c>
      <c r="AR3" s="232" t="s">
        <v>241</v>
      </c>
      <c r="AS3" s="232" t="s">
        <v>274</v>
      </c>
      <c r="AT3" s="232" t="s">
        <v>275</v>
      </c>
      <c r="AX3" s="236" t="s">
        <v>237</v>
      </c>
      <c r="AY3" s="232" t="s">
        <v>276</v>
      </c>
      <c r="AZ3" s="237" t="s">
        <v>239</v>
      </c>
      <c r="BA3" s="223" t="s">
        <v>240</v>
      </c>
      <c r="BB3" s="232" t="s">
        <v>241</v>
      </c>
      <c r="BE3" s="232" t="s">
        <v>277</v>
      </c>
      <c r="BF3" s="238"/>
      <c r="BG3" s="239" t="s">
        <v>278</v>
      </c>
      <c r="BH3" s="239" t="s">
        <v>279</v>
      </c>
      <c r="BI3" s="239" t="s">
        <v>280</v>
      </c>
      <c r="BJ3" s="238"/>
      <c r="BK3" s="240" t="s">
        <v>281</v>
      </c>
      <c r="BM3" s="232" t="s">
        <v>282</v>
      </c>
      <c r="BN3" s="232" t="s">
        <v>283</v>
      </c>
      <c r="BO3" s="232" t="s">
        <v>284</v>
      </c>
      <c r="BQ3" s="232" t="s">
        <v>285</v>
      </c>
      <c r="BR3" s="232" t="s">
        <v>286</v>
      </c>
      <c r="BS3" s="232" t="s">
        <v>287</v>
      </c>
    </row>
    <row r="4" spans="1:71" x14ac:dyDescent="0.25">
      <c r="Y4" s="223"/>
      <c r="AE4" s="223"/>
      <c r="AG4" s="241"/>
      <c r="AH4" s="241"/>
      <c r="AI4" s="241"/>
      <c r="AJ4" s="241"/>
      <c r="AK4" s="234"/>
      <c r="AL4" s="241"/>
      <c r="AN4" s="242"/>
      <c r="AO4" s="243"/>
      <c r="AP4" s="242"/>
      <c r="AQ4" s="242"/>
      <c r="AR4" s="242"/>
      <c r="AX4" s="243"/>
      <c r="AY4" s="242"/>
      <c r="AZ4" s="243"/>
      <c r="BA4" s="242"/>
      <c r="BB4" s="242"/>
      <c r="BE4" s="223"/>
      <c r="BK4" s="244"/>
      <c r="BQ4" s="223"/>
      <c r="BR4" s="223"/>
    </row>
    <row r="5" spans="1:71" x14ac:dyDescent="0.25">
      <c r="A5" s="222" t="s">
        <v>108</v>
      </c>
      <c r="B5" s="223" t="s">
        <v>126</v>
      </c>
      <c r="C5" s="242">
        <v>6235.9162500000002</v>
      </c>
      <c r="D5" s="242">
        <v>8769.6246042576422</v>
      </c>
      <c r="E5" s="242">
        <v>353.33239604699571</v>
      </c>
      <c r="F5" s="245">
        <f>SUM(C5:E5)</f>
        <v>15358.873250304638</v>
      </c>
      <c r="G5" s="222" t="s">
        <v>127</v>
      </c>
      <c r="I5" s="242">
        <v>5389.75</v>
      </c>
      <c r="J5" s="242">
        <v>8314.3681768558963</v>
      </c>
      <c r="K5" s="242">
        <v>300.11777569980694</v>
      </c>
      <c r="L5" s="245">
        <v>14004.235952555704</v>
      </c>
      <c r="N5" s="242">
        <f>D5+E5-J5-K5</f>
        <v>508.47104774893415</v>
      </c>
      <c r="P5" s="242">
        <f>C5-I5</f>
        <v>846.16625000000022</v>
      </c>
      <c r="Q5" s="242">
        <f>$Q$1+$Q$2</f>
        <v>557.86</v>
      </c>
      <c r="R5" s="242">
        <f>P5-Q5</f>
        <v>288.3062500000002</v>
      </c>
      <c r="T5" s="246"/>
      <c r="U5" s="242">
        <v>5836.8826874999995</v>
      </c>
      <c r="V5" s="242">
        <v>8769.6246042576422</v>
      </c>
      <c r="W5" s="242">
        <v>353.33239604699571</v>
      </c>
      <c r="X5" s="245">
        <f>SUM(U5:W5)</f>
        <v>14959.839687804637</v>
      </c>
      <c r="Y5" s="242">
        <f>X5-L5</f>
        <v>955.60373524893294</v>
      </c>
      <c r="AA5" s="242">
        <v>6235.9162500000002</v>
      </c>
      <c r="AB5" s="242">
        <v>8291.6148471615725</v>
      </c>
      <c r="AC5" s="242">
        <v>353.33239604699571</v>
      </c>
      <c r="AD5" s="245">
        <f>SUM(AA5:AC5)</f>
        <v>14880.863493208568</v>
      </c>
      <c r="AE5" s="242">
        <f>AD5-L5</f>
        <v>876.6275406528639</v>
      </c>
      <c r="AG5" s="247">
        <v>6156.1095375000004</v>
      </c>
      <c r="AH5" s="247">
        <v>8674.097652838429</v>
      </c>
      <c r="AI5" s="247">
        <v>353.33239604699571</v>
      </c>
      <c r="AJ5" s="247">
        <f>SUM(AG5:AI5)</f>
        <v>15183.539586385425</v>
      </c>
      <c r="AK5" s="247">
        <f>AJ5-L5</f>
        <v>1179.3036338297206</v>
      </c>
      <c r="AL5" s="247">
        <f>AJ5-F5</f>
        <v>-175.333663919213</v>
      </c>
      <c r="AM5" s="246">
        <f>AN5-I5</f>
        <v>686.55282499999976</v>
      </c>
      <c r="AN5" s="242">
        <v>6076.3028249999998</v>
      </c>
      <c r="AO5" s="243">
        <v>8578.5707014192139</v>
      </c>
      <c r="AP5" s="242">
        <f>K5</f>
        <v>300.11777569980694</v>
      </c>
      <c r="AQ5" s="242">
        <f>SUM(AN5:AP5)</f>
        <v>14954.991302119022</v>
      </c>
      <c r="AR5" s="242">
        <f>AQ5-L5</f>
        <v>950.7553495633183</v>
      </c>
      <c r="AS5" s="210">
        <f>AR5/L5</f>
        <v>6.7890554885274568E-2</v>
      </c>
      <c r="AT5" s="210">
        <f>(AO5-J5)/L5</f>
        <v>1.8865900678794404E-2</v>
      </c>
      <c r="AU5" s="242">
        <f>AO5-J5</f>
        <v>264.20252456331764</v>
      </c>
      <c r="AV5" s="246">
        <f>AO5-J5</f>
        <v>264.20252456331764</v>
      </c>
      <c r="AX5" s="243">
        <v>6120.2340168749997</v>
      </c>
      <c r="AY5" s="242">
        <v>8626.1466771288215</v>
      </c>
      <c r="AZ5" s="243">
        <f>K5</f>
        <v>300.11777569980694</v>
      </c>
      <c r="BA5" s="242">
        <f>SUM(AX5:AZ5)</f>
        <v>15046.498469703629</v>
      </c>
      <c r="BB5" s="242">
        <f>BA5-V5</f>
        <v>6276.8738654459867</v>
      </c>
      <c r="BE5" s="242">
        <f>AX5+AO5+AZ5</f>
        <v>14998.922493994021</v>
      </c>
      <c r="BG5" s="248">
        <v>8885.4271154475973</v>
      </c>
      <c r="BH5" s="242">
        <v>6242.9736972125002</v>
      </c>
      <c r="BI5" s="242">
        <f>AZ5</f>
        <v>300.11777569980694</v>
      </c>
      <c r="BK5" s="249">
        <f>SUM(BG5:BI5)</f>
        <v>15428.518588359904</v>
      </c>
      <c r="BL5" s="250">
        <f>BM5/BE5</f>
        <v>2.864179707161664E-2</v>
      </c>
      <c r="BM5" s="242">
        <f>BK5-BE5</f>
        <v>429.59609436588289</v>
      </c>
      <c r="BN5" s="242">
        <v>299.47109436588289</v>
      </c>
      <c r="BO5" s="242">
        <f>BM5-BN5</f>
        <v>130.125</v>
      </c>
      <c r="BQ5" s="242">
        <v>56.890296215156255</v>
      </c>
      <c r="BR5" s="242">
        <v>81.349088943094984</v>
      </c>
      <c r="BS5" s="242">
        <f>SUM(BQ5:BR5)</f>
        <v>138.23938515825125</v>
      </c>
    </row>
    <row r="6" spans="1:71" x14ac:dyDescent="0.25">
      <c r="C6" s="242"/>
      <c r="F6" s="242"/>
      <c r="I6" s="242"/>
      <c r="L6" s="242"/>
      <c r="N6" s="242"/>
      <c r="P6" s="242"/>
      <c r="Q6" s="242"/>
      <c r="R6" s="242"/>
      <c r="T6" s="246"/>
      <c r="U6" s="242"/>
      <c r="V6" s="223"/>
      <c r="W6" s="223"/>
      <c r="X6" s="242"/>
      <c r="Y6" s="242"/>
      <c r="AA6" s="242"/>
      <c r="AB6" s="223"/>
      <c r="AC6" s="223"/>
      <c r="AD6" s="242"/>
      <c r="AE6" s="242"/>
      <c r="AG6" s="247"/>
      <c r="AH6" s="234"/>
      <c r="AI6" s="234"/>
      <c r="AJ6" s="247"/>
      <c r="AK6" s="247"/>
      <c r="AL6" s="247"/>
      <c r="AM6" s="246">
        <f t="shared" ref="AM6:AM17" si="0">AN6-I6</f>
        <v>0</v>
      </c>
      <c r="AN6" s="242"/>
      <c r="AO6" s="237"/>
      <c r="AP6" s="242"/>
      <c r="AQ6" s="242"/>
      <c r="AR6" s="242"/>
      <c r="AS6" s="210"/>
      <c r="AT6" s="210"/>
      <c r="AU6" s="242"/>
      <c r="AV6" s="246">
        <f t="shared" ref="AV6:AV24" si="1">AO6-J6</f>
        <v>0</v>
      </c>
      <c r="AX6" s="243"/>
      <c r="AY6" s="223"/>
      <c r="AZ6" s="243"/>
      <c r="BA6" s="242"/>
      <c r="BB6" s="242"/>
      <c r="BE6" s="242"/>
      <c r="BK6" s="244"/>
      <c r="BL6" s="250"/>
      <c r="BO6" s="242"/>
      <c r="BQ6" s="242"/>
      <c r="BR6" s="242"/>
      <c r="BS6" s="242"/>
    </row>
    <row r="7" spans="1:71" x14ac:dyDescent="0.25">
      <c r="C7" s="242"/>
      <c r="D7" s="242"/>
      <c r="E7" s="242"/>
      <c r="F7" s="242"/>
      <c r="I7" s="242"/>
      <c r="J7" s="242"/>
      <c r="K7" s="242"/>
      <c r="L7" s="242"/>
      <c r="N7" s="242"/>
      <c r="P7" s="242"/>
      <c r="Q7" s="242"/>
      <c r="R7" s="242"/>
      <c r="T7" s="246"/>
      <c r="U7" s="242"/>
      <c r="V7" s="242"/>
      <c r="W7" s="242"/>
      <c r="X7" s="242"/>
      <c r="Y7" s="242"/>
      <c r="AA7" s="242"/>
      <c r="AB7" s="242"/>
      <c r="AC7" s="242"/>
      <c r="AD7" s="242"/>
      <c r="AE7" s="242"/>
      <c r="AG7" s="247"/>
      <c r="AH7" s="247"/>
      <c r="AI7" s="247"/>
      <c r="AJ7" s="247"/>
      <c r="AK7" s="247"/>
      <c r="AL7" s="247"/>
      <c r="AM7" s="246">
        <f t="shared" si="0"/>
        <v>0</v>
      </c>
      <c r="AN7" s="242"/>
      <c r="AO7" s="243"/>
      <c r="AP7" s="242"/>
      <c r="AQ7" s="242"/>
      <c r="AR7" s="242"/>
      <c r="AS7" s="210"/>
      <c r="AT7" s="210"/>
      <c r="AU7" s="242"/>
      <c r="AV7" s="246">
        <f t="shared" si="1"/>
        <v>0</v>
      </c>
      <c r="AX7" s="243"/>
      <c r="AY7" s="242"/>
      <c r="AZ7" s="243"/>
      <c r="BA7" s="242"/>
      <c r="BB7" s="242"/>
      <c r="BE7" s="242"/>
      <c r="BK7" s="244"/>
      <c r="BL7" s="250"/>
      <c r="BO7" s="242"/>
      <c r="BQ7" s="242"/>
      <c r="BR7" s="242"/>
      <c r="BS7" s="242"/>
    </row>
    <row r="8" spans="1:71" x14ac:dyDescent="0.25">
      <c r="A8" s="222" t="s">
        <v>106</v>
      </c>
      <c r="B8" s="223" t="s">
        <v>121</v>
      </c>
      <c r="C8" s="242">
        <v>4988.7330000000002</v>
      </c>
      <c r="D8" s="242">
        <v>2338.5665611353716</v>
      </c>
      <c r="E8" s="242">
        <v>353.33239604699571</v>
      </c>
      <c r="F8" s="245">
        <f>SUM(C8:E8)</f>
        <v>7680.6319571823678</v>
      </c>
      <c r="G8" s="222" t="s">
        <v>244</v>
      </c>
      <c r="I8" s="242">
        <v>4311.8</v>
      </c>
      <c r="J8" s="242">
        <v>2217.1648471615722</v>
      </c>
      <c r="K8" s="242">
        <v>300.11777569980694</v>
      </c>
      <c r="L8" s="245">
        <v>6829.0826228613796</v>
      </c>
      <c r="N8" s="242">
        <f>D8+E8-J8-K8</f>
        <v>174.61633432098807</v>
      </c>
      <c r="P8" s="242">
        <f>C8-I8</f>
        <v>676.93299999999999</v>
      </c>
      <c r="Q8" s="242">
        <f>$Q$1+$Q$2</f>
        <v>557.86</v>
      </c>
      <c r="R8" s="242">
        <f>P8-Q8</f>
        <v>119.07299999999998</v>
      </c>
      <c r="T8" s="246"/>
      <c r="U8" s="242">
        <v>4669.5061499999993</v>
      </c>
      <c r="V8" s="242">
        <v>2338.5665611353716</v>
      </c>
      <c r="W8" s="242">
        <v>353.33239604699571</v>
      </c>
      <c r="X8" s="245">
        <f>SUM(U8:W8)</f>
        <v>7361.4051071823669</v>
      </c>
      <c r="Y8" s="242">
        <f>X8-L8</f>
        <v>532.32248432098731</v>
      </c>
      <c r="AA8" s="242">
        <v>4988.7330000000002</v>
      </c>
      <c r="AB8" s="242">
        <v>2211.097292576419</v>
      </c>
      <c r="AC8" s="242">
        <v>353.33239604699571</v>
      </c>
      <c r="AD8" s="245">
        <f>SUM(AA8:AC8)</f>
        <v>7553.1626886234153</v>
      </c>
      <c r="AE8" s="242">
        <f>AD8-L8</f>
        <v>724.0800657620357</v>
      </c>
      <c r="AG8" s="247">
        <v>4924.8876300000002</v>
      </c>
      <c r="AH8" s="247">
        <v>2313.092707423581</v>
      </c>
      <c r="AI8" s="247">
        <v>353.33239604699571</v>
      </c>
      <c r="AJ8" s="247">
        <f>SUM(AG8:AI8)</f>
        <v>7591.3127334705778</v>
      </c>
      <c r="AK8" s="247">
        <f t="shared" ref="AK8:AK17" si="2">AJ8-L8</f>
        <v>762.23011060919816</v>
      </c>
      <c r="AL8" s="247">
        <f t="shared" ref="AL8:AL17" si="3">AJ8-F8</f>
        <v>-89.319223711790073</v>
      </c>
      <c r="AM8" s="246">
        <f t="shared" si="0"/>
        <v>549.24225999999999</v>
      </c>
      <c r="AN8" s="242">
        <v>4861.0422600000002</v>
      </c>
      <c r="AO8" s="243">
        <v>2287.6188537117905</v>
      </c>
      <c r="AP8" s="242">
        <f t="shared" ref="AP8:AP22" si="4">K8</f>
        <v>300.11777569980694</v>
      </c>
      <c r="AQ8" s="242">
        <f t="shared" ref="AQ8:AQ24" si="5">SUM(AN8:AP8)</f>
        <v>7448.7788894115974</v>
      </c>
      <c r="AR8" s="242">
        <f t="shared" ref="AR8:AR17" si="6">AQ8-L8</f>
        <v>619.69626655021784</v>
      </c>
      <c r="AS8" s="210">
        <f t="shared" ref="AS8:AS17" si="7">AR8/L8</f>
        <v>9.0743706112983838E-2</v>
      </c>
      <c r="AT8" s="210">
        <f t="shared" ref="AT8:AT17" si="8">(AO8-J8)/L8</f>
        <v>1.0316760016105668E-2</v>
      </c>
      <c r="AU8" s="242">
        <f t="shared" ref="AU8:AU22" si="9">AO8-J8</f>
        <v>70.45400655021831</v>
      </c>
      <c r="AV8" s="246">
        <f t="shared" si="1"/>
        <v>70.45400655021831</v>
      </c>
      <c r="AX8" s="243">
        <v>4896.1872134999994</v>
      </c>
      <c r="AY8" s="242">
        <v>2300.3057805676858</v>
      </c>
      <c r="AZ8" s="243">
        <f t="shared" ref="AZ8:AZ28" si="10">K8</f>
        <v>300.11777569980694</v>
      </c>
      <c r="BA8" s="242">
        <f t="shared" ref="BA8" si="11">SUM(AX8:AZ8)</f>
        <v>7496.6107697674915</v>
      </c>
      <c r="BB8" s="242">
        <f t="shared" ref="BB8" si="12">BA8-V8</f>
        <v>5158.04420863212</v>
      </c>
      <c r="BE8" s="242">
        <f t="shared" ref="BE8:BE24" si="13">AX8+AO8+AZ8</f>
        <v>7483.9238429115967</v>
      </c>
      <c r="BG8" s="248">
        <v>2369.447230786026</v>
      </c>
      <c r="BH8" s="242">
        <v>4994.3789577699999</v>
      </c>
      <c r="BI8" s="242">
        <f>AZ8</f>
        <v>300.11777569980694</v>
      </c>
      <c r="BK8" s="249">
        <f>SUM(BG8:BI8)</f>
        <v>7663.9439642558327</v>
      </c>
      <c r="BL8" s="250">
        <f t="shared" ref="BL8:BL30" si="14">BM8/BE8</f>
        <v>2.4054242817388129E-2</v>
      </c>
      <c r="BM8" s="242">
        <f>BK8-BE8</f>
        <v>180.02012134423603</v>
      </c>
      <c r="BN8" s="242">
        <v>145.32012134423621</v>
      </c>
      <c r="BO8" s="242">
        <f t="shared" ref="BO8:BO30" si="15">BM8-BN8</f>
        <v>34.699999999999818</v>
      </c>
      <c r="BQ8" s="242">
        <v>45.512236972125002</v>
      </c>
      <c r="BR8" s="242">
        <v>21.693090384825329</v>
      </c>
      <c r="BS8" s="242">
        <f t="shared" ref="BS8:BS30" si="16">SUM(BQ8:BR8)</f>
        <v>67.205327356950335</v>
      </c>
    </row>
    <row r="9" spans="1:71" x14ac:dyDescent="0.25">
      <c r="C9" s="242"/>
      <c r="D9" s="242"/>
      <c r="E9" s="242"/>
      <c r="F9" s="242"/>
      <c r="I9" s="242"/>
      <c r="J9" s="242"/>
      <c r="K9" s="242"/>
      <c r="L9" s="242"/>
      <c r="N9" s="242"/>
      <c r="P9" s="242"/>
      <c r="Q9" s="242"/>
      <c r="R9" s="242"/>
      <c r="T9" s="246"/>
      <c r="U9" s="242"/>
      <c r="V9" s="242"/>
      <c r="W9" s="242"/>
      <c r="X9" s="242"/>
      <c r="Y9" s="242"/>
      <c r="AA9" s="242"/>
      <c r="AB9" s="242"/>
      <c r="AC9" s="242"/>
      <c r="AD9" s="242"/>
      <c r="AE9" s="242"/>
      <c r="AG9" s="247"/>
      <c r="AH9" s="247"/>
      <c r="AI9" s="247"/>
      <c r="AJ9" s="247"/>
      <c r="AK9" s="247"/>
      <c r="AL9" s="247"/>
      <c r="AM9" s="246">
        <f t="shared" si="0"/>
        <v>0</v>
      </c>
      <c r="AN9" s="242"/>
      <c r="AO9" s="243"/>
      <c r="AP9" s="242"/>
      <c r="AQ9" s="242"/>
      <c r="AR9" s="242"/>
      <c r="AS9" s="210"/>
      <c r="AT9" s="210"/>
      <c r="AU9" s="242"/>
      <c r="AV9" s="246">
        <f t="shared" si="1"/>
        <v>0</v>
      </c>
      <c r="AX9" s="243"/>
      <c r="AY9" s="242"/>
      <c r="AZ9" s="243"/>
      <c r="BA9" s="242"/>
      <c r="BB9" s="242"/>
      <c r="BE9" s="242"/>
      <c r="BK9" s="244"/>
      <c r="BL9" s="250"/>
      <c r="BO9" s="242"/>
      <c r="BQ9" s="242"/>
      <c r="BR9" s="242"/>
      <c r="BS9" s="242"/>
    </row>
    <row r="10" spans="1:71" x14ac:dyDescent="0.25">
      <c r="C10" s="242"/>
      <c r="D10" s="242"/>
      <c r="E10" s="242"/>
      <c r="F10" s="242"/>
      <c r="I10" s="242"/>
      <c r="J10" s="242"/>
      <c r="K10" s="242"/>
      <c r="L10" s="242"/>
      <c r="N10" s="242"/>
      <c r="P10" s="242"/>
      <c r="Q10" s="242"/>
      <c r="R10" s="242"/>
      <c r="T10" s="246"/>
      <c r="U10" s="242"/>
      <c r="V10" s="242"/>
      <c r="W10" s="242"/>
      <c r="X10" s="242"/>
      <c r="Y10" s="242"/>
      <c r="AA10" s="242"/>
      <c r="AB10" s="242"/>
      <c r="AC10" s="242"/>
      <c r="AD10" s="242"/>
      <c r="AE10" s="242"/>
      <c r="AG10" s="247"/>
      <c r="AH10" s="247"/>
      <c r="AI10" s="247"/>
      <c r="AJ10" s="247"/>
      <c r="AK10" s="247"/>
      <c r="AL10" s="247"/>
      <c r="AM10" s="246">
        <f t="shared" si="0"/>
        <v>0</v>
      </c>
      <c r="AN10" s="242"/>
      <c r="AO10" s="243"/>
      <c r="AP10" s="242"/>
      <c r="AQ10" s="242"/>
      <c r="AR10" s="242"/>
      <c r="AS10" s="210"/>
      <c r="AT10" s="210"/>
      <c r="AU10" s="242"/>
      <c r="AV10" s="246">
        <f t="shared" si="1"/>
        <v>0</v>
      </c>
      <c r="AX10" s="243"/>
      <c r="AY10" s="242"/>
      <c r="AZ10" s="243"/>
      <c r="BA10" s="242"/>
      <c r="BB10" s="242"/>
      <c r="BE10" s="242"/>
      <c r="BK10" s="244"/>
      <c r="BL10" s="250"/>
      <c r="BO10" s="242"/>
      <c r="BQ10" s="242"/>
      <c r="BR10" s="242"/>
      <c r="BS10" s="242"/>
    </row>
    <row r="11" spans="1:71" x14ac:dyDescent="0.25">
      <c r="A11" s="222" t="s">
        <v>105</v>
      </c>
      <c r="B11" s="223" t="s">
        <v>119</v>
      </c>
      <c r="C11" s="242">
        <v>4157.2775000000001</v>
      </c>
      <c r="D11" s="242">
        <v>1948.8054676128095</v>
      </c>
      <c r="E11" s="242">
        <v>353.33239604699571</v>
      </c>
      <c r="F11" s="245">
        <f>SUM(C11:E11)</f>
        <v>6459.4153636598057</v>
      </c>
      <c r="G11" s="222" t="s">
        <v>120</v>
      </c>
      <c r="H11" s="246"/>
      <c r="I11" s="242">
        <v>3593.1666666666665</v>
      </c>
      <c r="J11" s="242">
        <v>1847.6373726346435</v>
      </c>
      <c r="K11" s="242">
        <v>300.11777569980694</v>
      </c>
      <c r="L11" s="245">
        <v>5740.9218150011166</v>
      </c>
      <c r="N11" s="242">
        <f>D11+E11-J11-K11</f>
        <v>154.3827153253547</v>
      </c>
      <c r="P11" s="242">
        <f>C11-I11</f>
        <v>564.11083333333363</v>
      </c>
      <c r="Q11" s="242">
        <f>$Q$1+$Q$2</f>
        <v>557.86</v>
      </c>
      <c r="R11" s="242">
        <f>P11-Q11</f>
        <v>6.2508333333336168</v>
      </c>
      <c r="T11" s="246"/>
      <c r="U11" s="242">
        <v>3891.2551249999997</v>
      </c>
      <c r="V11" s="242">
        <v>1948.8054676128095</v>
      </c>
      <c r="W11" s="242">
        <v>353.33239604699571</v>
      </c>
      <c r="X11" s="245">
        <f>SUM(U11:W11)</f>
        <v>6193.3929886598053</v>
      </c>
      <c r="Y11" s="242">
        <f>X11-L11</f>
        <v>452.47117365868871</v>
      </c>
      <c r="AA11" s="242">
        <v>4157.2775000000001</v>
      </c>
      <c r="AB11" s="242">
        <v>1842.581077147016</v>
      </c>
      <c r="AC11" s="242">
        <v>353.33239604699571</v>
      </c>
      <c r="AD11" s="245">
        <f>SUM(AA11:AC11)</f>
        <v>6353.1909731940123</v>
      </c>
      <c r="AE11" s="242">
        <f>AD11-L11</f>
        <v>612.2691581928957</v>
      </c>
      <c r="AG11" s="247">
        <v>4104.0730250000006</v>
      </c>
      <c r="AH11" s="247">
        <v>1927.5772561863175</v>
      </c>
      <c r="AI11" s="247">
        <v>353.33239604699571</v>
      </c>
      <c r="AJ11" s="247">
        <f>SUM(AG11:AI11)</f>
        <v>6384.9826772333145</v>
      </c>
      <c r="AK11" s="247">
        <f t="shared" si="2"/>
        <v>644.06086223219791</v>
      </c>
      <c r="AL11" s="247">
        <f t="shared" si="3"/>
        <v>-74.432686426491273</v>
      </c>
      <c r="AM11" s="246">
        <f t="shared" si="0"/>
        <v>457.70188333333317</v>
      </c>
      <c r="AN11" s="242">
        <v>4050.8685499999997</v>
      </c>
      <c r="AO11" s="243">
        <v>1906.3490447598253</v>
      </c>
      <c r="AP11" s="242">
        <f t="shared" si="4"/>
        <v>300.11777569980694</v>
      </c>
      <c r="AQ11" s="242">
        <f t="shared" si="5"/>
        <v>6257.335370459632</v>
      </c>
      <c r="AR11" s="242">
        <f t="shared" si="6"/>
        <v>516.41355545851548</v>
      </c>
      <c r="AS11" s="210">
        <f t="shared" si="7"/>
        <v>8.9953072363591319E-2</v>
      </c>
      <c r="AT11" s="210">
        <f t="shared" si="8"/>
        <v>1.0226871923558922E-2</v>
      </c>
      <c r="AU11" s="242">
        <f t="shared" si="9"/>
        <v>58.711672125181849</v>
      </c>
      <c r="AV11" s="246">
        <f t="shared" si="1"/>
        <v>58.711672125181849</v>
      </c>
      <c r="AX11" s="243">
        <v>4080.1560112499997</v>
      </c>
      <c r="AY11" s="242">
        <v>1916.9214838064047</v>
      </c>
      <c r="AZ11" s="243">
        <f t="shared" si="10"/>
        <v>300.11777569980694</v>
      </c>
      <c r="BA11" s="242">
        <f t="shared" ref="BA11" si="17">SUM(AX11:AZ11)</f>
        <v>6297.1952707562114</v>
      </c>
      <c r="BB11" s="242">
        <f t="shared" ref="BB11" si="18">BA11-V11</f>
        <v>4348.3898031434019</v>
      </c>
      <c r="BE11" s="242">
        <f t="shared" si="13"/>
        <v>6286.622831709632</v>
      </c>
      <c r="BG11" s="248">
        <v>1974.5393589883552</v>
      </c>
      <c r="BH11" s="242">
        <v>4161.9824648083331</v>
      </c>
      <c r="BI11" s="242">
        <f>AZ11</f>
        <v>300.11777569980694</v>
      </c>
      <c r="BK11" s="249">
        <f>SUM(BG11:BI11)</f>
        <v>6436.6395994964951</v>
      </c>
      <c r="BL11" s="250">
        <f t="shared" si="14"/>
        <v>2.386285479545245E-2</v>
      </c>
      <c r="BM11" s="242">
        <f>BK11-BE11</f>
        <v>150.01676778686306</v>
      </c>
      <c r="BN11" s="242">
        <v>121.10010112019609</v>
      </c>
      <c r="BO11" s="242">
        <f t="shared" si="15"/>
        <v>28.91666666666697</v>
      </c>
      <c r="BQ11" s="242">
        <v>37.926864143437506</v>
      </c>
      <c r="BR11" s="242">
        <v>18.077575320687775</v>
      </c>
      <c r="BS11" s="242">
        <f t="shared" si="16"/>
        <v>56.004439464125284</v>
      </c>
    </row>
    <row r="12" spans="1:71" x14ac:dyDescent="0.25">
      <c r="C12" s="242"/>
      <c r="D12" s="242"/>
      <c r="E12" s="242"/>
      <c r="F12" s="242"/>
      <c r="I12" s="242"/>
      <c r="J12" s="242"/>
      <c r="K12" s="242"/>
      <c r="L12" s="242"/>
      <c r="N12" s="242"/>
      <c r="P12" s="242"/>
      <c r="Q12" s="242"/>
      <c r="R12" s="242"/>
      <c r="T12" s="246"/>
      <c r="U12" s="242"/>
      <c r="V12" s="242"/>
      <c r="W12" s="242"/>
      <c r="X12" s="242"/>
      <c r="Y12" s="242"/>
      <c r="AA12" s="242"/>
      <c r="AB12" s="242"/>
      <c r="AC12" s="242"/>
      <c r="AD12" s="242"/>
      <c r="AE12" s="242"/>
      <c r="AG12" s="247"/>
      <c r="AH12" s="247"/>
      <c r="AI12" s="247"/>
      <c r="AJ12" s="247"/>
      <c r="AK12" s="247"/>
      <c r="AL12" s="247"/>
      <c r="AM12" s="246">
        <f t="shared" si="0"/>
        <v>0</v>
      </c>
      <c r="AN12" s="242"/>
      <c r="AO12" s="243"/>
      <c r="AP12" s="242"/>
      <c r="AQ12" s="242"/>
      <c r="AR12" s="242"/>
      <c r="AS12" s="210"/>
      <c r="AT12" s="210"/>
      <c r="AU12" s="242"/>
      <c r="AV12" s="246">
        <f t="shared" si="1"/>
        <v>0</v>
      </c>
      <c r="AX12" s="243"/>
      <c r="AY12" s="242"/>
      <c r="AZ12" s="243"/>
      <c r="BA12" s="242"/>
      <c r="BB12" s="242"/>
      <c r="BE12" s="242"/>
      <c r="BK12" s="244"/>
      <c r="BL12" s="250"/>
      <c r="BO12" s="242"/>
      <c r="BQ12" s="242"/>
      <c r="BR12" s="242"/>
      <c r="BS12" s="242"/>
    </row>
    <row r="13" spans="1:71" x14ac:dyDescent="0.25">
      <c r="C13" s="242"/>
      <c r="D13" s="242"/>
      <c r="E13" s="242"/>
      <c r="F13" s="242"/>
      <c r="I13" s="242"/>
      <c r="J13" s="242"/>
      <c r="K13" s="242"/>
      <c r="L13" s="242"/>
      <c r="N13" s="242"/>
      <c r="P13" s="242"/>
      <c r="Q13" s="242"/>
      <c r="R13" s="242"/>
      <c r="T13" s="246"/>
      <c r="U13" s="242"/>
      <c r="V13" s="242"/>
      <c r="W13" s="242"/>
      <c r="X13" s="242"/>
      <c r="Y13" s="242"/>
      <c r="AA13" s="242"/>
      <c r="AB13" s="242"/>
      <c r="AC13" s="242"/>
      <c r="AD13" s="242"/>
      <c r="AE13" s="242"/>
      <c r="AG13" s="247"/>
      <c r="AH13" s="247"/>
      <c r="AI13" s="247"/>
      <c r="AJ13" s="247"/>
      <c r="AK13" s="247"/>
      <c r="AL13" s="247"/>
      <c r="AM13" s="246">
        <f t="shared" si="0"/>
        <v>0</v>
      </c>
      <c r="AN13" s="242"/>
      <c r="AO13" s="243"/>
      <c r="AP13" s="242"/>
      <c r="AQ13" s="242"/>
      <c r="AR13" s="242"/>
      <c r="AS13" s="210"/>
      <c r="AT13" s="210"/>
      <c r="AU13" s="242"/>
      <c r="AV13" s="246">
        <f t="shared" si="1"/>
        <v>0</v>
      </c>
      <c r="AX13" s="243"/>
      <c r="AY13" s="242"/>
      <c r="AZ13" s="243"/>
      <c r="BA13" s="242"/>
      <c r="BB13" s="242"/>
      <c r="BE13" s="242"/>
      <c r="BK13" s="244"/>
      <c r="BL13" s="250"/>
      <c r="BO13" s="242"/>
      <c r="BQ13" s="242"/>
      <c r="BR13" s="242"/>
      <c r="BS13" s="242"/>
    </row>
    <row r="14" spans="1:71" x14ac:dyDescent="0.25">
      <c r="A14" s="222" t="s">
        <v>109</v>
      </c>
      <c r="B14" s="223" t="s">
        <v>126</v>
      </c>
      <c r="C14" s="242">
        <v>6235.9162500000002</v>
      </c>
      <c r="D14" s="242">
        <v>8769.6246042576422</v>
      </c>
      <c r="E14" s="242">
        <v>353.33239604699571</v>
      </c>
      <c r="F14" s="245">
        <f>SUM(C14:E14)</f>
        <v>15358.873250304638</v>
      </c>
      <c r="G14" s="222" t="s">
        <v>127</v>
      </c>
      <c r="I14" s="242">
        <v>5389.75</v>
      </c>
      <c r="J14" s="242">
        <v>8314.3681768558963</v>
      </c>
      <c r="K14" s="242">
        <v>300.11777569980694</v>
      </c>
      <c r="L14" s="245">
        <v>14004.235952555704</v>
      </c>
      <c r="N14" s="242">
        <f>D14+E14-J14-K14</f>
        <v>508.47104774893415</v>
      </c>
      <c r="P14" s="242">
        <f>C14-I14</f>
        <v>846.16625000000022</v>
      </c>
      <c r="Q14" s="242">
        <f>$Q$1+$Q$2</f>
        <v>557.86</v>
      </c>
      <c r="R14" s="242">
        <f>P14-Q14</f>
        <v>288.3062500000002</v>
      </c>
      <c r="T14" s="246"/>
      <c r="U14" s="242">
        <v>5836.8826874999995</v>
      </c>
      <c r="V14" s="242">
        <v>8769.6246042576422</v>
      </c>
      <c r="W14" s="242">
        <v>353.33239604699571</v>
      </c>
      <c r="X14" s="245">
        <f>SUM(U14:W14)</f>
        <v>14959.839687804637</v>
      </c>
      <c r="Y14" s="242">
        <f>X14-L14</f>
        <v>955.60373524893294</v>
      </c>
      <c r="AA14" s="242">
        <v>6235.9162500000002</v>
      </c>
      <c r="AB14" s="242">
        <v>8291.6148471615725</v>
      </c>
      <c r="AC14" s="242">
        <v>353.33239604699571</v>
      </c>
      <c r="AD14" s="245">
        <f>SUM(AA14:AC14)</f>
        <v>14880.863493208568</v>
      </c>
      <c r="AE14" s="242">
        <f>AD14-L14</f>
        <v>876.6275406528639</v>
      </c>
      <c r="AG14" s="247">
        <v>6156.1095375000004</v>
      </c>
      <c r="AH14" s="247">
        <v>8674.097652838429</v>
      </c>
      <c r="AI14" s="247">
        <v>353.33239604699571</v>
      </c>
      <c r="AJ14" s="247">
        <f>SUM(AG14:AI14)</f>
        <v>15183.539586385425</v>
      </c>
      <c r="AK14" s="247">
        <f t="shared" si="2"/>
        <v>1179.3036338297206</v>
      </c>
      <c r="AL14" s="247">
        <f t="shared" si="3"/>
        <v>-175.333663919213</v>
      </c>
      <c r="AM14" s="246">
        <f t="shared" si="0"/>
        <v>686.55282499999976</v>
      </c>
      <c r="AN14" s="242">
        <v>6076.3028249999998</v>
      </c>
      <c r="AO14" s="243">
        <v>8578.5707014192139</v>
      </c>
      <c r="AP14" s="242">
        <f t="shared" si="4"/>
        <v>300.11777569980694</v>
      </c>
      <c r="AQ14" s="242">
        <f t="shared" si="5"/>
        <v>14954.991302119022</v>
      </c>
      <c r="AR14" s="242">
        <f t="shared" si="6"/>
        <v>950.7553495633183</v>
      </c>
      <c r="AS14" s="210">
        <f t="shared" si="7"/>
        <v>6.7890554885274568E-2</v>
      </c>
      <c r="AT14" s="210">
        <f t="shared" si="8"/>
        <v>1.8865900678794404E-2</v>
      </c>
      <c r="AU14" s="242">
        <f t="shared" si="9"/>
        <v>264.20252456331764</v>
      </c>
      <c r="AV14" s="246">
        <f t="shared" si="1"/>
        <v>264.20252456331764</v>
      </c>
      <c r="AX14" s="243">
        <v>6120.2340168749997</v>
      </c>
      <c r="AY14" s="242">
        <v>8626.1466771288215</v>
      </c>
      <c r="AZ14" s="243">
        <f t="shared" si="10"/>
        <v>300.11777569980694</v>
      </c>
      <c r="BA14" s="242">
        <f t="shared" ref="BA14" si="19">SUM(AX14:AZ14)</f>
        <v>15046.498469703629</v>
      </c>
      <c r="BB14" s="242">
        <f t="shared" ref="BB14" si="20">BA14-V14</f>
        <v>6276.8738654459867</v>
      </c>
      <c r="BE14" s="242">
        <f t="shared" si="13"/>
        <v>14998.922493994021</v>
      </c>
      <c r="BG14" s="248">
        <v>8885.4271154475973</v>
      </c>
      <c r="BH14" s="242">
        <v>6242.9736972125002</v>
      </c>
      <c r="BI14" s="242">
        <f>AZ14</f>
        <v>300.11777569980694</v>
      </c>
      <c r="BK14" s="249">
        <f>SUM(BG14:BI14)</f>
        <v>15428.518588359904</v>
      </c>
      <c r="BL14" s="250">
        <f t="shared" si="14"/>
        <v>2.864179707161664E-2</v>
      </c>
      <c r="BM14" s="242">
        <f>BK14-BE14</f>
        <v>429.59609436588289</v>
      </c>
      <c r="BN14" s="242">
        <v>299.47109436588289</v>
      </c>
      <c r="BO14" s="242">
        <f t="shared" si="15"/>
        <v>130.125</v>
      </c>
      <c r="BQ14" s="242">
        <v>56.890296215156255</v>
      </c>
      <c r="BR14" s="242">
        <v>81.349088943094984</v>
      </c>
      <c r="BS14" s="242">
        <f t="shared" si="16"/>
        <v>138.23938515825125</v>
      </c>
    </row>
    <row r="15" spans="1:71" x14ac:dyDescent="0.25">
      <c r="C15" s="242"/>
      <c r="D15" s="242"/>
      <c r="E15" s="242"/>
      <c r="F15" s="242"/>
      <c r="I15" s="242"/>
      <c r="J15" s="242"/>
      <c r="K15" s="242"/>
      <c r="L15" s="242"/>
      <c r="N15" s="242"/>
      <c r="P15" s="242"/>
      <c r="Q15" s="242"/>
      <c r="R15" s="242"/>
      <c r="T15" s="246"/>
      <c r="U15" s="242"/>
      <c r="V15" s="242"/>
      <c r="W15" s="242"/>
      <c r="X15" s="242"/>
      <c r="Y15" s="242"/>
      <c r="AA15" s="242"/>
      <c r="AB15" s="242"/>
      <c r="AC15" s="242"/>
      <c r="AD15" s="242"/>
      <c r="AE15" s="242"/>
      <c r="AG15" s="247"/>
      <c r="AH15" s="247"/>
      <c r="AI15" s="247"/>
      <c r="AJ15" s="247"/>
      <c r="AK15" s="247"/>
      <c r="AL15" s="247"/>
      <c r="AM15" s="246">
        <f t="shared" si="0"/>
        <v>0</v>
      </c>
      <c r="AN15" s="242"/>
      <c r="AO15" s="243"/>
      <c r="AP15" s="242"/>
      <c r="AQ15" s="242"/>
      <c r="AR15" s="242"/>
      <c r="AS15" s="210"/>
      <c r="AT15" s="210"/>
      <c r="AU15" s="242"/>
      <c r="AV15" s="246">
        <f t="shared" si="1"/>
        <v>0</v>
      </c>
      <c r="AX15" s="243"/>
      <c r="AY15" s="242"/>
      <c r="AZ15" s="243"/>
      <c r="BA15" s="242"/>
      <c r="BB15" s="242"/>
      <c r="BE15" s="242"/>
      <c r="BK15" s="244"/>
      <c r="BL15" s="250"/>
      <c r="BO15" s="242"/>
      <c r="BQ15" s="242"/>
      <c r="BR15" s="242"/>
      <c r="BS15" s="242"/>
    </row>
    <row r="16" spans="1:71" x14ac:dyDescent="0.25">
      <c r="C16" s="242"/>
      <c r="D16" s="242"/>
      <c r="E16" s="242"/>
      <c r="F16" s="242"/>
      <c r="I16" s="242"/>
      <c r="J16" s="242"/>
      <c r="K16" s="242"/>
      <c r="L16" s="242"/>
      <c r="N16" s="242"/>
      <c r="P16" s="242"/>
      <c r="Q16" s="242"/>
      <c r="R16" s="242"/>
      <c r="T16" s="246"/>
      <c r="U16" s="242"/>
      <c r="V16" s="242"/>
      <c r="W16" s="242"/>
      <c r="X16" s="242"/>
      <c r="Y16" s="242"/>
      <c r="AA16" s="242"/>
      <c r="AB16" s="242"/>
      <c r="AC16" s="242"/>
      <c r="AD16" s="242"/>
      <c r="AE16" s="242"/>
      <c r="AG16" s="247"/>
      <c r="AH16" s="247"/>
      <c r="AI16" s="247"/>
      <c r="AJ16" s="247"/>
      <c r="AK16" s="247"/>
      <c r="AL16" s="247"/>
      <c r="AM16" s="246">
        <f t="shared" si="0"/>
        <v>0</v>
      </c>
      <c r="AN16" s="242"/>
      <c r="AO16" s="243"/>
      <c r="AP16" s="242"/>
      <c r="AQ16" s="242"/>
      <c r="AR16" s="242"/>
      <c r="AS16" s="210"/>
      <c r="AT16" s="210"/>
      <c r="AU16" s="242"/>
      <c r="AV16" s="246">
        <f t="shared" si="1"/>
        <v>0</v>
      </c>
      <c r="AX16" s="243"/>
      <c r="AY16" s="242"/>
      <c r="AZ16" s="243"/>
      <c r="BA16" s="242"/>
      <c r="BB16" s="242"/>
      <c r="BE16" s="242"/>
      <c r="BK16" s="244"/>
      <c r="BL16" s="250"/>
      <c r="BO16" s="242"/>
      <c r="BQ16" s="242"/>
      <c r="BR16" s="242"/>
      <c r="BS16" s="242"/>
    </row>
    <row r="17" spans="1:71" x14ac:dyDescent="0.25">
      <c r="A17" s="222" t="s">
        <v>107</v>
      </c>
      <c r="B17" s="223" t="s">
        <v>245</v>
      </c>
      <c r="C17" s="242">
        <v>4988.7330000000002</v>
      </c>
      <c r="D17" s="242">
        <v>7015.6996834061147</v>
      </c>
      <c r="E17" s="242">
        <v>353.33239604699571</v>
      </c>
      <c r="F17" s="245">
        <f>SUM(C17:E17)</f>
        <v>12357.765079453109</v>
      </c>
      <c r="G17" s="222" t="s">
        <v>246</v>
      </c>
      <c r="I17" s="242">
        <v>4311.8</v>
      </c>
      <c r="J17" s="242">
        <v>6651.494541484717</v>
      </c>
      <c r="K17" s="242">
        <v>300.11777569980694</v>
      </c>
      <c r="L17" s="245">
        <v>11263.412317184524</v>
      </c>
      <c r="N17" s="242">
        <f>D17+E17-J17-K17</f>
        <v>417.41976226858679</v>
      </c>
      <c r="P17" s="242">
        <f>C17-I17</f>
        <v>676.93299999999999</v>
      </c>
      <c r="Q17" s="242">
        <f>$Q$1+$Q$2</f>
        <v>557.86</v>
      </c>
      <c r="R17" s="242">
        <f>P17-Q17</f>
        <v>119.07299999999998</v>
      </c>
      <c r="T17" s="246"/>
      <c r="U17" s="242">
        <v>4669.5061499999993</v>
      </c>
      <c r="V17" s="242">
        <v>7015.6996834061147</v>
      </c>
      <c r="W17" s="242">
        <v>353.33239604699571</v>
      </c>
      <c r="X17" s="245">
        <f>SUM(U17:W17)</f>
        <v>12038.53822945311</v>
      </c>
      <c r="Y17" s="242">
        <f>X17-L17</f>
        <v>775.12591226858603</v>
      </c>
      <c r="AA17" s="242">
        <v>4988.7330000000002</v>
      </c>
      <c r="AB17" s="242">
        <v>6633.2918777292571</v>
      </c>
      <c r="AC17" s="242">
        <v>353.33239604699571</v>
      </c>
      <c r="AD17" s="245">
        <f>SUM(AA17:AC17)</f>
        <v>11975.357273776253</v>
      </c>
      <c r="AE17" s="242">
        <f>AD17-L17</f>
        <v>711.94495659172935</v>
      </c>
      <c r="AG17" s="247">
        <v>4924.8876300000002</v>
      </c>
      <c r="AH17" s="247">
        <v>6939.2781222707436</v>
      </c>
      <c r="AI17" s="247">
        <v>353.33239604699571</v>
      </c>
      <c r="AJ17" s="247">
        <f>SUM(AG17:AI17)</f>
        <v>12217.498148317738</v>
      </c>
      <c r="AK17" s="247">
        <f t="shared" si="2"/>
        <v>954.08583113321401</v>
      </c>
      <c r="AL17" s="247">
        <f t="shared" si="3"/>
        <v>-140.26693113537112</v>
      </c>
      <c r="AM17" s="246">
        <f t="shared" si="0"/>
        <v>549.24225999999999</v>
      </c>
      <c r="AN17" s="242">
        <v>4861.0422600000002</v>
      </c>
      <c r="AO17" s="243">
        <v>6862.8565611353715</v>
      </c>
      <c r="AP17" s="242">
        <f t="shared" si="4"/>
        <v>300.11777569980694</v>
      </c>
      <c r="AQ17" s="242">
        <f t="shared" si="5"/>
        <v>12024.016596835179</v>
      </c>
      <c r="AR17" s="242">
        <f t="shared" si="6"/>
        <v>760.60427965065537</v>
      </c>
      <c r="AS17" s="210">
        <f t="shared" si="7"/>
        <v>6.7528761110006219E-2</v>
      </c>
      <c r="AT17" s="210">
        <f t="shared" si="8"/>
        <v>1.8765362902340054E-2</v>
      </c>
      <c r="AU17" s="242">
        <f t="shared" si="9"/>
        <v>211.36201965065447</v>
      </c>
      <c r="AV17" s="246">
        <f>AO17-J17</f>
        <v>211.36201965065447</v>
      </c>
      <c r="AX17" s="243">
        <v>4896.1872134999994</v>
      </c>
      <c r="AY17" s="242">
        <v>6900.9173417030579</v>
      </c>
      <c r="AZ17" s="243">
        <f t="shared" si="10"/>
        <v>300.11777569980694</v>
      </c>
      <c r="BA17" s="242">
        <f t="shared" ref="BA17" si="21">SUM(AX17:AZ17)</f>
        <v>12097.222330902865</v>
      </c>
      <c r="BB17" s="242">
        <f t="shared" ref="BB17" si="22">BA17-V17</f>
        <v>5081.5226474967503</v>
      </c>
      <c r="BE17" s="242">
        <f>AX17+AO17+AZ17</f>
        <v>12059.161550335179</v>
      </c>
      <c r="BG17" s="248">
        <v>7108.341692358078</v>
      </c>
      <c r="BH17" s="242">
        <v>4994.3789577699999</v>
      </c>
      <c r="BI17" s="242">
        <f>AZ17</f>
        <v>300.11777569980694</v>
      </c>
      <c r="BK17" s="249"/>
      <c r="BL17" s="250"/>
      <c r="BM17" s="242"/>
      <c r="BN17" s="242"/>
      <c r="BO17" s="242"/>
      <c r="BQ17" s="242">
        <v>45.512236972125002</v>
      </c>
      <c r="BR17" s="242">
        <v>65.07927115447599</v>
      </c>
      <c r="BS17" s="242">
        <f t="shared" si="16"/>
        <v>110.59150812660098</v>
      </c>
    </row>
    <row r="18" spans="1:71" x14ac:dyDescent="0.25">
      <c r="C18" s="242"/>
      <c r="D18" s="242"/>
      <c r="E18" s="242"/>
      <c r="F18" s="242"/>
      <c r="N18" s="242"/>
      <c r="P18" s="242"/>
      <c r="Q18" s="242"/>
      <c r="R18" s="242"/>
      <c r="AN18" s="223"/>
      <c r="AO18" s="237"/>
      <c r="AP18" s="242"/>
      <c r="AQ18" s="242"/>
      <c r="AR18" s="223"/>
      <c r="AU18" s="242"/>
      <c r="AV18" s="246">
        <f t="shared" si="1"/>
        <v>0</v>
      </c>
      <c r="AX18" s="237"/>
      <c r="AY18" s="223"/>
      <c r="AZ18" s="243"/>
      <c r="BA18" s="242"/>
      <c r="BB18" s="223"/>
      <c r="BE18" s="242"/>
      <c r="BK18" s="244"/>
      <c r="BL18" s="250"/>
      <c r="BO18" s="242"/>
      <c r="BQ18" s="242"/>
      <c r="BR18" s="242"/>
      <c r="BS18" s="242"/>
    </row>
    <row r="19" spans="1:71" x14ac:dyDescent="0.25">
      <c r="C19" s="242"/>
      <c r="D19" s="242"/>
      <c r="E19" s="242"/>
      <c r="F19" s="242"/>
      <c r="N19" s="242"/>
      <c r="P19" s="242"/>
      <c r="Q19" s="242"/>
      <c r="R19" s="242"/>
      <c r="AN19" s="223"/>
      <c r="AO19" s="237"/>
      <c r="AP19" s="242"/>
      <c r="AQ19" s="242"/>
      <c r="AR19" s="223"/>
      <c r="AU19" s="242"/>
      <c r="AV19" s="246">
        <f t="shared" si="1"/>
        <v>0</v>
      </c>
      <c r="AX19" s="237"/>
      <c r="AY19" s="223"/>
      <c r="AZ19" s="243"/>
      <c r="BA19" s="242"/>
      <c r="BB19" s="223"/>
      <c r="BE19" s="242"/>
      <c r="BK19" s="244"/>
      <c r="BL19" s="250"/>
      <c r="BO19" s="242"/>
      <c r="BQ19" s="242"/>
      <c r="BR19" s="242"/>
      <c r="BS19" s="242"/>
    </row>
    <row r="20" spans="1:71" ht="25" x14ac:dyDescent="0.25">
      <c r="A20" s="222" t="s">
        <v>247</v>
      </c>
      <c r="C20" s="242">
        <v>0</v>
      </c>
      <c r="D20" s="242">
        <v>0</v>
      </c>
      <c r="E20" s="242">
        <v>0</v>
      </c>
      <c r="F20" s="245">
        <v>2635</v>
      </c>
      <c r="G20" s="251" t="s">
        <v>248</v>
      </c>
      <c r="I20" s="242">
        <v>0</v>
      </c>
      <c r="J20" s="242">
        <v>0</v>
      </c>
      <c r="K20" s="242">
        <v>0</v>
      </c>
      <c r="L20" s="245">
        <v>2635</v>
      </c>
      <c r="N20" s="242">
        <f>D20+E20-J20-K20</f>
        <v>0</v>
      </c>
      <c r="P20" s="242">
        <f>C20-I20</f>
        <v>0</v>
      </c>
      <c r="Q20" s="242"/>
      <c r="R20" s="242"/>
      <c r="AN20" s="223"/>
      <c r="AO20" s="237"/>
      <c r="AP20" s="242"/>
      <c r="AQ20" s="242">
        <f>F20</f>
        <v>2635</v>
      </c>
      <c r="AR20" s="223"/>
      <c r="AU20" s="242"/>
      <c r="AV20" s="246">
        <f t="shared" si="1"/>
        <v>0</v>
      </c>
      <c r="AX20" s="237"/>
      <c r="AY20" s="223"/>
      <c r="AZ20" s="243">
        <v>2635</v>
      </c>
      <c r="BA20" s="242"/>
      <c r="BB20" s="223"/>
      <c r="BE20" s="242">
        <f>AX20+AO20+AZ20</f>
        <v>2635</v>
      </c>
      <c r="BK20" s="244"/>
      <c r="BL20" s="250"/>
      <c r="BM20" s="242"/>
      <c r="BN20" s="242"/>
      <c r="BO20" s="242"/>
      <c r="BQ20" s="242"/>
      <c r="BR20" s="242"/>
      <c r="BS20" s="242"/>
    </row>
    <row r="21" spans="1:71" x14ac:dyDescent="0.25">
      <c r="C21" s="242"/>
      <c r="D21" s="242"/>
      <c r="E21" s="242"/>
      <c r="F21" s="242"/>
      <c r="G21" s="227"/>
      <c r="I21" s="242"/>
      <c r="J21" s="242"/>
      <c r="K21" s="242"/>
      <c r="L21" s="242"/>
      <c r="N21" s="242"/>
      <c r="P21" s="242"/>
      <c r="Q21" s="242"/>
      <c r="R21" s="242"/>
      <c r="X21" s="238" t="s">
        <v>288</v>
      </c>
      <c r="AD21" s="248">
        <v>22386.188537117905</v>
      </c>
      <c r="AN21" s="223"/>
      <c r="AO21" s="237"/>
      <c r="AP21" s="242"/>
      <c r="AQ21" s="242"/>
      <c r="AR21" s="223"/>
      <c r="AU21" s="242"/>
      <c r="AV21" s="246">
        <f t="shared" si="1"/>
        <v>0</v>
      </c>
      <c r="AX21" s="237"/>
      <c r="AY21" s="223"/>
      <c r="AZ21" s="243"/>
      <c r="BA21" s="242"/>
      <c r="BB21" s="223"/>
      <c r="BE21" s="242"/>
      <c r="BK21" s="244"/>
      <c r="BL21" s="250"/>
      <c r="BO21" s="242"/>
      <c r="BQ21" s="242"/>
      <c r="BR21" s="242"/>
      <c r="BS21" s="242"/>
    </row>
    <row r="22" spans="1:71" x14ac:dyDescent="0.25">
      <c r="A22" s="222" t="s">
        <v>110</v>
      </c>
      <c r="B22" s="223" t="s">
        <v>126</v>
      </c>
      <c r="C22" s="242">
        <v>8314.5550000000003</v>
      </c>
      <c r="D22" s="242">
        <v>7795.2218704512379</v>
      </c>
      <c r="E22" s="242">
        <v>353.33239604699571</v>
      </c>
      <c r="F22" s="245">
        <f>SUM(C22:E22)</f>
        <v>16463.109266498235</v>
      </c>
      <c r="G22" s="222" t="s">
        <v>128</v>
      </c>
      <c r="I22" s="242">
        <v>7186.333333333333</v>
      </c>
      <c r="J22" s="242">
        <v>7390.549490538574</v>
      </c>
      <c r="K22" s="242">
        <v>300.11777569980694</v>
      </c>
      <c r="L22" s="245">
        <v>14877.000599571715</v>
      </c>
      <c r="N22" s="242">
        <f>D22+E22-J22-K22</f>
        <v>457.8870002598531</v>
      </c>
      <c r="P22" s="242">
        <f>C22-I22</f>
        <v>1128.2216666666673</v>
      </c>
      <c r="Q22" s="242">
        <f>$Q$1+$Q$2</f>
        <v>557.86</v>
      </c>
      <c r="R22" s="242">
        <f>P22-Q22</f>
        <v>570.36166666666725</v>
      </c>
      <c r="AG22" s="247">
        <v>8208.1460500000012</v>
      </c>
      <c r="AH22" s="247">
        <v>7710.3090247452701</v>
      </c>
      <c r="AI22" s="247">
        <v>353.33239604699571</v>
      </c>
      <c r="AJ22" s="247">
        <f>SUM(AG22:AI22)</f>
        <v>16271.787470792266</v>
      </c>
      <c r="AK22" s="247">
        <f>AJ22-L22</f>
        <v>1394.7868712205509</v>
      </c>
      <c r="AL22" s="247">
        <f>AJ22-F22</f>
        <v>-191.32179570596963</v>
      </c>
      <c r="AN22" s="242">
        <v>8101.7370999999994</v>
      </c>
      <c r="AO22" s="243">
        <v>7625.3961790393014</v>
      </c>
      <c r="AP22" s="242">
        <f t="shared" si="4"/>
        <v>300.11777569980694</v>
      </c>
      <c r="AQ22" s="242">
        <f t="shared" si="5"/>
        <v>16027.251054739108</v>
      </c>
      <c r="AR22" s="223"/>
      <c r="AU22" s="242">
        <f t="shared" si="9"/>
        <v>234.8466885007274</v>
      </c>
      <c r="AV22" s="246">
        <f t="shared" si="1"/>
        <v>234.8466885007274</v>
      </c>
      <c r="AX22" s="243">
        <v>8160.3120224999993</v>
      </c>
      <c r="AY22" s="242">
        <v>7667.6859352256188</v>
      </c>
      <c r="AZ22" s="243">
        <f t="shared" si="10"/>
        <v>300.11777569980694</v>
      </c>
      <c r="BA22" s="242">
        <f t="shared" ref="BA22" si="23">SUM(AX22:AZ22)</f>
        <v>16128.115733425426</v>
      </c>
      <c r="BB22" s="223"/>
      <c r="BE22" s="242">
        <f t="shared" si="13"/>
        <v>16085.825977239108</v>
      </c>
      <c r="BG22" s="248">
        <v>7898.1574359534206</v>
      </c>
      <c r="BH22" s="242">
        <v>8323.9649296166663</v>
      </c>
      <c r="BI22" s="242">
        <f>AZ22</f>
        <v>300.11777569980694</v>
      </c>
      <c r="BK22" s="249">
        <f>SUM(BG22:BI22)</f>
        <v>16522.240141269893</v>
      </c>
      <c r="BL22" s="250">
        <f t="shared" si="14"/>
        <v>2.7130354676738109E-2</v>
      </c>
      <c r="BM22" s="242">
        <f>BK22-BE22</f>
        <v>436.41416403078438</v>
      </c>
      <c r="BN22" s="242">
        <v>320.74749736412014</v>
      </c>
      <c r="BO22" s="242">
        <f t="shared" si="15"/>
        <v>115.66666666666424</v>
      </c>
      <c r="BQ22" s="242">
        <v>75.853728286875011</v>
      </c>
      <c r="BR22" s="242">
        <v>72.310301282751098</v>
      </c>
      <c r="BS22" s="242">
        <f t="shared" si="16"/>
        <v>148.16402956962611</v>
      </c>
    </row>
    <row r="23" spans="1:71" x14ac:dyDescent="0.25">
      <c r="C23" s="242"/>
      <c r="D23" s="242"/>
      <c r="E23" s="242"/>
      <c r="F23" s="242"/>
      <c r="I23" s="242"/>
      <c r="J23" s="242"/>
      <c r="K23" s="242"/>
      <c r="L23" s="242"/>
      <c r="N23" s="242"/>
      <c r="P23" s="242"/>
      <c r="Q23" s="242"/>
      <c r="R23" s="242"/>
      <c r="AH23" s="247"/>
      <c r="AN23" s="223"/>
      <c r="AO23" s="237"/>
      <c r="AP23" s="223"/>
      <c r="AQ23" s="242"/>
      <c r="AR23" s="223"/>
      <c r="AU23" s="242"/>
      <c r="AV23" s="246">
        <f t="shared" si="1"/>
        <v>0</v>
      </c>
      <c r="AX23" s="243"/>
      <c r="AY23" s="223"/>
      <c r="AZ23" s="243"/>
      <c r="BA23" s="242"/>
      <c r="BB23" s="223"/>
      <c r="BE23" s="242"/>
      <c r="BK23" s="244"/>
      <c r="BL23" s="250"/>
      <c r="BO23" s="242"/>
      <c r="BQ23" s="242"/>
      <c r="BR23" s="242"/>
      <c r="BS23" s="242"/>
    </row>
    <row r="24" spans="1:71" x14ac:dyDescent="0.25">
      <c r="A24" s="222" t="s">
        <v>111</v>
      </c>
      <c r="B24" s="223" t="s">
        <v>129</v>
      </c>
      <c r="C24" s="242">
        <v>0</v>
      </c>
      <c r="D24" s="242">
        <v>23385.665611353714</v>
      </c>
      <c r="E24" s="242">
        <v>0</v>
      </c>
      <c r="F24" s="245">
        <f>SUM(C24:E24)</f>
        <v>23385.665611353714</v>
      </c>
      <c r="G24" s="222" t="s">
        <v>249</v>
      </c>
      <c r="I24" s="242">
        <v>0</v>
      </c>
      <c r="J24" s="242">
        <v>22512.750755794426</v>
      </c>
      <c r="K24" s="242">
        <v>0</v>
      </c>
      <c r="L24" s="245">
        <v>22512.750755794426</v>
      </c>
      <c r="N24" s="242">
        <f>D24+E24-J24-K24</f>
        <v>872.91485555928739</v>
      </c>
      <c r="P24" s="242">
        <f>C24-I24</f>
        <v>0</v>
      </c>
      <c r="Q24" s="242"/>
      <c r="R24" s="242"/>
      <c r="AH24" s="247">
        <v>23130.927074235809</v>
      </c>
      <c r="AK24" s="247">
        <f>AH24-J24</f>
        <v>618.17631844138305</v>
      </c>
      <c r="AL24" s="247">
        <f>AH24-D24</f>
        <v>-254.73853711790434</v>
      </c>
      <c r="AN24" s="223"/>
      <c r="AO24" s="243">
        <v>22876.188537117905</v>
      </c>
      <c r="AP24" s="223">
        <v>0</v>
      </c>
      <c r="AQ24" s="242">
        <f t="shared" si="5"/>
        <v>22876.188537117905</v>
      </c>
      <c r="AR24" s="223"/>
      <c r="AU24" s="242">
        <f>AO24-J24</f>
        <v>363.4377813234787</v>
      </c>
      <c r="AV24" s="246">
        <f t="shared" si="1"/>
        <v>363.4377813234787</v>
      </c>
      <c r="AX24" s="243"/>
      <c r="AY24" s="242"/>
      <c r="AZ24" s="243">
        <f t="shared" si="10"/>
        <v>0</v>
      </c>
      <c r="BA24" s="242">
        <f t="shared" ref="BA24" si="24">SUM(AX24:AZ24)</f>
        <v>0</v>
      </c>
      <c r="BB24" s="223"/>
      <c r="BE24" s="242">
        <f t="shared" si="13"/>
        <v>22876.188537117905</v>
      </c>
      <c r="BG24" s="248">
        <v>23694.472307860262</v>
      </c>
      <c r="BH24" s="242">
        <v>0</v>
      </c>
      <c r="BI24" s="242">
        <f>AZ24</f>
        <v>0</v>
      </c>
      <c r="BK24" s="249">
        <f>SUM(BG24:BI24)</f>
        <v>23694.472307860262</v>
      </c>
      <c r="BL24" s="250">
        <f t="shared" si="14"/>
        <v>3.57701095798649E-2</v>
      </c>
      <c r="BM24" s="242">
        <f>BK24-BE24</f>
        <v>818.28377074235686</v>
      </c>
      <c r="BN24" s="242">
        <v>471.28377074235686</v>
      </c>
      <c r="BO24" s="242">
        <f t="shared" si="15"/>
        <v>347</v>
      </c>
      <c r="BQ24" s="242">
        <v>0</v>
      </c>
      <c r="BR24" s="242">
        <v>216.93090384825328</v>
      </c>
      <c r="BS24" s="242">
        <f t="shared" si="16"/>
        <v>216.93090384825328</v>
      </c>
    </row>
    <row r="25" spans="1:71" x14ac:dyDescent="0.25">
      <c r="K25" s="222"/>
      <c r="L25" s="222"/>
      <c r="AF25" s="222" t="s">
        <v>289</v>
      </c>
      <c r="AH25" s="247">
        <v>22749.319268558953</v>
      </c>
      <c r="AK25" s="247">
        <f>AH25-J24</f>
        <v>236.56851276452653</v>
      </c>
      <c r="AL25" s="247">
        <f>AH25-D24</f>
        <v>-636.34634279476086</v>
      </c>
      <c r="AO25" s="243"/>
      <c r="AX25" s="243"/>
      <c r="AY25" s="242"/>
      <c r="AZ25" s="243"/>
      <c r="BE25" s="223"/>
      <c r="BG25" s="248"/>
      <c r="BH25" s="242"/>
      <c r="BI25" s="242"/>
      <c r="BK25" s="249"/>
      <c r="BL25" s="250"/>
      <c r="BM25" s="242"/>
      <c r="BO25" s="242"/>
      <c r="BQ25" s="242"/>
      <c r="BR25" s="242"/>
      <c r="BS25" s="242"/>
    </row>
    <row r="26" spans="1:71" x14ac:dyDescent="0.25">
      <c r="A26" s="222" t="s">
        <v>290</v>
      </c>
      <c r="B26" s="223" t="s">
        <v>251</v>
      </c>
      <c r="G26" s="222" t="s">
        <v>252</v>
      </c>
      <c r="I26" s="242">
        <v>5046.875</v>
      </c>
      <c r="J26" s="242">
        <v>5542.9121179039303</v>
      </c>
      <c r="K26" s="242">
        <v>300.11777569980694</v>
      </c>
      <c r="L26" s="242">
        <v>10889.904893603738</v>
      </c>
      <c r="AO26" s="243">
        <v>5719.0471342794763</v>
      </c>
      <c r="AX26" s="243">
        <v>5730.1090168749997</v>
      </c>
      <c r="AY26" s="242"/>
      <c r="AZ26" s="243">
        <f t="shared" si="10"/>
        <v>300.11777569980694</v>
      </c>
      <c r="BE26" s="242">
        <f>AX26+AO26+AZ26</f>
        <v>11749.273926854283</v>
      </c>
      <c r="BG26" s="248">
        <v>5923.6180769650655</v>
      </c>
      <c r="BH26" s="242">
        <v>5845.0486972125</v>
      </c>
      <c r="BI26" s="242">
        <f t="shared" ref="BI26" si="25">AZ26</f>
        <v>300.11777569980694</v>
      </c>
      <c r="BK26" s="245">
        <f>ROUND((SUM(BG26:BI26)*1.03),1)</f>
        <v>12430.8</v>
      </c>
      <c r="BL26" s="250">
        <f t="shared" si="14"/>
        <v>5.800580337036932E-2</v>
      </c>
      <c r="BM26" s="242">
        <f>BK26-BE26</f>
        <v>681.52607314571651</v>
      </c>
      <c r="BN26" s="242">
        <v>232.76062302309037</v>
      </c>
      <c r="BO26" s="242">
        <f t="shared" si="15"/>
        <v>448.76545012262613</v>
      </c>
      <c r="BQ26" s="242">
        <v>53.272483715156255</v>
      </c>
      <c r="BR26" s="242">
        <v>54.23272596206332</v>
      </c>
      <c r="BS26" s="242">
        <f t="shared" ref="BS26" si="26">SUM(BQ26:BR26)</f>
        <v>107.50520967721957</v>
      </c>
    </row>
    <row r="27" spans="1:71" x14ac:dyDescent="0.25">
      <c r="K27" s="222"/>
      <c r="L27" s="222"/>
      <c r="AX27" s="242"/>
      <c r="BE27" s="223"/>
      <c r="BK27" s="244"/>
      <c r="BL27" s="250"/>
      <c r="BO27" s="242"/>
      <c r="BQ27" s="242"/>
      <c r="BR27" s="242"/>
      <c r="BS27" s="242"/>
    </row>
    <row r="28" spans="1:71" x14ac:dyDescent="0.25">
      <c r="A28" s="222" t="s">
        <v>123</v>
      </c>
      <c r="G28" s="222" t="s">
        <v>125</v>
      </c>
      <c r="K28" s="242">
        <v>300.11777569980694</v>
      </c>
      <c r="AO28" s="243">
        <v>8273.8097577603712</v>
      </c>
      <c r="AX28" s="243">
        <v>6120.2340168749997</v>
      </c>
      <c r="AZ28" s="243">
        <f t="shared" si="10"/>
        <v>300.11777569980694</v>
      </c>
      <c r="BE28" s="242">
        <f>AX28+AO28+AZ28</f>
        <v>14694.161550335179</v>
      </c>
      <c r="BG28" s="248">
        <v>8569.7648394384141</v>
      </c>
      <c r="BH28" s="242">
        <v>6242.9736972125002</v>
      </c>
      <c r="BI28" s="242">
        <f>AZ28</f>
        <v>300.11777569980694</v>
      </c>
      <c r="BK28" s="249">
        <f>SUM(BG28:BI28)</f>
        <v>15112.856312350723</v>
      </c>
      <c r="BL28" s="250">
        <f t="shared" si="14"/>
        <v>2.8493953913688509E-2</v>
      </c>
      <c r="BM28" s="242">
        <f>BK28-BE28</f>
        <v>418.69476201554426</v>
      </c>
      <c r="BN28" s="242">
        <v>293.1925621501905</v>
      </c>
      <c r="BO28" s="242">
        <f t="shared" si="15"/>
        <v>125.50219986535376</v>
      </c>
      <c r="BQ28" s="242">
        <v>56.890296215156255</v>
      </c>
      <c r="BR28" s="242">
        <v>78.459094097218937</v>
      </c>
      <c r="BS28" s="242">
        <f t="shared" si="16"/>
        <v>135.34939031237519</v>
      </c>
    </row>
    <row r="29" spans="1:71" x14ac:dyDescent="0.25">
      <c r="C29" s="242"/>
      <c r="D29" s="242"/>
      <c r="E29" s="242"/>
      <c r="F29" s="242"/>
      <c r="BE29" s="242"/>
      <c r="BH29" s="242"/>
      <c r="BI29" s="242"/>
      <c r="BK29" s="249"/>
      <c r="BL29" s="250"/>
      <c r="BM29" s="242"/>
      <c r="BO29" s="242"/>
      <c r="BQ29" s="242"/>
      <c r="BR29" s="242"/>
      <c r="BS29" s="242"/>
    </row>
    <row r="30" spans="1:71" x14ac:dyDescent="0.25">
      <c r="A30" s="222" t="s">
        <v>4</v>
      </c>
      <c r="C30" s="242"/>
      <c r="D30" s="242"/>
      <c r="E30" s="242"/>
      <c r="F30" s="242"/>
      <c r="G30" s="219" t="s">
        <v>254</v>
      </c>
      <c r="H30" s="219"/>
      <c r="I30" s="220">
        <v>5389.75</v>
      </c>
      <c r="J30" s="220">
        <v>2771.4560589519651</v>
      </c>
      <c r="K30" s="220">
        <v>300</v>
      </c>
      <c r="L30" s="220">
        <f>SUM(I30:K30)</f>
        <v>8461.2060589519642</v>
      </c>
      <c r="M30" s="220"/>
      <c r="N30" s="220"/>
      <c r="P30" s="222"/>
      <c r="AO30" s="243">
        <v>2859.5235671397381</v>
      </c>
      <c r="AX30" s="243">
        <v>6120.2340168749997</v>
      </c>
      <c r="AZ30" s="221">
        <v>300.11777569980694</v>
      </c>
      <c r="BA30" s="220"/>
      <c r="BB30" s="220"/>
      <c r="BC30" s="220"/>
      <c r="BD30" s="220"/>
      <c r="BE30" s="242">
        <f t="shared" ref="BE30" si="27">AX30+AO30+AZ30</f>
        <v>9279.875359714546</v>
      </c>
      <c r="BF30" s="219"/>
      <c r="BG30" s="248">
        <v>2961.8090384825327</v>
      </c>
      <c r="BH30" s="242">
        <v>6242.9736972125002</v>
      </c>
      <c r="BI30" s="242">
        <f t="shared" ref="BI30" si="28">AZ30</f>
        <v>300.11777569980694</v>
      </c>
      <c r="BK30" s="245">
        <f>SUM(BG30:BI30)*1.03</f>
        <v>9790.0475267366855</v>
      </c>
      <c r="BL30" s="250">
        <f t="shared" si="14"/>
        <v>5.4976187421318205E-2</v>
      </c>
      <c r="BM30" s="242">
        <f t="shared" ref="BM30" si="29">BK30-BE30</f>
        <v>510.17216702213955</v>
      </c>
      <c r="BN30" s="242">
        <v>181.65015168029458</v>
      </c>
      <c r="BO30" s="242">
        <f t="shared" si="15"/>
        <v>328.52201534184496</v>
      </c>
      <c r="BQ30" s="242">
        <v>56.890296215156255</v>
      </c>
      <c r="BR30" s="242">
        <v>27.11636298103166</v>
      </c>
      <c r="BS30" s="242">
        <f t="shared" si="16"/>
        <v>84.006659196187911</v>
      </c>
    </row>
    <row r="31" spans="1:71" x14ac:dyDescent="0.25">
      <c r="Q31" s="252"/>
    </row>
    <row r="32" spans="1:71" x14ac:dyDescent="0.25">
      <c r="Q32" s="252"/>
      <c r="AO32" s="253">
        <f>BE17+BE20-AX28-AZ28</f>
        <v>8273.8097577603712</v>
      </c>
      <c r="AP32" s="254" t="s">
        <v>291</v>
      </c>
    </row>
    <row r="33" spans="3:64" x14ac:dyDescent="0.25">
      <c r="C33" s="242"/>
      <c r="D33" s="242"/>
      <c r="E33" s="242"/>
      <c r="F33" s="242"/>
      <c r="AO33" s="255"/>
      <c r="AP33" s="255"/>
      <c r="BL33" s="256">
        <f>AVERAGE(BL5:BL30)</f>
        <v>3.4397455635339219E-2</v>
      </c>
    </row>
    <row r="34" spans="3:64" x14ac:dyDescent="0.25">
      <c r="I34" s="222"/>
      <c r="J34" s="222"/>
      <c r="K34" s="222"/>
      <c r="L34" s="222"/>
      <c r="AO34" s="257">
        <f>AO32*8</f>
        <v>66190.47806208297</v>
      </c>
      <c r="AP34" s="255" t="s">
        <v>292</v>
      </c>
      <c r="BI34" s="354">
        <f>SUM(BG26:BI26)</f>
        <v>12068.784549877373</v>
      </c>
    </row>
    <row r="35" spans="3:64" x14ac:dyDescent="0.25">
      <c r="C35" s="242"/>
      <c r="D35" s="242"/>
      <c r="E35" s="242"/>
      <c r="F35" s="242"/>
      <c r="I35" s="222"/>
      <c r="J35" s="222"/>
      <c r="K35" s="222"/>
      <c r="L35" s="222"/>
      <c r="AO35" s="258">
        <v>22876.188537117905</v>
      </c>
      <c r="AP35" s="255" t="s">
        <v>293</v>
      </c>
      <c r="BI35" s="223">
        <f>BI34*1.03</f>
        <v>12430.848086373695</v>
      </c>
    </row>
    <row r="36" spans="3:64" x14ac:dyDescent="0.25">
      <c r="I36" s="222"/>
      <c r="J36" s="222"/>
      <c r="K36" s="222"/>
      <c r="L36" s="222"/>
      <c r="AO36" s="259">
        <f>AO34/AO35</f>
        <v>2.8934224752818936</v>
      </c>
      <c r="AP36" s="259" t="s">
        <v>294</v>
      </c>
    </row>
    <row r="37" spans="3:64" x14ac:dyDescent="0.25">
      <c r="C37" s="242"/>
      <c r="D37" s="242"/>
      <c r="E37" s="242"/>
      <c r="F37" s="242"/>
      <c r="I37" s="222"/>
      <c r="J37" s="222"/>
      <c r="K37" s="222"/>
      <c r="L37" s="222"/>
    </row>
    <row r="38" spans="3:64" x14ac:dyDescent="0.25">
      <c r="I38" s="222"/>
      <c r="J38" s="222"/>
      <c r="K38" s="222"/>
      <c r="L38" s="222"/>
    </row>
    <row r="39" spans="3:64" x14ac:dyDescent="0.25">
      <c r="C39" s="242"/>
      <c r="D39" s="242"/>
      <c r="E39" s="242"/>
      <c r="F39" s="242"/>
      <c r="I39" s="222"/>
      <c r="J39" s="222"/>
      <c r="K39" s="222"/>
      <c r="L39" s="222"/>
    </row>
    <row r="40" spans="3:64" x14ac:dyDescent="0.25">
      <c r="I40" s="222"/>
      <c r="J40" s="222"/>
      <c r="K40" s="222"/>
      <c r="L40" s="222"/>
    </row>
    <row r="41" spans="3:64" x14ac:dyDescent="0.25">
      <c r="C41" s="242"/>
      <c r="D41" s="242"/>
      <c r="E41" s="242"/>
      <c r="F41" s="242"/>
      <c r="I41" s="222"/>
      <c r="J41" s="222"/>
      <c r="K41" s="222"/>
      <c r="L41" s="222"/>
    </row>
    <row r="42" spans="3:64" x14ac:dyDescent="0.25">
      <c r="I42" s="222"/>
      <c r="J42" s="222"/>
      <c r="K42" s="222"/>
      <c r="L42" s="222"/>
    </row>
    <row r="43" spans="3:64" ht="14" x14ac:dyDescent="0.3">
      <c r="C43" s="242"/>
      <c r="D43" s="242"/>
      <c r="E43" s="242"/>
      <c r="F43" s="242"/>
      <c r="I43" s="222"/>
      <c r="J43" s="222"/>
      <c r="K43" s="222"/>
      <c r="L43" s="222"/>
      <c r="BB43" s="13">
        <f>41002</f>
        <v>41002</v>
      </c>
    </row>
    <row r="44" spans="3:64" ht="14" x14ac:dyDescent="0.3">
      <c r="BB44" s="13">
        <v>54669</v>
      </c>
    </row>
    <row r="45" spans="3:64" ht="14" x14ac:dyDescent="0.3">
      <c r="BB45" s="271">
        <f>(BB44-BB43)/2</f>
        <v>6833.5</v>
      </c>
    </row>
    <row r="46" spans="3:64" ht="14" x14ac:dyDescent="0.3">
      <c r="BB46" s="271">
        <f>BB43+BB45</f>
        <v>47835.5</v>
      </c>
    </row>
    <row r="47" spans="3:64" ht="14" x14ac:dyDescent="0.3">
      <c r="BB47" s="10">
        <v>27335</v>
      </c>
    </row>
    <row r="48" spans="3:64" ht="14" x14ac:dyDescent="0.3">
      <c r="BB48" s="271">
        <f>BB46-BB47</f>
        <v>20500.5</v>
      </c>
    </row>
  </sheetData>
  <mergeCells count="2">
    <mergeCell ref="N1:N3"/>
    <mergeCell ref="BQ2:BS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D43A-C77B-462E-9F94-8DA752FF02DE}">
  <dimension ref="B2:P12"/>
  <sheetViews>
    <sheetView workbookViewId="0">
      <selection activeCell="F12" sqref="F12"/>
    </sheetView>
  </sheetViews>
  <sheetFormatPr defaultRowHeight="14.5" x14ac:dyDescent="0.35"/>
  <cols>
    <col min="2" max="3" width="8.7265625" style="346"/>
  </cols>
  <sheetData>
    <row r="2" spans="2:16" ht="118.5" customHeight="1" x14ac:dyDescent="0.35">
      <c r="B2" s="654" t="s">
        <v>365</v>
      </c>
      <c r="C2" s="654"/>
      <c r="D2" s="654"/>
      <c r="E2" s="654"/>
      <c r="F2" s="654"/>
      <c r="G2" s="654"/>
      <c r="H2" s="654"/>
      <c r="I2" s="654"/>
      <c r="J2" s="654"/>
      <c r="K2" s="654"/>
      <c r="L2" s="654"/>
      <c r="M2" s="654"/>
      <c r="N2" s="654"/>
      <c r="O2" s="654"/>
      <c r="P2" s="654"/>
    </row>
    <row r="3" spans="2:16" ht="25.5" customHeight="1" x14ac:dyDescent="0.35">
      <c r="B3" s="494"/>
      <c r="C3" s="494"/>
      <c r="D3" s="494"/>
      <c r="E3" s="494"/>
      <c r="F3" s="494"/>
      <c r="G3" s="494"/>
      <c r="H3" s="494"/>
      <c r="I3" s="494"/>
      <c r="J3" s="494"/>
      <c r="K3" s="494"/>
      <c r="L3" s="494"/>
      <c r="M3" s="494"/>
      <c r="N3" s="494"/>
      <c r="O3" s="494"/>
      <c r="P3" s="494"/>
    </row>
    <row r="4" spans="2:16" ht="25.5" customHeight="1" x14ac:dyDescent="0.35">
      <c r="B4" s="494"/>
      <c r="C4" s="494" t="s">
        <v>481</v>
      </c>
      <c r="D4" s="494" t="s">
        <v>190</v>
      </c>
      <c r="E4" s="494" t="s">
        <v>258</v>
      </c>
      <c r="F4" s="494" t="s">
        <v>240</v>
      </c>
      <c r="G4" s="494"/>
      <c r="H4" s="649">
        <f>195/224</f>
        <v>0.8705357142857143</v>
      </c>
      <c r="I4" s="494"/>
      <c r="J4" s="494"/>
      <c r="K4" s="494"/>
      <c r="L4" s="494"/>
      <c r="M4" s="494"/>
      <c r="N4" s="494"/>
      <c r="O4" s="494"/>
      <c r="P4" s="494"/>
    </row>
    <row r="6" spans="2:16" x14ac:dyDescent="0.35">
      <c r="B6" s="346" t="s">
        <v>366</v>
      </c>
      <c r="F6" s="648">
        <f>'2425 Teacher Pay Scales'!K36</f>
        <v>48223</v>
      </c>
    </row>
    <row r="7" spans="2:16" x14ac:dyDescent="0.35">
      <c r="B7" s="346" t="s">
        <v>407</v>
      </c>
      <c r="C7" s="648">
        <f>'2425 GLEA '!E34*H4</f>
        <v>26373.75</v>
      </c>
      <c r="D7" s="648">
        <v>2384</v>
      </c>
      <c r="E7" s="648">
        <v>6356</v>
      </c>
      <c r="F7" s="648">
        <f>SUM(C7:E7)*2</f>
        <v>70227.5</v>
      </c>
    </row>
    <row r="8" spans="2:16" x14ac:dyDescent="0.35">
      <c r="B8" s="346" t="s">
        <v>482</v>
      </c>
      <c r="C8" s="648">
        <f>'2425 GLEA '!E27*H4*0.4</f>
        <v>8572.6875</v>
      </c>
      <c r="D8" s="648"/>
      <c r="E8" s="648">
        <v>2066</v>
      </c>
      <c r="F8" s="648">
        <f>SUM(C8:E8)</f>
        <v>10638.6875</v>
      </c>
    </row>
    <row r="9" spans="2:16" x14ac:dyDescent="0.35">
      <c r="B9" s="346" t="s">
        <v>483</v>
      </c>
      <c r="F9" s="648">
        <f>3798</f>
        <v>3798</v>
      </c>
    </row>
    <row r="10" spans="2:16" x14ac:dyDescent="0.35">
      <c r="B10" s="346" t="s">
        <v>165</v>
      </c>
      <c r="F10" s="648">
        <f>1113</f>
        <v>1113</v>
      </c>
    </row>
    <row r="12" spans="2:16" x14ac:dyDescent="0.35">
      <c r="F12" s="650">
        <f>SUM(F6:F10)</f>
        <v>134000.1875</v>
      </c>
    </row>
  </sheetData>
  <mergeCells count="1">
    <mergeCell ref="B2:P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AAE1-8A57-4E2E-AA73-242C687803AD}">
  <dimension ref="A1:X66"/>
  <sheetViews>
    <sheetView topLeftCell="A18" workbookViewId="0">
      <selection sqref="A1:XFD1048576"/>
    </sheetView>
  </sheetViews>
  <sheetFormatPr defaultRowHeight="14.5" x14ac:dyDescent="0.35"/>
  <cols>
    <col min="11" max="11" width="9.08984375" bestFit="1" customWidth="1"/>
  </cols>
  <sheetData>
    <row r="1" spans="1:24" ht="23" x14ac:dyDescent="0.5">
      <c r="A1" s="593" t="s">
        <v>408</v>
      </c>
      <c r="B1" s="594"/>
      <c r="C1" s="594"/>
      <c r="D1" s="594"/>
      <c r="E1" s="594"/>
      <c r="F1" s="594"/>
      <c r="G1" s="594"/>
      <c r="H1" s="594"/>
      <c r="I1" s="594"/>
      <c r="J1" s="594"/>
      <c r="K1" s="594"/>
      <c r="L1" s="594"/>
      <c r="M1" s="594"/>
      <c r="N1" s="594"/>
      <c r="O1" s="594"/>
      <c r="P1" s="594"/>
      <c r="Q1" s="594"/>
      <c r="R1" s="594"/>
      <c r="S1" s="595" t="s">
        <v>409</v>
      </c>
      <c r="T1" s="596"/>
      <c r="U1" s="659"/>
      <c r="V1" s="660"/>
      <c r="W1" s="463"/>
      <c r="X1" s="463"/>
    </row>
    <row r="2" spans="1:24" ht="24.5" x14ac:dyDescent="0.7">
      <c r="A2" s="597" t="s">
        <v>410</v>
      </c>
      <c r="B2" s="598"/>
      <c r="C2" s="598"/>
      <c r="D2" s="598"/>
      <c r="E2" s="598"/>
      <c r="F2" s="598"/>
      <c r="G2" s="598"/>
      <c r="H2" s="598"/>
      <c r="I2" s="598"/>
      <c r="J2" s="598"/>
      <c r="K2" s="598"/>
      <c r="L2" s="598"/>
      <c r="M2" s="598"/>
      <c r="N2" s="598"/>
      <c r="O2" s="598"/>
      <c r="P2" s="598"/>
      <c r="Q2" s="598"/>
      <c r="R2" s="598"/>
      <c r="S2" s="598"/>
      <c r="T2" s="599"/>
      <c r="U2" s="661"/>
      <c r="V2" s="662"/>
      <c r="W2" s="391"/>
      <c r="X2" s="391"/>
    </row>
    <row r="3" spans="1:24" ht="18" x14ac:dyDescent="0.5">
      <c r="A3" s="600" t="s">
        <v>179</v>
      </c>
      <c r="B3" s="601"/>
      <c r="C3" s="601"/>
      <c r="D3" s="601"/>
      <c r="E3" s="601"/>
      <c r="F3" s="601"/>
      <c r="G3" s="601"/>
      <c r="H3" s="601"/>
      <c r="I3" s="601"/>
      <c r="J3" s="601"/>
      <c r="K3" s="601"/>
      <c r="L3" s="601"/>
      <c r="M3" s="601"/>
      <c r="N3" s="601"/>
      <c r="O3" s="601"/>
      <c r="P3" s="601"/>
      <c r="Q3" s="601"/>
      <c r="R3" s="601"/>
      <c r="S3" s="601"/>
      <c r="T3" s="601"/>
      <c r="U3" s="662"/>
      <c r="V3" s="662"/>
      <c r="W3" s="391"/>
      <c r="X3" s="391"/>
    </row>
    <row r="4" spans="1:24" ht="15.5" x14ac:dyDescent="0.35">
      <c r="A4" s="602" t="s">
        <v>411</v>
      </c>
      <c r="B4" s="602"/>
      <c r="C4" s="602"/>
      <c r="D4" s="602"/>
      <c r="E4" s="602"/>
      <c r="F4" s="602"/>
      <c r="G4" s="603"/>
      <c r="H4" s="602"/>
      <c r="I4" s="602"/>
      <c r="J4" s="602"/>
      <c r="K4" s="602"/>
      <c r="L4" s="602"/>
      <c r="M4" s="602"/>
      <c r="N4" s="602"/>
      <c r="O4" s="602"/>
      <c r="P4" s="602"/>
      <c r="Q4" s="602"/>
      <c r="R4" s="602"/>
      <c r="S4" s="602"/>
      <c r="T4" s="602"/>
      <c r="U4" s="658"/>
      <c r="V4" s="658"/>
      <c r="W4" s="463"/>
      <c r="X4" s="463"/>
    </row>
    <row r="5" spans="1:24" ht="18" x14ac:dyDescent="0.5">
      <c r="A5" s="603" t="s">
        <v>412</v>
      </c>
      <c r="B5" s="601"/>
      <c r="C5" s="601"/>
      <c r="D5" s="601"/>
      <c r="E5" s="601"/>
      <c r="F5" s="601"/>
      <c r="G5" s="601"/>
      <c r="H5" s="601"/>
      <c r="I5" s="601"/>
      <c r="J5" s="601"/>
      <c r="K5" s="601"/>
      <c r="L5" s="601"/>
      <c r="M5" s="601"/>
      <c r="N5" s="601"/>
      <c r="O5" s="601"/>
      <c r="P5" s="601"/>
      <c r="Q5" s="601"/>
      <c r="R5" s="601"/>
      <c r="S5" s="601"/>
      <c r="T5" s="601"/>
      <c r="U5" s="662"/>
      <c r="V5" s="662"/>
      <c r="W5" s="391"/>
      <c r="X5" s="391"/>
    </row>
    <row r="6" spans="1:24" ht="18.5" thickBot="1" x14ac:dyDescent="0.55000000000000004">
      <c r="A6" s="602" t="s">
        <v>343</v>
      </c>
      <c r="B6" s="604"/>
      <c r="C6" s="604"/>
      <c r="D6" s="604"/>
      <c r="E6" s="604"/>
      <c r="F6" s="604"/>
      <c r="G6" s="604"/>
      <c r="H6" s="604"/>
      <c r="I6" s="604"/>
      <c r="J6" s="604"/>
      <c r="K6" s="604"/>
      <c r="L6" s="604"/>
      <c r="M6" s="604"/>
      <c r="N6" s="604"/>
      <c r="O6" s="604"/>
      <c r="P6" s="604"/>
      <c r="Q6" s="604"/>
      <c r="R6" s="604"/>
      <c r="S6" s="604"/>
      <c r="T6" s="604"/>
      <c r="U6" s="391"/>
      <c r="V6" s="605" t="s">
        <v>190</v>
      </c>
      <c r="W6" s="605">
        <v>1</v>
      </c>
      <c r="X6" s="605">
        <v>2</v>
      </c>
    </row>
    <row r="7" spans="1:24" ht="15.5" x14ac:dyDescent="0.45">
      <c r="A7" s="606"/>
      <c r="B7" s="663" t="s">
        <v>186</v>
      </c>
      <c r="C7" s="663"/>
      <c r="D7" s="606"/>
      <c r="E7" s="607" t="s">
        <v>413</v>
      </c>
      <c r="F7" s="606"/>
      <c r="G7" s="606"/>
      <c r="H7" s="606"/>
      <c r="I7" s="606"/>
      <c r="J7" s="606"/>
      <c r="K7" s="606"/>
      <c r="L7" s="606"/>
      <c r="M7" s="606"/>
      <c r="N7" s="608" t="s">
        <v>414</v>
      </c>
      <c r="O7" s="609"/>
      <c r="P7" s="609"/>
      <c r="Q7" s="610"/>
      <c r="R7" s="610"/>
      <c r="S7" s="610"/>
      <c r="T7" s="611"/>
      <c r="U7" s="429"/>
      <c r="V7" s="429">
        <v>0</v>
      </c>
      <c r="W7" s="429">
        <v>0</v>
      </c>
      <c r="X7" s="429">
        <v>0</v>
      </c>
    </row>
    <row r="8" spans="1:24" ht="15.5" x14ac:dyDescent="0.45">
      <c r="A8" s="429"/>
      <c r="B8" s="429" t="s">
        <v>190</v>
      </c>
      <c r="C8" s="429">
        <v>6396</v>
      </c>
      <c r="D8" s="429"/>
      <c r="E8" s="612" t="s">
        <v>191</v>
      </c>
      <c r="F8" s="429"/>
      <c r="G8" s="429"/>
      <c r="H8" s="429"/>
      <c r="I8" s="429"/>
      <c r="J8" s="429"/>
      <c r="K8" s="429"/>
      <c r="L8" s="429"/>
      <c r="M8" s="429"/>
      <c r="N8" s="429"/>
      <c r="O8" s="429"/>
      <c r="P8" s="429"/>
      <c r="Q8" s="429"/>
      <c r="R8" s="429"/>
      <c r="S8" s="429"/>
      <c r="T8" s="429"/>
      <c r="U8" s="429"/>
      <c r="V8" s="613">
        <v>6396</v>
      </c>
      <c r="W8" s="429">
        <v>0</v>
      </c>
      <c r="X8" s="429">
        <v>0</v>
      </c>
    </row>
    <row r="9" spans="1:24" ht="15.5" x14ac:dyDescent="0.45">
      <c r="A9" s="429"/>
      <c r="B9" s="429">
        <v>6396</v>
      </c>
      <c r="C9" s="429">
        <v>9100</v>
      </c>
      <c r="D9" s="429"/>
      <c r="E9" s="429">
        <v>6396</v>
      </c>
      <c r="F9" s="614" t="s">
        <v>193</v>
      </c>
      <c r="G9" s="429">
        <v>0</v>
      </c>
      <c r="H9" s="614" t="s">
        <v>194</v>
      </c>
      <c r="I9" s="429" t="s">
        <v>181</v>
      </c>
      <c r="J9" s="429"/>
      <c r="K9" s="429"/>
      <c r="L9" s="429"/>
      <c r="M9" s="429"/>
      <c r="N9" s="429"/>
      <c r="O9" s="429"/>
      <c r="P9" s="429"/>
      <c r="Q9" s="614" t="s">
        <v>415</v>
      </c>
      <c r="R9" s="429"/>
      <c r="S9" s="429">
        <v>0</v>
      </c>
      <c r="T9" s="614" t="s">
        <v>194</v>
      </c>
      <c r="U9" s="429"/>
      <c r="V9" s="613">
        <v>9100</v>
      </c>
      <c r="W9" s="429">
        <v>0</v>
      </c>
      <c r="X9" s="429">
        <v>0.13800000000000001</v>
      </c>
    </row>
    <row r="10" spans="1:24" ht="15.5" x14ac:dyDescent="0.45">
      <c r="A10" s="429"/>
      <c r="B10" s="429">
        <v>9100</v>
      </c>
      <c r="C10" s="429">
        <v>50270</v>
      </c>
      <c r="D10" s="429"/>
      <c r="E10" s="429">
        <v>6396</v>
      </c>
      <c r="F10" s="614" t="s">
        <v>193</v>
      </c>
      <c r="G10" s="429">
        <v>0</v>
      </c>
      <c r="H10" s="614" t="s">
        <v>194</v>
      </c>
      <c r="I10" s="429">
        <v>2704</v>
      </c>
      <c r="J10" s="429" t="s">
        <v>193</v>
      </c>
      <c r="K10" s="429">
        <v>0</v>
      </c>
      <c r="L10" s="429" t="s">
        <v>194</v>
      </c>
      <c r="M10" s="429"/>
      <c r="N10" s="429"/>
      <c r="O10" s="429"/>
      <c r="P10" s="429"/>
      <c r="Q10" s="614" t="s">
        <v>415</v>
      </c>
      <c r="R10" s="429"/>
      <c r="S10" s="429">
        <v>13.8</v>
      </c>
      <c r="T10" s="614" t="s">
        <v>194</v>
      </c>
      <c r="U10" s="429"/>
      <c r="V10" s="613">
        <v>50270</v>
      </c>
      <c r="W10" s="429">
        <v>0</v>
      </c>
      <c r="X10" s="429">
        <v>0.13800000000000001</v>
      </c>
    </row>
    <row r="11" spans="1:24" ht="16" thickBot="1" x14ac:dyDescent="0.5">
      <c r="A11" s="615"/>
      <c r="B11" s="429">
        <v>50270</v>
      </c>
      <c r="C11" s="615" t="s">
        <v>192</v>
      </c>
      <c r="D11" s="615"/>
      <c r="E11" s="615">
        <v>6396</v>
      </c>
      <c r="F11" s="616" t="s">
        <v>193</v>
      </c>
      <c r="G11" s="615">
        <v>0</v>
      </c>
      <c r="H11" s="616" t="s">
        <v>194</v>
      </c>
      <c r="I11" s="429">
        <v>2704</v>
      </c>
      <c r="J11" s="615" t="s">
        <v>193</v>
      </c>
      <c r="K11" s="615">
        <v>0</v>
      </c>
      <c r="L11" s="615" t="s">
        <v>194</v>
      </c>
      <c r="M11" s="615">
        <v>41170</v>
      </c>
      <c r="N11" s="615" t="s">
        <v>193</v>
      </c>
      <c r="O11" s="615">
        <v>13.8</v>
      </c>
      <c r="P11" s="615" t="s">
        <v>194</v>
      </c>
      <c r="Q11" s="616" t="s">
        <v>415</v>
      </c>
      <c r="R11" s="615"/>
      <c r="S11" s="615">
        <v>13.8</v>
      </c>
      <c r="T11" s="616" t="s">
        <v>194</v>
      </c>
      <c r="U11" s="664"/>
      <c r="V11" s="664"/>
      <c r="W11" s="429"/>
      <c r="X11" s="429"/>
    </row>
    <row r="12" spans="1:24" ht="16" thickBot="1" x14ac:dyDescent="0.5">
      <c r="A12" s="617"/>
      <c r="B12" s="618"/>
      <c r="C12" s="618"/>
      <c r="D12" s="618"/>
      <c r="E12" s="618"/>
      <c r="F12" s="618"/>
      <c r="G12" s="618"/>
      <c r="H12" s="618"/>
      <c r="I12" s="618"/>
      <c r="J12" s="618"/>
      <c r="K12" s="618"/>
      <c r="L12" s="618"/>
      <c r="M12" s="618"/>
      <c r="N12" s="618"/>
      <c r="O12" s="618"/>
      <c r="P12" s="618"/>
      <c r="Q12" s="618"/>
      <c r="R12" s="618"/>
      <c r="S12" s="618"/>
      <c r="T12" s="618"/>
      <c r="U12" s="429"/>
      <c r="V12" s="612" t="s">
        <v>201</v>
      </c>
      <c r="W12" s="429">
        <v>0.24099999999999999</v>
      </c>
      <c r="X12" s="429"/>
    </row>
    <row r="13" spans="1:24" ht="16" thickTop="1" x14ac:dyDescent="0.35">
      <c r="A13" s="619"/>
      <c r="B13" s="620"/>
      <c r="C13" s="620"/>
      <c r="D13" s="621"/>
      <c r="E13" s="665" t="s">
        <v>199</v>
      </c>
      <c r="F13" s="665"/>
      <c r="G13" s="665"/>
      <c r="H13" s="665"/>
      <c r="I13" s="665"/>
      <c r="J13" s="665"/>
      <c r="K13" s="665"/>
      <c r="L13" s="621"/>
      <c r="M13" s="666" t="s">
        <v>200</v>
      </c>
      <c r="N13" s="665"/>
      <c r="O13" s="665"/>
      <c r="P13" s="665"/>
      <c r="Q13" s="665"/>
      <c r="R13" s="665"/>
      <c r="S13" s="665"/>
      <c r="T13" s="622"/>
      <c r="U13" s="657"/>
      <c r="V13" s="658"/>
      <c r="W13" s="463"/>
      <c r="X13" s="463"/>
    </row>
    <row r="14" spans="1:24" ht="15.5" x14ac:dyDescent="0.35">
      <c r="A14" s="655" t="s">
        <v>416</v>
      </c>
      <c r="B14" s="656"/>
      <c r="C14" s="625" t="s">
        <v>203</v>
      </c>
      <c r="D14" s="625"/>
      <c r="E14" s="626" t="s">
        <v>204</v>
      </c>
      <c r="F14" s="625"/>
      <c r="G14" s="626" t="s">
        <v>205</v>
      </c>
      <c r="H14" s="625"/>
      <c r="I14" s="626" t="s">
        <v>201</v>
      </c>
      <c r="J14" s="625"/>
      <c r="K14" s="626" t="s">
        <v>206</v>
      </c>
      <c r="L14" s="624"/>
      <c r="M14" s="627" t="s">
        <v>204</v>
      </c>
      <c r="N14" s="625"/>
      <c r="O14" s="625"/>
      <c r="P14" s="625"/>
      <c r="Q14" s="626" t="s">
        <v>205</v>
      </c>
      <c r="R14" s="625"/>
      <c r="S14" s="626" t="s">
        <v>206</v>
      </c>
      <c r="T14" s="628"/>
      <c r="U14" s="657"/>
      <c r="V14" s="658"/>
      <c r="W14" s="463"/>
      <c r="X14" s="463"/>
    </row>
    <row r="15" spans="1:24" ht="16" thickBot="1" x14ac:dyDescent="0.4">
      <c r="A15" s="629"/>
      <c r="B15" s="630"/>
      <c r="C15" s="630"/>
      <c r="D15" s="630"/>
      <c r="E15" s="630"/>
      <c r="F15" s="630"/>
      <c r="G15" s="630"/>
      <c r="H15" s="630"/>
      <c r="I15" s="630"/>
      <c r="J15" s="630"/>
      <c r="K15" s="630"/>
      <c r="L15" s="630"/>
      <c r="M15" s="631"/>
      <c r="N15" s="630"/>
      <c r="O15" s="630"/>
      <c r="P15" s="630"/>
      <c r="Q15" s="630"/>
      <c r="R15" s="630"/>
      <c r="S15" s="630"/>
      <c r="T15" s="632"/>
      <c r="U15" s="657"/>
      <c r="V15" s="658"/>
      <c r="W15" s="463"/>
      <c r="X15" s="463"/>
    </row>
    <row r="16" spans="1:24" ht="15.5" x14ac:dyDescent="0.35">
      <c r="A16" s="623"/>
      <c r="B16" s="463"/>
      <c r="C16" s="633"/>
      <c r="D16" s="463"/>
      <c r="E16" s="463"/>
      <c r="F16" s="463"/>
      <c r="G16" s="463"/>
      <c r="H16" s="463"/>
      <c r="I16" s="463"/>
      <c r="J16" s="463"/>
      <c r="K16" s="463"/>
      <c r="L16" s="463"/>
      <c r="M16" s="634"/>
      <c r="N16" s="463"/>
      <c r="O16" s="463"/>
      <c r="P16" s="463"/>
      <c r="Q16" s="463"/>
      <c r="R16" s="463"/>
      <c r="S16" s="463"/>
      <c r="T16" s="635"/>
      <c r="U16" s="657"/>
      <c r="V16" s="658"/>
      <c r="W16" s="463"/>
      <c r="X16" s="463"/>
    </row>
    <row r="17" spans="1:24" ht="15.5" x14ac:dyDescent="0.35">
      <c r="A17" s="636" t="s">
        <v>417</v>
      </c>
      <c r="B17" s="463"/>
      <c r="C17" s="633" t="s">
        <v>418</v>
      </c>
      <c r="D17" s="637"/>
      <c r="E17" s="638">
        <v>20435</v>
      </c>
      <c r="F17" s="463"/>
      <c r="G17" s="639">
        <v>1564</v>
      </c>
      <c r="H17" s="463"/>
      <c r="I17" s="639">
        <v>4925</v>
      </c>
      <c r="J17" s="463"/>
      <c r="K17" s="639">
        <v>26924</v>
      </c>
      <c r="L17" s="463"/>
      <c r="M17" s="640">
        <v>20435</v>
      </c>
      <c r="N17" s="463"/>
      <c r="O17" s="463"/>
      <c r="P17" s="463"/>
      <c r="Q17" s="639">
        <v>1564</v>
      </c>
      <c r="R17" s="463"/>
      <c r="S17" s="639">
        <v>21999</v>
      </c>
      <c r="T17" s="635"/>
      <c r="U17" s="657"/>
      <c r="V17" s="658"/>
      <c r="W17" s="463"/>
      <c r="X17" s="463"/>
    </row>
    <row r="18" spans="1:24" ht="15.5" x14ac:dyDescent="0.35">
      <c r="A18" s="636" t="s">
        <v>417</v>
      </c>
      <c r="B18" s="633"/>
      <c r="C18" s="633" t="s">
        <v>419</v>
      </c>
      <c r="D18" s="637"/>
      <c r="E18" s="638">
        <v>22183</v>
      </c>
      <c r="F18" s="463"/>
      <c r="G18" s="639">
        <v>1805</v>
      </c>
      <c r="H18" s="463"/>
      <c r="I18" s="639">
        <v>5346</v>
      </c>
      <c r="J18" s="463"/>
      <c r="K18" s="639">
        <v>29334</v>
      </c>
      <c r="L18" s="463"/>
      <c r="M18" s="640">
        <v>22183</v>
      </c>
      <c r="N18" s="463"/>
      <c r="O18" s="463"/>
      <c r="P18" s="463"/>
      <c r="Q18" s="639">
        <v>1805</v>
      </c>
      <c r="R18" s="463"/>
      <c r="S18" s="639">
        <v>23988</v>
      </c>
      <c r="T18" s="635"/>
      <c r="U18" s="657"/>
      <c r="V18" s="658"/>
      <c r="W18" s="463"/>
      <c r="X18" s="463"/>
    </row>
    <row r="19" spans="1:24" ht="15.5" x14ac:dyDescent="0.35">
      <c r="A19" s="636" t="s">
        <v>417</v>
      </c>
      <c r="B19" s="633" t="s">
        <v>420</v>
      </c>
      <c r="C19" s="633" t="s">
        <v>421</v>
      </c>
      <c r="D19" s="637"/>
      <c r="E19" s="638">
        <v>22366</v>
      </c>
      <c r="F19" s="463"/>
      <c r="G19" s="639">
        <v>1831</v>
      </c>
      <c r="H19" s="463"/>
      <c r="I19" s="639">
        <v>5390</v>
      </c>
      <c r="J19" s="463"/>
      <c r="K19" s="641">
        <v>29587</v>
      </c>
      <c r="L19" s="463"/>
      <c r="M19" s="640">
        <v>22366</v>
      </c>
      <c r="N19" s="463"/>
      <c r="O19" s="463"/>
      <c r="P19" s="463"/>
      <c r="Q19" s="639">
        <v>1831</v>
      </c>
      <c r="R19" s="463"/>
      <c r="S19" s="639">
        <v>24197</v>
      </c>
      <c r="T19" s="635"/>
      <c r="U19" s="657"/>
      <c r="V19" s="658"/>
      <c r="W19" s="463"/>
      <c r="X19" s="463"/>
    </row>
    <row r="20" spans="1:24" ht="15.5" x14ac:dyDescent="0.35">
      <c r="A20" s="623"/>
      <c r="B20" s="633" t="s">
        <v>420</v>
      </c>
      <c r="C20" s="633" t="s">
        <v>422</v>
      </c>
      <c r="D20" s="463"/>
      <c r="E20" s="639">
        <v>22509</v>
      </c>
      <c r="F20" s="463"/>
      <c r="G20" s="639">
        <v>1850</v>
      </c>
      <c r="H20" s="463"/>
      <c r="I20" s="639">
        <v>5425</v>
      </c>
      <c r="J20" s="463"/>
      <c r="K20" s="639">
        <v>29784</v>
      </c>
      <c r="L20" s="463"/>
      <c r="M20" s="640">
        <v>22509</v>
      </c>
      <c r="N20" s="463"/>
      <c r="O20" s="463"/>
      <c r="P20" s="463"/>
      <c r="Q20" s="639">
        <v>1850</v>
      </c>
      <c r="R20" s="463"/>
      <c r="S20" s="639">
        <v>24359</v>
      </c>
      <c r="T20" s="635"/>
      <c r="U20" s="657"/>
      <c r="V20" s="658"/>
      <c r="W20" s="463"/>
      <c r="X20" s="463"/>
    </row>
    <row r="21" spans="1:24" ht="15.5" x14ac:dyDescent="0.35">
      <c r="A21" s="623"/>
      <c r="B21" s="633" t="s">
        <v>420</v>
      </c>
      <c r="C21" s="633" t="s">
        <v>423</v>
      </c>
      <c r="D21" s="463"/>
      <c r="E21" s="639">
        <v>22603</v>
      </c>
      <c r="F21" s="463"/>
      <c r="G21" s="639">
        <v>1863</v>
      </c>
      <c r="H21" s="463"/>
      <c r="I21" s="639">
        <v>5447</v>
      </c>
      <c r="J21" s="463"/>
      <c r="K21" s="639">
        <v>29913</v>
      </c>
      <c r="L21" s="463"/>
      <c r="M21" s="640">
        <v>22603</v>
      </c>
      <c r="N21" s="463"/>
      <c r="O21" s="463"/>
      <c r="P21" s="463"/>
      <c r="Q21" s="639">
        <v>1863</v>
      </c>
      <c r="R21" s="463"/>
      <c r="S21" s="639">
        <v>24466</v>
      </c>
      <c r="T21" s="635"/>
      <c r="U21" s="657"/>
      <c r="V21" s="658"/>
      <c r="W21" s="463"/>
      <c r="X21" s="463"/>
    </row>
    <row r="22" spans="1:24" ht="15.5" x14ac:dyDescent="0.35">
      <c r="A22" s="623" t="s">
        <v>424</v>
      </c>
      <c r="B22" s="633" t="s">
        <v>420</v>
      </c>
      <c r="C22" s="633" t="s">
        <v>425</v>
      </c>
      <c r="D22" s="637"/>
      <c r="E22" s="638">
        <v>22737</v>
      </c>
      <c r="F22" s="463"/>
      <c r="G22" s="639">
        <v>1882</v>
      </c>
      <c r="H22" s="463"/>
      <c r="I22" s="639">
        <v>5480</v>
      </c>
      <c r="J22" s="463"/>
      <c r="K22" s="639">
        <v>30099</v>
      </c>
      <c r="L22" s="463"/>
      <c r="M22" s="640">
        <v>22737</v>
      </c>
      <c r="N22" s="463"/>
      <c r="O22" s="463"/>
      <c r="P22" s="463"/>
      <c r="Q22" s="639">
        <v>1882</v>
      </c>
      <c r="R22" s="463"/>
      <c r="S22" s="639">
        <v>24619</v>
      </c>
      <c r="T22" s="635"/>
      <c r="U22" s="657"/>
      <c r="V22" s="658"/>
      <c r="W22" s="463"/>
      <c r="X22" s="463"/>
    </row>
    <row r="23" spans="1:24" ht="15.5" x14ac:dyDescent="0.35">
      <c r="A23" s="623" t="s">
        <v>424</v>
      </c>
      <c r="B23" s="633"/>
      <c r="C23" s="633" t="s">
        <v>426</v>
      </c>
      <c r="D23" s="463"/>
      <c r="E23" s="639">
        <v>23107</v>
      </c>
      <c r="F23" s="463"/>
      <c r="G23" s="639">
        <v>1933</v>
      </c>
      <c r="H23" s="463"/>
      <c r="I23" s="639">
        <v>5569</v>
      </c>
      <c r="J23" s="463"/>
      <c r="K23" s="639">
        <v>30609</v>
      </c>
      <c r="L23" s="463"/>
      <c r="M23" s="640">
        <v>23107</v>
      </c>
      <c r="N23" s="463"/>
      <c r="O23" s="463"/>
      <c r="P23" s="463"/>
      <c r="Q23" s="639">
        <v>1933</v>
      </c>
      <c r="R23" s="463"/>
      <c r="S23" s="639">
        <v>25040</v>
      </c>
      <c r="T23" s="635"/>
      <c r="U23" s="657"/>
      <c r="V23" s="658"/>
      <c r="W23" s="463"/>
      <c r="X23" s="463"/>
    </row>
    <row r="24" spans="1:24" ht="15.5" x14ac:dyDescent="0.35">
      <c r="A24" s="623" t="s">
        <v>424</v>
      </c>
      <c r="B24" s="633"/>
      <c r="C24" s="633" t="s">
        <v>427</v>
      </c>
      <c r="D24" s="463"/>
      <c r="E24" s="639">
        <v>23521</v>
      </c>
      <c r="F24" s="463"/>
      <c r="G24" s="639">
        <v>1990</v>
      </c>
      <c r="H24" s="463"/>
      <c r="I24" s="639">
        <v>5669</v>
      </c>
      <c r="J24" s="463"/>
      <c r="K24" s="639">
        <v>31180</v>
      </c>
      <c r="L24" s="463"/>
      <c r="M24" s="640">
        <v>23521</v>
      </c>
      <c r="N24" s="463"/>
      <c r="O24" s="463"/>
      <c r="P24" s="463"/>
      <c r="Q24" s="639">
        <v>1990</v>
      </c>
      <c r="R24" s="463"/>
      <c r="S24" s="639">
        <v>25511</v>
      </c>
      <c r="T24" s="635"/>
      <c r="U24" s="657"/>
      <c r="V24" s="658"/>
      <c r="W24" s="463"/>
      <c r="X24" s="463"/>
    </row>
    <row r="25" spans="1:24" ht="15.5" x14ac:dyDescent="0.35">
      <c r="A25" s="623" t="s">
        <v>424</v>
      </c>
      <c r="B25" s="633" t="s">
        <v>428</v>
      </c>
      <c r="C25" s="633" t="s">
        <v>429</v>
      </c>
      <c r="D25" s="637"/>
      <c r="E25" s="638">
        <v>23893</v>
      </c>
      <c r="F25" s="463"/>
      <c r="G25" s="639">
        <v>2041</v>
      </c>
      <c r="H25" s="463"/>
      <c r="I25" s="639">
        <v>5758</v>
      </c>
      <c r="J25" s="463"/>
      <c r="K25" s="639">
        <v>31692</v>
      </c>
      <c r="L25" s="463"/>
      <c r="M25" s="640">
        <v>23893</v>
      </c>
      <c r="N25" s="463"/>
      <c r="O25" s="463"/>
      <c r="P25" s="463"/>
      <c r="Q25" s="639">
        <v>2041</v>
      </c>
      <c r="R25" s="463"/>
      <c r="S25" s="639">
        <v>25934</v>
      </c>
      <c r="T25" s="635"/>
      <c r="U25" s="657"/>
      <c r="V25" s="658"/>
      <c r="W25" s="463"/>
      <c r="X25" s="463"/>
    </row>
    <row r="26" spans="1:24" ht="15.5" x14ac:dyDescent="0.35">
      <c r="A26" s="623"/>
      <c r="B26" s="633" t="s">
        <v>428</v>
      </c>
      <c r="C26" s="633" t="s">
        <v>430</v>
      </c>
      <c r="D26" s="463"/>
      <c r="E26" s="639">
        <v>23931</v>
      </c>
      <c r="F26" s="463"/>
      <c r="G26" s="639">
        <v>2047</v>
      </c>
      <c r="H26" s="463"/>
      <c r="I26" s="639">
        <v>5767</v>
      </c>
      <c r="J26" s="463"/>
      <c r="K26" s="639">
        <v>31745</v>
      </c>
      <c r="L26" s="463"/>
      <c r="M26" s="640">
        <v>23931</v>
      </c>
      <c r="N26" s="463"/>
      <c r="O26" s="463"/>
      <c r="P26" s="463"/>
      <c r="Q26" s="639">
        <v>2047</v>
      </c>
      <c r="R26" s="463"/>
      <c r="S26" s="639">
        <v>25978</v>
      </c>
      <c r="T26" s="635"/>
      <c r="U26" s="657"/>
      <c r="V26" s="658"/>
      <c r="W26" s="463"/>
      <c r="X26" s="463"/>
    </row>
    <row r="27" spans="1:24" ht="15.5" x14ac:dyDescent="0.35">
      <c r="A27" s="623"/>
      <c r="B27" s="633" t="s">
        <v>428</v>
      </c>
      <c r="C27" s="633" t="s">
        <v>431</v>
      </c>
      <c r="D27" s="463"/>
      <c r="E27" s="639">
        <v>24619</v>
      </c>
      <c r="F27" s="463"/>
      <c r="G27" s="639">
        <v>2142</v>
      </c>
      <c r="H27" s="463"/>
      <c r="I27" s="639">
        <v>5933</v>
      </c>
      <c r="J27" s="463"/>
      <c r="K27" s="639">
        <v>32694</v>
      </c>
      <c r="L27" s="463"/>
      <c r="M27" s="640">
        <v>24619</v>
      </c>
      <c r="N27" s="463"/>
      <c r="O27" s="463"/>
      <c r="P27" s="463"/>
      <c r="Q27" s="639">
        <v>2142</v>
      </c>
      <c r="R27" s="463"/>
      <c r="S27" s="639">
        <v>26761</v>
      </c>
      <c r="T27" s="635"/>
      <c r="U27" s="657"/>
      <c r="V27" s="658"/>
      <c r="W27" s="463"/>
      <c r="X27" s="463"/>
    </row>
    <row r="28" spans="1:24" ht="15.5" x14ac:dyDescent="0.35">
      <c r="A28" s="623" t="s">
        <v>432</v>
      </c>
      <c r="B28" s="633" t="s">
        <v>428</v>
      </c>
      <c r="C28" s="633" t="s">
        <v>433</v>
      </c>
      <c r="D28" s="637"/>
      <c r="E28" s="638">
        <v>25119</v>
      </c>
      <c r="F28" s="463"/>
      <c r="G28" s="639">
        <v>2211</v>
      </c>
      <c r="H28" s="463"/>
      <c r="I28" s="639">
        <v>6054</v>
      </c>
      <c r="J28" s="463"/>
      <c r="K28" s="639">
        <v>33384</v>
      </c>
      <c r="L28" s="463"/>
      <c r="M28" s="640">
        <v>25119</v>
      </c>
      <c r="N28" s="463"/>
      <c r="O28" s="463"/>
      <c r="P28" s="463"/>
      <c r="Q28" s="639">
        <v>2211</v>
      </c>
      <c r="R28" s="463"/>
      <c r="S28" s="639">
        <v>27330</v>
      </c>
      <c r="T28" s="635"/>
      <c r="U28" s="657"/>
      <c r="V28" s="658"/>
      <c r="W28" s="463"/>
      <c r="X28" s="463"/>
    </row>
    <row r="29" spans="1:24" ht="15.5" x14ac:dyDescent="0.35">
      <c r="A29" s="623" t="s">
        <v>432</v>
      </c>
      <c r="B29" s="633"/>
      <c r="C29" s="633" t="s">
        <v>434</v>
      </c>
      <c r="D29" s="463"/>
      <c r="E29" s="639">
        <v>25961</v>
      </c>
      <c r="F29" s="463"/>
      <c r="G29" s="639">
        <v>2327</v>
      </c>
      <c r="H29" s="463"/>
      <c r="I29" s="639">
        <v>6257</v>
      </c>
      <c r="J29" s="463"/>
      <c r="K29" s="639">
        <v>34545</v>
      </c>
      <c r="L29" s="463"/>
      <c r="M29" s="640">
        <v>25961</v>
      </c>
      <c r="N29" s="463"/>
      <c r="O29" s="463"/>
      <c r="P29" s="463"/>
      <c r="Q29" s="639">
        <v>2327</v>
      </c>
      <c r="R29" s="463"/>
      <c r="S29" s="639">
        <v>28288</v>
      </c>
      <c r="T29" s="635"/>
      <c r="U29" s="657"/>
      <c r="V29" s="658"/>
      <c r="W29" s="463"/>
      <c r="X29" s="463"/>
    </row>
    <row r="30" spans="1:24" ht="15.5" x14ac:dyDescent="0.35">
      <c r="A30" s="623" t="s">
        <v>432</v>
      </c>
      <c r="B30" s="633"/>
      <c r="C30" s="633" t="s">
        <v>435</v>
      </c>
      <c r="D30" s="463"/>
      <c r="E30" s="639">
        <v>26884</v>
      </c>
      <c r="F30" s="463"/>
      <c r="G30" s="639">
        <v>2454</v>
      </c>
      <c r="H30" s="463"/>
      <c r="I30" s="639">
        <v>6479</v>
      </c>
      <c r="J30" s="463"/>
      <c r="K30" s="639">
        <v>35817</v>
      </c>
      <c r="L30" s="463"/>
      <c r="M30" s="640">
        <v>26884</v>
      </c>
      <c r="N30" s="463"/>
      <c r="O30" s="463"/>
      <c r="P30" s="463"/>
      <c r="Q30" s="639">
        <v>2454</v>
      </c>
      <c r="R30" s="463"/>
      <c r="S30" s="639">
        <v>29338</v>
      </c>
      <c r="T30" s="635"/>
      <c r="U30" s="657"/>
      <c r="V30" s="658"/>
      <c r="W30" s="463"/>
      <c r="X30" s="463"/>
    </row>
    <row r="31" spans="1:24" ht="15.5" x14ac:dyDescent="0.35">
      <c r="A31" s="623" t="s">
        <v>432</v>
      </c>
      <c r="B31" s="633" t="s">
        <v>436</v>
      </c>
      <c r="C31" s="633" t="s">
        <v>437</v>
      </c>
      <c r="D31" s="637"/>
      <c r="E31" s="638">
        <v>27803</v>
      </c>
      <c r="F31" s="463"/>
      <c r="G31" s="639">
        <v>2581</v>
      </c>
      <c r="H31" s="463"/>
      <c r="I31" s="639">
        <v>6701</v>
      </c>
      <c r="J31" s="463"/>
      <c r="K31" s="639">
        <v>37085</v>
      </c>
      <c r="L31" s="463"/>
      <c r="M31" s="640">
        <v>27803</v>
      </c>
      <c r="N31" s="463"/>
      <c r="O31" s="463"/>
      <c r="P31" s="463"/>
      <c r="Q31" s="639">
        <v>2581</v>
      </c>
      <c r="R31" s="463"/>
      <c r="S31" s="639">
        <v>30384</v>
      </c>
      <c r="T31" s="635"/>
      <c r="U31" s="657"/>
      <c r="V31" s="658"/>
      <c r="W31" s="463"/>
      <c r="X31" s="463"/>
    </row>
    <row r="32" spans="1:24" ht="15.5" x14ac:dyDescent="0.35">
      <c r="A32" s="623"/>
      <c r="B32" s="633" t="s">
        <v>436</v>
      </c>
      <c r="C32" s="633" t="s">
        <v>438</v>
      </c>
      <c r="D32" s="463"/>
      <c r="E32" s="639">
        <v>28609</v>
      </c>
      <c r="F32" s="463"/>
      <c r="G32" s="639">
        <v>2692</v>
      </c>
      <c r="H32" s="463"/>
      <c r="I32" s="639">
        <v>6895</v>
      </c>
      <c r="J32" s="463"/>
      <c r="K32" s="639">
        <v>38196</v>
      </c>
      <c r="L32" s="463"/>
      <c r="M32" s="640">
        <v>28609</v>
      </c>
      <c r="N32" s="463"/>
      <c r="O32" s="463"/>
      <c r="P32" s="463"/>
      <c r="Q32" s="639">
        <v>2692</v>
      </c>
      <c r="R32" s="463"/>
      <c r="S32" s="639">
        <v>31301</v>
      </c>
      <c r="T32" s="635"/>
      <c r="U32" s="657"/>
      <c r="V32" s="658"/>
      <c r="W32" s="463"/>
      <c r="X32" s="463"/>
    </row>
    <row r="33" spans="1:24" ht="15.5" x14ac:dyDescent="0.35">
      <c r="A33" s="623"/>
      <c r="B33" s="633" t="s">
        <v>436</v>
      </c>
      <c r="C33" s="633" t="s">
        <v>439</v>
      </c>
      <c r="D33" s="463"/>
      <c r="E33" s="639">
        <v>29413</v>
      </c>
      <c r="F33" s="463"/>
      <c r="G33" s="639">
        <v>2803</v>
      </c>
      <c r="H33" s="463"/>
      <c r="I33" s="639">
        <v>7089</v>
      </c>
      <c r="J33" s="463"/>
      <c r="K33" s="639">
        <v>39305</v>
      </c>
      <c r="L33" s="463"/>
      <c r="M33" s="640">
        <v>29413</v>
      </c>
      <c r="N33" s="463"/>
      <c r="O33" s="463"/>
      <c r="P33" s="463"/>
      <c r="Q33" s="639">
        <v>2803</v>
      </c>
      <c r="R33" s="463"/>
      <c r="S33" s="639">
        <v>32216</v>
      </c>
      <c r="T33" s="635"/>
      <c r="U33" s="657"/>
      <c r="V33" s="658"/>
      <c r="W33" s="463"/>
      <c r="X33" s="463"/>
    </row>
    <row r="34" spans="1:24" ht="15.5" x14ac:dyDescent="0.35">
      <c r="A34" s="623" t="s">
        <v>440</v>
      </c>
      <c r="B34" s="633" t="s">
        <v>436</v>
      </c>
      <c r="C34" s="633" t="s">
        <v>441</v>
      </c>
      <c r="D34" s="637"/>
      <c r="E34" s="638">
        <v>30296</v>
      </c>
      <c r="F34" s="463"/>
      <c r="G34" s="639">
        <v>2925</v>
      </c>
      <c r="H34" s="463"/>
      <c r="I34" s="639">
        <v>7301</v>
      </c>
      <c r="J34" s="463"/>
      <c r="K34" s="639">
        <v>40522</v>
      </c>
      <c r="L34" s="463"/>
      <c r="M34" s="640">
        <v>30296</v>
      </c>
      <c r="N34" s="463"/>
      <c r="O34" s="463"/>
      <c r="P34" s="463"/>
      <c r="Q34" s="639">
        <v>2925</v>
      </c>
      <c r="R34" s="463"/>
      <c r="S34" s="639">
        <v>33221</v>
      </c>
      <c r="T34" s="635"/>
      <c r="U34" s="657"/>
      <c r="V34" s="658"/>
      <c r="W34" s="463"/>
      <c r="X34" s="463"/>
    </row>
    <row r="35" spans="1:24" ht="15.5" x14ac:dyDescent="0.35">
      <c r="A35" s="623" t="s">
        <v>440</v>
      </c>
      <c r="B35" s="633"/>
      <c r="C35" s="633" t="s">
        <v>442</v>
      </c>
      <c r="D35" s="463"/>
      <c r="E35" s="639">
        <v>31104</v>
      </c>
      <c r="F35" s="463"/>
      <c r="G35" s="639">
        <v>3037</v>
      </c>
      <c r="H35" s="463"/>
      <c r="I35" s="639">
        <v>7496</v>
      </c>
      <c r="J35" s="463"/>
      <c r="K35" s="639">
        <v>41637</v>
      </c>
      <c r="L35" s="463"/>
      <c r="M35" s="640">
        <v>31104</v>
      </c>
      <c r="N35" s="463"/>
      <c r="O35" s="463"/>
      <c r="P35" s="463"/>
      <c r="Q35" s="639">
        <v>3037</v>
      </c>
      <c r="R35" s="463"/>
      <c r="S35" s="639">
        <v>34141</v>
      </c>
      <c r="T35" s="635"/>
      <c r="U35" s="657"/>
      <c r="V35" s="658"/>
      <c r="W35" s="463"/>
      <c r="X35" s="463"/>
    </row>
    <row r="36" spans="1:24" ht="15.5" x14ac:dyDescent="0.35">
      <c r="A36" s="623" t="s">
        <v>440</v>
      </c>
      <c r="B36" s="633"/>
      <c r="C36" s="633" t="s">
        <v>443</v>
      </c>
      <c r="D36" s="463"/>
      <c r="E36" s="639">
        <v>32064</v>
      </c>
      <c r="F36" s="463"/>
      <c r="G36" s="639">
        <v>3169</v>
      </c>
      <c r="H36" s="463"/>
      <c r="I36" s="639">
        <v>7727</v>
      </c>
      <c r="J36" s="463"/>
      <c r="K36" s="639">
        <v>42960</v>
      </c>
      <c r="L36" s="463"/>
      <c r="M36" s="640">
        <v>32064</v>
      </c>
      <c r="N36" s="463"/>
      <c r="O36" s="463"/>
      <c r="P36" s="463"/>
      <c r="Q36" s="639">
        <v>3169</v>
      </c>
      <c r="R36" s="463"/>
      <c r="S36" s="639">
        <v>35233</v>
      </c>
      <c r="T36" s="635"/>
      <c r="U36" s="657"/>
      <c r="V36" s="658"/>
      <c r="W36" s="463"/>
      <c r="X36" s="463"/>
    </row>
    <row r="37" spans="1:24" ht="15.5" x14ac:dyDescent="0.35">
      <c r="A37" s="623" t="s">
        <v>440</v>
      </c>
      <c r="B37" s="633" t="s">
        <v>444</v>
      </c>
      <c r="C37" s="633" t="s">
        <v>445</v>
      </c>
      <c r="D37" s="637"/>
      <c r="E37" s="638">
        <v>33024</v>
      </c>
      <c r="F37" s="463"/>
      <c r="G37" s="639">
        <v>3302</v>
      </c>
      <c r="H37" s="463"/>
      <c r="I37" s="639">
        <v>7959</v>
      </c>
      <c r="J37" s="463"/>
      <c r="K37" s="639">
        <v>44285</v>
      </c>
      <c r="L37" s="463"/>
      <c r="M37" s="640">
        <v>33024</v>
      </c>
      <c r="N37" s="463"/>
      <c r="O37" s="463"/>
      <c r="P37" s="463"/>
      <c r="Q37" s="639">
        <v>3302</v>
      </c>
      <c r="R37" s="463"/>
      <c r="S37" s="639">
        <v>36326</v>
      </c>
      <c r="T37" s="635"/>
      <c r="U37" s="657"/>
      <c r="V37" s="658"/>
      <c r="W37" s="463"/>
      <c r="X37" s="463"/>
    </row>
    <row r="38" spans="1:24" ht="15.5" x14ac:dyDescent="0.35">
      <c r="A38" s="623"/>
      <c r="B38" s="633" t="s">
        <v>444</v>
      </c>
      <c r="C38" s="633" t="s">
        <v>446</v>
      </c>
      <c r="D38" s="463"/>
      <c r="E38" s="639">
        <v>34294</v>
      </c>
      <c r="F38" s="463"/>
      <c r="G38" s="639">
        <v>3477</v>
      </c>
      <c r="H38" s="463"/>
      <c r="I38" s="639">
        <v>8265</v>
      </c>
      <c r="J38" s="463"/>
      <c r="K38" s="639">
        <v>46036</v>
      </c>
      <c r="L38" s="463"/>
      <c r="M38" s="640">
        <v>34294</v>
      </c>
      <c r="N38" s="463"/>
      <c r="O38" s="463"/>
      <c r="P38" s="463"/>
      <c r="Q38" s="639">
        <v>3477</v>
      </c>
      <c r="R38" s="463"/>
      <c r="S38" s="639">
        <v>37771</v>
      </c>
      <c r="T38" s="635"/>
      <c r="U38" s="657"/>
      <c r="V38" s="658"/>
      <c r="W38" s="463"/>
      <c r="X38" s="463"/>
    </row>
    <row r="39" spans="1:24" ht="15.5" x14ac:dyDescent="0.35">
      <c r="A39" s="623"/>
      <c r="B39" s="633" t="s">
        <v>444</v>
      </c>
      <c r="C39" s="633" t="s">
        <v>447</v>
      </c>
      <c r="D39" s="463"/>
      <c r="E39" s="639">
        <v>35446</v>
      </c>
      <c r="F39" s="463"/>
      <c r="G39" s="639">
        <v>3636</v>
      </c>
      <c r="H39" s="463"/>
      <c r="I39" s="639">
        <v>8542</v>
      </c>
      <c r="J39" s="463"/>
      <c r="K39" s="639">
        <v>47624</v>
      </c>
      <c r="L39" s="463"/>
      <c r="M39" s="640">
        <v>35446</v>
      </c>
      <c r="N39" s="463"/>
      <c r="O39" s="463"/>
      <c r="P39" s="463"/>
      <c r="Q39" s="639">
        <v>3636</v>
      </c>
      <c r="R39" s="463"/>
      <c r="S39" s="639">
        <v>39082</v>
      </c>
      <c r="T39" s="635"/>
      <c r="U39" s="657"/>
      <c r="V39" s="658"/>
      <c r="W39" s="463"/>
      <c r="X39" s="463"/>
    </row>
    <row r="40" spans="1:24" ht="15.5" x14ac:dyDescent="0.35">
      <c r="A40" s="623" t="s">
        <v>448</v>
      </c>
      <c r="B40" s="633" t="s">
        <v>444</v>
      </c>
      <c r="C40" s="633" t="s">
        <v>449</v>
      </c>
      <c r="D40" s="637"/>
      <c r="E40" s="638">
        <v>36648</v>
      </c>
      <c r="F40" s="463"/>
      <c r="G40" s="639">
        <v>3802</v>
      </c>
      <c r="H40" s="463"/>
      <c r="I40" s="639">
        <v>8832</v>
      </c>
      <c r="J40" s="463"/>
      <c r="K40" s="639">
        <v>49282</v>
      </c>
      <c r="L40" s="463"/>
      <c r="M40" s="640">
        <v>36648</v>
      </c>
      <c r="N40" s="463"/>
      <c r="O40" s="463"/>
      <c r="P40" s="463"/>
      <c r="Q40" s="639">
        <v>3802</v>
      </c>
      <c r="R40" s="463"/>
      <c r="S40" s="639">
        <v>40450</v>
      </c>
      <c r="T40" s="635"/>
      <c r="U40" s="657"/>
      <c r="V40" s="658"/>
      <c r="W40" s="463"/>
      <c r="X40" s="463"/>
    </row>
    <row r="41" spans="1:24" ht="15.5" x14ac:dyDescent="0.35">
      <c r="A41" s="623" t="s">
        <v>448</v>
      </c>
      <c r="B41" s="633"/>
      <c r="C41" s="633" t="s">
        <v>450</v>
      </c>
      <c r="D41" s="463"/>
      <c r="E41" s="639">
        <v>37847</v>
      </c>
      <c r="F41" s="463"/>
      <c r="G41" s="639">
        <v>3967</v>
      </c>
      <c r="H41" s="463"/>
      <c r="I41" s="639">
        <v>9121</v>
      </c>
      <c r="J41" s="463"/>
      <c r="K41" s="639">
        <v>50935</v>
      </c>
      <c r="L41" s="463"/>
      <c r="M41" s="640">
        <v>37847</v>
      </c>
      <c r="N41" s="463"/>
      <c r="O41" s="463"/>
      <c r="P41" s="463"/>
      <c r="Q41" s="639">
        <v>3967</v>
      </c>
      <c r="R41" s="463"/>
      <c r="S41" s="639">
        <v>41814</v>
      </c>
      <c r="T41" s="635"/>
      <c r="U41" s="657"/>
      <c r="V41" s="658"/>
      <c r="W41" s="463"/>
      <c r="X41" s="463"/>
    </row>
    <row r="42" spans="1:24" ht="15.5" x14ac:dyDescent="0.35">
      <c r="A42" s="623" t="s">
        <v>448</v>
      </c>
      <c r="B42" s="633"/>
      <c r="C42" s="633" t="s">
        <v>451</v>
      </c>
      <c r="D42" s="463"/>
      <c r="E42" s="639">
        <v>39031</v>
      </c>
      <c r="F42" s="463"/>
      <c r="G42" s="639">
        <v>4130</v>
      </c>
      <c r="H42" s="463"/>
      <c r="I42" s="639">
        <v>9406</v>
      </c>
      <c r="J42" s="463"/>
      <c r="K42" s="639">
        <v>52567</v>
      </c>
      <c r="L42" s="463"/>
      <c r="M42" s="640">
        <v>39031</v>
      </c>
      <c r="N42" s="463"/>
      <c r="O42" s="463"/>
      <c r="P42" s="463"/>
      <c r="Q42" s="639">
        <v>4130</v>
      </c>
      <c r="R42" s="463"/>
      <c r="S42" s="639">
        <v>43161</v>
      </c>
      <c r="T42" s="635"/>
      <c r="U42" s="657"/>
      <c r="V42" s="658"/>
      <c r="W42" s="463"/>
      <c r="X42" s="463"/>
    </row>
    <row r="43" spans="1:24" ht="15.5" x14ac:dyDescent="0.35">
      <c r="A43" s="623" t="s">
        <v>448</v>
      </c>
      <c r="B43" s="633" t="s">
        <v>452</v>
      </c>
      <c r="C43" s="633" t="s">
        <v>453</v>
      </c>
      <c r="D43" s="637"/>
      <c r="E43" s="638">
        <v>40221</v>
      </c>
      <c r="F43" s="463"/>
      <c r="G43" s="639">
        <v>4295</v>
      </c>
      <c r="H43" s="463"/>
      <c r="I43" s="639">
        <v>9693</v>
      </c>
      <c r="J43" s="463"/>
      <c r="K43" s="639">
        <v>54209</v>
      </c>
      <c r="L43" s="463"/>
      <c r="M43" s="640">
        <v>40221</v>
      </c>
      <c r="N43" s="463"/>
      <c r="O43" s="463"/>
      <c r="P43" s="463"/>
      <c r="Q43" s="639">
        <v>4295</v>
      </c>
      <c r="R43" s="463"/>
      <c r="S43" s="639">
        <v>44516</v>
      </c>
      <c r="T43" s="635"/>
      <c r="U43" s="657"/>
      <c r="V43" s="658"/>
      <c r="W43" s="463"/>
      <c r="X43" s="463"/>
    </row>
    <row r="44" spans="1:24" ht="15.5" x14ac:dyDescent="0.35">
      <c r="A44" s="623"/>
      <c r="B44" s="633" t="s">
        <v>452</v>
      </c>
      <c r="C44" s="633" t="s">
        <v>454</v>
      </c>
      <c r="D44" s="463"/>
      <c r="E44" s="639">
        <v>41623</v>
      </c>
      <c r="F44" s="463"/>
      <c r="G44" s="639">
        <v>4488</v>
      </c>
      <c r="H44" s="463"/>
      <c r="I44" s="639">
        <v>10031</v>
      </c>
      <c r="J44" s="463"/>
      <c r="K44" s="639">
        <v>56142</v>
      </c>
      <c r="L44" s="463"/>
      <c r="M44" s="640">
        <v>41623</v>
      </c>
      <c r="N44" s="463"/>
      <c r="O44" s="463"/>
      <c r="P44" s="463"/>
      <c r="Q44" s="639">
        <v>4488</v>
      </c>
      <c r="R44" s="463"/>
      <c r="S44" s="639">
        <v>46111</v>
      </c>
      <c r="T44" s="635"/>
      <c r="U44" s="657"/>
      <c r="V44" s="658"/>
      <c r="W44" s="463"/>
      <c r="X44" s="463"/>
    </row>
    <row r="45" spans="1:24" ht="15.5" x14ac:dyDescent="0.35">
      <c r="A45" s="623"/>
      <c r="B45" s="633" t="s">
        <v>452</v>
      </c>
      <c r="C45" s="633" t="s">
        <v>455</v>
      </c>
      <c r="D45" s="463"/>
      <c r="E45" s="639">
        <v>43026</v>
      </c>
      <c r="F45" s="463"/>
      <c r="G45" s="639">
        <v>4682</v>
      </c>
      <c r="H45" s="463"/>
      <c r="I45" s="639">
        <v>10369</v>
      </c>
      <c r="J45" s="463"/>
      <c r="K45" s="639">
        <v>58077</v>
      </c>
      <c r="L45" s="463"/>
      <c r="M45" s="640">
        <v>43026</v>
      </c>
      <c r="N45" s="463"/>
      <c r="O45" s="463"/>
      <c r="P45" s="463"/>
      <c r="Q45" s="639">
        <v>4682</v>
      </c>
      <c r="R45" s="463"/>
      <c r="S45" s="639">
        <v>47708</v>
      </c>
      <c r="T45" s="635"/>
      <c r="U45" s="657"/>
      <c r="V45" s="658"/>
      <c r="W45" s="463"/>
      <c r="X45" s="463"/>
    </row>
    <row r="46" spans="1:24" ht="15.5" x14ac:dyDescent="0.35">
      <c r="A46" s="623" t="s">
        <v>456</v>
      </c>
      <c r="B46" s="633" t="s">
        <v>452</v>
      </c>
      <c r="C46" s="633" t="s">
        <v>457</v>
      </c>
      <c r="D46" s="637"/>
      <c r="E46" s="638">
        <v>44428</v>
      </c>
      <c r="F46" s="463"/>
      <c r="G46" s="639">
        <v>4875</v>
      </c>
      <c r="H46" s="463"/>
      <c r="I46" s="639">
        <v>10707</v>
      </c>
      <c r="J46" s="463"/>
      <c r="K46" s="639">
        <v>60010</v>
      </c>
      <c r="L46" s="463"/>
      <c r="M46" s="640">
        <v>44428</v>
      </c>
      <c r="N46" s="463"/>
      <c r="O46" s="463"/>
      <c r="P46" s="463"/>
      <c r="Q46" s="639">
        <v>4875</v>
      </c>
      <c r="R46" s="463"/>
      <c r="S46" s="639">
        <v>49303</v>
      </c>
      <c r="T46" s="635"/>
      <c r="U46" s="657"/>
      <c r="V46" s="658"/>
      <c r="W46" s="463"/>
      <c r="X46" s="463"/>
    </row>
    <row r="47" spans="1:24" ht="15.5" x14ac:dyDescent="0.35">
      <c r="A47" s="623" t="s">
        <v>456</v>
      </c>
      <c r="B47" s="633"/>
      <c r="C47" s="633" t="s">
        <v>458</v>
      </c>
      <c r="D47" s="463"/>
      <c r="E47" s="639">
        <v>46118</v>
      </c>
      <c r="F47" s="463"/>
      <c r="G47" s="639">
        <v>5108</v>
      </c>
      <c r="H47" s="463"/>
      <c r="I47" s="639">
        <v>11114</v>
      </c>
      <c r="J47" s="463"/>
      <c r="K47" s="639">
        <v>62340</v>
      </c>
      <c r="L47" s="463"/>
      <c r="M47" s="640">
        <v>46118</v>
      </c>
      <c r="N47" s="463"/>
      <c r="O47" s="463"/>
      <c r="P47" s="463"/>
      <c r="Q47" s="639">
        <v>5108</v>
      </c>
      <c r="R47" s="463"/>
      <c r="S47" s="639">
        <v>51226</v>
      </c>
      <c r="T47" s="635"/>
      <c r="U47" s="657"/>
      <c r="V47" s="658"/>
      <c r="W47" s="463"/>
      <c r="X47" s="463"/>
    </row>
    <row r="48" spans="1:24" ht="15.5" x14ac:dyDescent="0.35">
      <c r="A48" s="623" t="s">
        <v>456</v>
      </c>
      <c r="B48" s="633"/>
      <c r="C48" s="633" t="s">
        <v>459</v>
      </c>
      <c r="D48" s="463"/>
      <c r="E48" s="639">
        <v>47807</v>
      </c>
      <c r="F48" s="463"/>
      <c r="G48" s="639">
        <v>5342</v>
      </c>
      <c r="H48" s="463"/>
      <c r="I48" s="639">
        <v>11521</v>
      </c>
      <c r="J48" s="463"/>
      <c r="K48" s="639">
        <v>64670</v>
      </c>
      <c r="L48" s="463"/>
      <c r="M48" s="640">
        <v>47807</v>
      </c>
      <c r="N48" s="463"/>
      <c r="O48" s="463"/>
      <c r="P48" s="463"/>
      <c r="Q48" s="639">
        <v>5342</v>
      </c>
      <c r="R48" s="463"/>
      <c r="S48" s="639">
        <v>53149</v>
      </c>
      <c r="T48" s="635"/>
      <c r="U48" s="657"/>
      <c r="V48" s="658"/>
      <c r="W48" s="463"/>
      <c r="X48" s="463"/>
    </row>
    <row r="49" spans="1:24" ht="15.5" x14ac:dyDescent="0.35">
      <c r="A49" s="636" t="s">
        <v>456</v>
      </c>
      <c r="B49" s="633" t="s">
        <v>460</v>
      </c>
      <c r="C49" s="633" t="s">
        <v>461</v>
      </c>
      <c r="D49" s="637"/>
      <c r="E49" s="638">
        <v>49919</v>
      </c>
      <c r="F49" s="463"/>
      <c r="G49" s="639">
        <v>5633</v>
      </c>
      <c r="H49" s="463"/>
      <c r="I49" s="639">
        <v>12030</v>
      </c>
      <c r="J49" s="463"/>
      <c r="K49" s="639">
        <v>67582</v>
      </c>
      <c r="L49" s="463"/>
      <c r="M49" s="640">
        <v>49919</v>
      </c>
      <c r="N49" s="463"/>
      <c r="O49" s="463"/>
      <c r="P49" s="463"/>
      <c r="Q49" s="639">
        <v>5633</v>
      </c>
      <c r="R49" s="463"/>
      <c r="S49" s="639">
        <v>55552</v>
      </c>
      <c r="T49" s="635"/>
      <c r="U49" s="657"/>
      <c r="V49" s="658"/>
      <c r="W49" s="463"/>
      <c r="X49" s="463"/>
    </row>
    <row r="50" spans="1:24" ht="15.5" x14ac:dyDescent="0.35">
      <c r="A50" s="642"/>
      <c r="B50" s="633" t="s">
        <v>460</v>
      </c>
      <c r="C50" s="633" t="s">
        <v>462</v>
      </c>
      <c r="D50" s="463"/>
      <c r="E50" s="639">
        <v>51868</v>
      </c>
      <c r="F50" s="463"/>
      <c r="G50" s="639">
        <v>5902</v>
      </c>
      <c r="H50" s="463"/>
      <c r="I50" s="639">
        <v>12500</v>
      </c>
      <c r="J50" s="463"/>
      <c r="K50" s="639">
        <v>70270</v>
      </c>
      <c r="L50" s="463"/>
      <c r="M50" s="640">
        <v>51868</v>
      </c>
      <c r="N50" s="463"/>
      <c r="O50" s="463"/>
      <c r="P50" s="463"/>
      <c r="Q50" s="639">
        <v>5902</v>
      </c>
      <c r="R50" s="463"/>
      <c r="S50" s="639">
        <v>57770</v>
      </c>
      <c r="T50" s="635"/>
      <c r="U50" s="657"/>
      <c r="V50" s="658"/>
      <c r="W50" s="463"/>
      <c r="X50" s="463"/>
    </row>
    <row r="51" spans="1:24" ht="15.5" x14ac:dyDescent="0.35">
      <c r="A51" s="636"/>
      <c r="B51" s="633" t="s">
        <v>460</v>
      </c>
      <c r="C51" s="633" t="s">
        <v>463</v>
      </c>
      <c r="D51" s="463"/>
      <c r="E51" s="639">
        <v>54318</v>
      </c>
      <c r="F51" s="463"/>
      <c r="G51" s="639">
        <v>6240</v>
      </c>
      <c r="H51" s="463"/>
      <c r="I51" s="639">
        <v>13091</v>
      </c>
      <c r="J51" s="463"/>
      <c r="K51" s="639">
        <v>73649</v>
      </c>
      <c r="L51" s="463"/>
      <c r="M51" s="640">
        <v>54318</v>
      </c>
      <c r="N51" s="463"/>
      <c r="O51" s="463"/>
      <c r="P51" s="463"/>
      <c r="Q51" s="639">
        <v>6240</v>
      </c>
      <c r="R51" s="463"/>
      <c r="S51" s="639">
        <v>60558</v>
      </c>
      <c r="T51" s="635"/>
      <c r="U51" s="657"/>
      <c r="V51" s="658"/>
      <c r="W51" s="463"/>
      <c r="X51" s="463"/>
    </row>
    <row r="52" spans="1:24" ht="15.5" x14ac:dyDescent="0.35">
      <c r="A52" s="636" t="s">
        <v>464</v>
      </c>
      <c r="B52" s="633" t="s">
        <v>460</v>
      </c>
      <c r="C52" s="633" t="s">
        <v>465</v>
      </c>
      <c r="D52" s="463"/>
      <c r="E52" s="639">
        <v>56769</v>
      </c>
      <c r="F52" s="463"/>
      <c r="G52" s="639">
        <v>6578</v>
      </c>
      <c r="H52" s="463"/>
      <c r="I52" s="639">
        <v>13681</v>
      </c>
      <c r="J52" s="463"/>
      <c r="K52" s="639">
        <v>77028</v>
      </c>
      <c r="L52" s="463"/>
      <c r="M52" s="640">
        <v>56769</v>
      </c>
      <c r="N52" s="463"/>
      <c r="O52" s="463"/>
      <c r="P52" s="463"/>
      <c r="Q52" s="639">
        <v>6578</v>
      </c>
      <c r="R52" s="463"/>
      <c r="S52" s="639">
        <v>63347</v>
      </c>
      <c r="T52" s="635"/>
      <c r="U52" s="657"/>
      <c r="V52" s="658"/>
      <c r="W52" s="463"/>
      <c r="X52" s="463"/>
    </row>
    <row r="53" spans="1:24" ht="15.5" x14ac:dyDescent="0.35">
      <c r="A53" s="636" t="s">
        <v>464</v>
      </c>
      <c r="B53" s="633"/>
      <c r="C53" s="633" t="s">
        <v>466</v>
      </c>
      <c r="D53" s="463"/>
      <c r="E53" s="639">
        <v>58606</v>
      </c>
      <c r="F53" s="463"/>
      <c r="G53" s="639">
        <v>6832</v>
      </c>
      <c r="H53" s="463"/>
      <c r="I53" s="639">
        <v>14124</v>
      </c>
      <c r="J53" s="463"/>
      <c r="K53" s="639">
        <v>79562</v>
      </c>
      <c r="L53" s="463"/>
      <c r="M53" s="640">
        <v>58606</v>
      </c>
      <c r="N53" s="463"/>
      <c r="O53" s="463"/>
      <c r="P53" s="463"/>
      <c r="Q53" s="639">
        <v>6832</v>
      </c>
      <c r="R53" s="463"/>
      <c r="S53" s="639">
        <v>65438</v>
      </c>
      <c r="T53" s="635"/>
      <c r="U53" s="657"/>
      <c r="V53" s="658"/>
      <c r="W53" s="463"/>
      <c r="X53" s="463"/>
    </row>
    <row r="54" spans="1:24" ht="15.5" x14ac:dyDescent="0.35">
      <c r="A54" s="636" t="s">
        <v>464</v>
      </c>
      <c r="B54" s="633"/>
      <c r="C54" s="633" t="s">
        <v>467</v>
      </c>
      <c r="D54" s="463"/>
      <c r="E54" s="639">
        <v>60443</v>
      </c>
      <c r="F54" s="463"/>
      <c r="G54" s="639">
        <v>7085</v>
      </c>
      <c r="H54" s="463"/>
      <c r="I54" s="639">
        <v>14567</v>
      </c>
      <c r="J54" s="463"/>
      <c r="K54" s="639">
        <v>82095</v>
      </c>
      <c r="L54" s="463"/>
      <c r="M54" s="640">
        <v>60443</v>
      </c>
      <c r="N54" s="463"/>
      <c r="O54" s="463"/>
      <c r="P54" s="463"/>
      <c r="Q54" s="639">
        <v>7085</v>
      </c>
      <c r="R54" s="463"/>
      <c r="S54" s="639">
        <v>67528</v>
      </c>
      <c r="T54" s="635"/>
      <c r="U54" s="657"/>
      <c r="V54" s="658"/>
      <c r="W54" s="463"/>
      <c r="X54" s="463"/>
    </row>
    <row r="55" spans="1:24" ht="15.5" x14ac:dyDescent="0.35">
      <c r="A55" s="636" t="s">
        <v>464</v>
      </c>
      <c r="B55" s="633" t="s">
        <v>468</v>
      </c>
      <c r="C55" s="633" t="s">
        <v>469</v>
      </c>
      <c r="D55" s="463"/>
      <c r="E55" s="639">
        <v>62278</v>
      </c>
      <c r="F55" s="463"/>
      <c r="G55" s="639">
        <v>7339</v>
      </c>
      <c r="H55" s="463"/>
      <c r="I55" s="639">
        <v>15009</v>
      </c>
      <c r="J55" s="463"/>
      <c r="K55" s="639">
        <v>84626</v>
      </c>
      <c r="L55" s="463"/>
      <c r="M55" s="640">
        <v>62278</v>
      </c>
      <c r="N55" s="463"/>
      <c r="O55" s="463"/>
      <c r="P55" s="463"/>
      <c r="Q55" s="639">
        <v>7339</v>
      </c>
      <c r="R55" s="463"/>
      <c r="S55" s="639">
        <v>69617</v>
      </c>
      <c r="T55" s="635"/>
      <c r="U55" s="657"/>
      <c r="V55" s="658"/>
      <c r="W55" s="463"/>
      <c r="X55" s="463"/>
    </row>
    <row r="56" spans="1:24" ht="15.5" x14ac:dyDescent="0.35">
      <c r="A56" s="636"/>
      <c r="B56" s="633" t="s">
        <v>468</v>
      </c>
      <c r="C56" s="633" t="s">
        <v>470</v>
      </c>
      <c r="D56" s="463"/>
      <c r="E56" s="639">
        <v>64115</v>
      </c>
      <c r="F56" s="463"/>
      <c r="G56" s="639">
        <v>7592</v>
      </c>
      <c r="H56" s="463"/>
      <c r="I56" s="639">
        <v>15452</v>
      </c>
      <c r="J56" s="463"/>
      <c r="K56" s="639">
        <v>87159</v>
      </c>
      <c r="L56" s="463"/>
      <c r="M56" s="640">
        <v>64115</v>
      </c>
      <c r="N56" s="463"/>
      <c r="O56" s="463"/>
      <c r="P56" s="463"/>
      <c r="Q56" s="639">
        <v>7592</v>
      </c>
      <c r="R56" s="463"/>
      <c r="S56" s="639">
        <v>71707</v>
      </c>
      <c r="T56" s="635"/>
      <c r="U56" s="657"/>
      <c r="V56" s="658"/>
      <c r="W56" s="463"/>
      <c r="X56" s="463"/>
    </row>
    <row r="57" spans="1:24" ht="15.5" x14ac:dyDescent="0.35">
      <c r="A57" s="636"/>
      <c r="B57" s="633" t="s">
        <v>468</v>
      </c>
      <c r="C57" s="633" t="s">
        <v>471</v>
      </c>
      <c r="D57" s="463"/>
      <c r="E57" s="639">
        <v>65953</v>
      </c>
      <c r="F57" s="463"/>
      <c r="G57" s="639">
        <v>7846</v>
      </c>
      <c r="H57" s="463"/>
      <c r="I57" s="639">
        <v>15895</v>
      </c>
      <c r="J57" s="463"/>
      <c r="K57" s="639">
        <v>89694</v>
      </c>
      <c r="L57" s="463"/>
      <c r="M57" s="640">
        <v>65953</v>
      </c>
      <c r="N57" s="463"/>
      <c r="O57" s="463"/>
      <c r="P57" s="463"/>
      <c r="Q57" s="639">
        <v>7846</v>
      </c>
      <c r="R57" s="463"/>
      <c r="S57" s="639">
        <v>73799</v>
      </c>
      <c r="T57" s="635"/>
      <c r="U57" s="657"/>
      <c r="V57" s="658"/>
      <c r="W57" s="463"/>
      <c r="X57" s="463"/>
    </row>
    <row r="58" spans="1:24" ht="15.5" x14ac:dyDescent="0.35">
      <c r="A58" s="636" t="s">
        <v>472</v>
      </c>
      <c r="B58" s="633" t="s">
        <v>468</v>
      </c>
      <c r="C58" s="633" t="s">
        <v>473</v>
      </c>
      <c r="D58" s="463"/>
      <c r="E58" s="639">
        <v>67790</v>
      </c>
      <c r="F58" s="463"/>
      <c r="G58" s="639">
        <v>8099</v>
      </c>
      <c r="H58" s="463"/>
      <c r="I58" s="639">
        <v>16337</v>
      </c>
      <c r="J58" s="463"/>
      <c r="K58" s="639">
        <v>92226</v>
      </c>
      <c r="L58" s="463"/>
      <c r="M58" s="640">
        <v>67790</v>
      </c>
      <c r="N58" s="463"/>
      <c r="O58" s="463"/>
      <c r="P58" s="463"/>
      <c r="Q58" s="639">
        <v>8099</v>
      </c>
      <c r="R58" s="463"/>
      <c r="S58" s="639">
        <v>75889</v>
      </c>
      <c r="T58" s="635"/>
      <c r="U58" s="657"/>
      <c r="V58" s="658"/>
      <c r="W58" s="463"/>
      <c r="X58" s="463"/>
    </row>
    <row r="59" spans="1:24" ht="15.5" x14ac:dyDescent="0.35">
      <c r="A59" s="636" t="s">
        <v>472</v>
      </c>
      <c r="B59" s="633"/>
      <c r="C59" s="633" t="s">
        <v>474</v>
      </c>
      <c r="D59" s="463"/>
      <c r="E59" s="639">
        <v>69626</v>
      </c>
      <c r="F59" s="463"/>
      <c r="G59" s="639">
        <v>8353</v>
      </c>
      <c r="H59" s="463"/>
      <c r="I59" s="639">
        <v>16780</v>
      </c>
      <c r="J59" s="463"/>
      <c r="K59" s="639">
        <v>94759</v>
      </c>
      <c r="L59" s="463"/>
      <c r="M59" s="640">
        <v>69626</v>
      </c>
      <c r="N59" s="463"/>
      <c r="O59" s="463"/>
      <c r="P59" s="463"/>
      <c r="Q59" s="639">
        <v>8353</v>
      </c>
      <c r="R59" s="463"/>
      <c r="S59" s="639">
        <v>77979</v>
      </c>
      <c r="T59" s="635"/>
      <c r="U59" s="657"/>
      <c r="V59" s="658"/>
      <c r="W59" s="463"/>
      <c r="X59" s="463"/>
    </row>
    <row r="60" spans="1:24" ht="15.5" x14ac:dyDescent="0.35">
      <c r="A60" s="636" t="s">
        <v>472</v>
      </c>
      <c r="B60" s="633"/>
      <c r="C60" s="633" t="s">
        <v>475</v>
      </c>
      <c r="D60" s="463"/>
      <c r="E60" s="639">
        <v>71463</v>
      </c>
      <c r="F60" s="463"/>
      <c r="G60" s="639">
        <v>8606</v>
      </c>
      <c r="H60" s="463"/>
      <c r="I60" s="639">
        <v>17223</v>
      </c>
      <c r="J60" s="463"/>
      <c r="K60" s="639">
        <v>97292</v>
      </c>
      <c r="L60" s="463"/>
      <c r="M60" s="640">
        <v>71463</v>
      </c>
      <c r="N60" s="463"/>
      <c r="O60" s="463"/>
      <c r="P60" s="463"/>
      <c r="Q60" s="639">
        <v>8606</v>
      </c>
      <c r="R60" s="463"/>
      <c r="S60" s="639">
        <v>80069</v>
      </c>
      <c r="T60" s="635"/>
      <c r="U60" s="657"/>
      <c r="V60" s="658"/>
      <c r="W60" s="463"/>
      <c r="X60" s="463"/>
    </row>
    <row r="61" spans="1:24" ht="15.5" x14ac:dyDescent="0.35">
      <c r="A61" s="636" t="s">
        <v>472</v>
      </c>
      <c r="B61" s="633" t="s">
        <v>476</v>
      </c>
      <c r="C61" s="633" t="s">
        <v>477</v>
      </c>
      <c r="D61" s="463"/>
      <c r="E61" s="639">
        <v>73299</v>
      </c>
      <c r="F61" s="463"/>
      <c r="G61" s="639">
        <v>8859</v>
      </c>
      <c r="H61" s="463"/>
      <c r="I61" s="639">
        <v>17665</v>
      </c>
      <c r="J61" s="463"/>
      <c r="K61" s="639">
        <v>99823</v>
      </c>
      <c r="L61" s="463"/>
      <c r="M61" s="640">
        <v>73299</v>
      </c>
      <c r="N61" s="463"/>
      <c r="O61" s="463"/>
      <c r="P61" s="463"/>
      <c r="Q61" s="639">
        <v>8859</v>
      </c>
      <c r="R61" s="463"/>
      <c r="S61" s="639">
        <v>82158</v>
      </c>
      <c r="T61" s="635"/>
      <c r="U61" s="657"/>
      <c r="V61" s="658"/>
      <c r="W61" s="463"/>
      <c r="X61" s="463"/>
    </row>
    <row r="62" spans="1:24" ht="15.5" x14ac:dyDescent="0.35">
      <c r="A62" s="636"/>
      <c r="B62" s="633" t="s">
        <v>476</v>
      </c>
      <c r="C62" s="633" t="s">
        <v>478</v>
      </c>
      <c r="D62" s="463"/>
      <c r="E62" s="639">
        <v>75136</v>
      </c>
      <c r="F62" s="463"/>
      <c r="G62" s="639">
        <v>9113</v>
      </c>
      <c r="H62" s="463"/>
      <c r="I62" s="639">
        <v>18108</v>
      </c>
      <c r="J62" s="463"/>
      <c r="K62" s="639">
        <v>102357</v>
      </c>
      <c r="L62" s="463"/>
      <c r="M62" s="640">
        <v>75136</v>
      </c>
      <c r="N62" s="463"/>
      <c r="O62" s="463"/>
      <c r="P62" s="463"/>
      <c r="Q62" s="639">
        <v>9113</v>
      </c>
      <c r="R62" s="463"/>
      <c r="S62" s="639">
        <v>84249</v>
      </c>
      <c r="T62" s="635"/>
      <c r="U62" s="657"/>
      <c r="V62" s="658"/>
      <c r="W62" s="463"/>
      <c r="X62" s="463"/>
    </row>
    <row r="63" spans="1:24" ht="15.5" x14ac:dyDescent="0.35">
      <c r="A63" s="636"/>
      <c r="B63" s="633" t="s">
        <v>476</v>
      </c>
      <c r="C63" s="633" t="s">
        <v>479</v>
      </c>
      <c r="D63" s="463"/>
      <c r="E63" s="639">
        <v>76972</v>
      </c>
      <c r="F63" s="463"/>
      <c r="G63" s="639">
        <v>9366</v>
      </c>
      <c r="H63" s="463"/>
      <c r="I63" s="639">
        <v>18550</v>
      </c>
      <c r="J63" s="463"/>
      <c r="K63" s="639">
        <v>104888</v>
      </c>
      <c r="L63" s="463"/>
      <c r="M63" s="640">
        <v>76972</v>
      </c>
      <c r="N63" s="463"/>
      <c r="O63" s="463"/>
      <c r="P63" s="463"/>
      <c r="Q63" s="639">
        <v>9366</v>
      </c>
      <c r="R63" s="463"/>
      <c r="S63" s="639">
        <v>86338</v>
      </c>
      <c r="T63" s="635"/>
      <c r="U63" s="657"/>
      <c r="V63" s="658"/>
      <c r="W63" s="463"/>
      <c r="X63" s="463"/>
    </row>
    <row r="64" spans="1:24" ht="15.5" x14ac:dyDescent="0.35">
      <c r="A64" s="636"/>
      <c r="B64" s="633" t="s">
        <v>476</v>
      </c>
      <c r="C64" s="633" t="s">
        <v>480</v>
      </c>
      <c r="D64" s="463"/>
      <c r="E64" s="639">
        <v>78811</v>
      </c>
      <c r="F64" s="463"/>
      <c r="G64" s="639">
        <v>9620</v>
      </c>
      <c r="H64" s="463"/>
      <c r="I64" s="639">
        <v>18993</v>
      </c>
      <c r="J64" s="463"/>
      <c r="K64" s="639">
        <v>107424</v>
      </c>
      <c r="L64" s="463"/>
      <c r="M64" s="640">
        <v>78811</v>
      </c>
      <c r="N64" s="463"/>
      <c r="O64" s="463"/>
      <c r="P64" s="463"/>
      <c r="Q64" s="639">
        <v>9620</v>
      </c>
      <c r="R64" s="463"/>
      <c r="S64" s="639">
        <v>88431</v>
      </c>
      <c r="T64" s="635"/>
      <c r="U64" s="657"/>
      <c r="V64" s="658"/>
      <c r="W64" s="463"/>
      <c r="X64" s="463"/>
    </row>
    <row r="65" spans="1:24" ht="16" thickBot="1" x14ac:dyDescent="0.4">
      <c r="A65" s="643"/>
      <c r="B65" s="644"/>
      <c r="C65" s="644"/>
      <c r="D65" s="645"/>
      <c r="E65" s="645"/>
      <c r="F65" s="645"/>
      <c r="G65" s="645"/>
      <c r="H65" s="645"/>
      <c r="I65" s="645"/>
      <c r="J65" s="645"/>
      <c r="K65" s="645"/>
      <c r="L65" s="645"/>
      <c r="M65" s="646"/>
      <c r="N65" s="645"/>
      <c r="O65" s="645"/>
      <c r="P65" s="645"/>
      <c r="Q65" s="645"/>
      <c r="R65" s="645"/>
      <c r="S65" s="645"/>
      <c r="T65" s="647"/>
      <c r="U65" s="657"/>
      <c r="V65" s="658"/>
      <c r="W65" s="463"/>
      <c r="X65" s="463"/>
    </row>
    <row r="66" spans="1:24" ht="16" thickTop="1" x14ac:dyDescent="0.35">
      <c r="A66" s="463"/>
      <c r="B66" s="463"/>
      <c r="C66" s="463"/>
      <c r="D66" s="463"/>
      <c r="E66" s="463"/>
      <c r="F66" s="463"/>
      <c r="G66" s="463"/>
      <c r="H66" s="463"/>
      <c r="I66" s="463"/>
      <c r="J66" s="463"/>
      <c r="K66" s="463"/>
      <c r="L66" s="463"/>
      <c r="M66" s="463"/>
      <c r="N66" s="463"/>
      <c r="O66" s="463"/>
      <c r="P66" s="463"/>
      <c r="Q66" s="463"/>
      <c r="R66" s="463"/>
      <c r="S66" s="463"/>
      <c r="T66" s="463"/>
      <c r="U66" s="658"/>
      <c r="V66" s="658"/>
      <c r="W66" s="463"/>
      <c r="X66" s="463"/>
    </row>
  </sheetData>
  <mergeCells count="64">
    <mergeCell ref="U63:V63"/>
    <mergeCell ref="U64:V64"/>
    <mergeCell ref="U65:V65"/>
    <mergeCell ref="U66:V66"/>
    <mergeCell ref="U57:V57"/>
    <mergeCell ref="U58:V58"/>
    <mergeCell ref="U59:V59"/>
    <mergeCell ref="U60:V60"/>
    <mergeCell ref="U61:V61"/>
    <mergeCell ref="U62:V62"/>
    <mergeCell ref="U56:V56"/>
    <mergeCell ref="U45:V45"/>
    <mergeCell ref="U46:V46"/>
    <mergeCell ref="U47:V47"/>
    <mergeCell ref="U48:V48"/>
    <mergeCell ref="U49:V49"/>
    <mergeCell ref="U50:V50"/>
    <mergeCell ref="U51:V51"/>
    <mergeCell ref="U52:V52"/>
    <mergeCell ref="U53:V53"/>
    <mergeCell ref="U54:V54"/>
    <mergeCell ref="U55:V55"/>
    <mergeCell ref="U44:V44"/>
    <mergeCell ref="U33:V33"/>
    <mergeCell ref="U34:V34"/>
    <mergeCell ref="U35:V35"/>
    <mergeCell ref="U36:V36"/>
    <mergeCell ref="U37:V37"/>
    <mergeCell ref="U38:V38"/>
    <mergeCell ref="U39:V39"/>
    <mergeCell ref="U40:V40"/>
    <mergeCell ref="U41:V41"/>
    <mergeCell ref="U42:V42"/>
    <mergeCell ref="U43:V43"/>
    <mergeCell ref="U32:V32"/>
    <mergeCell ref="U21:V21"/>
    <mergeCell ref="U22:V22"/>
    <mergeCell ref="U23:V23"/>
    <mergeCell ref="U24:V24"/>
    <mergeCell ref="U25:V25"/>
    <mergeCell ref="U26:V26"/>
    <mergeCell ref="U27:V27"/>
    <mergeCell ref="U28:V28"/>
    <mergeCell ref="U29:V29"/>
    <mergeCell ref="U30:V30"/>
    <mergeCell ref="U31:V31"/>
    <mergeCell ref="U20:V20"/>
    <mergeCell ref="U11:V11"/>
    <mergeCell ref="E13:K13"/>
    <mergeCell ref="M13:S13"/>
    <mergeCell ref="U13:V13"/>
    <mergeCell ref="U15:V15"/>
    <mergeCell ref="U16:V16"/>
    <mergeCell ref="U17:V17"/>
    <mergeCell ref="U18:V18"/>
    <mergeCell ref="U19:V19"/>
    <mergeCell ref="A14:B14"/>
    <mergeCell ref="U14:V14"/>
    <mergeCell ref="U1:V1"/>
    <mergeCell ref="U2:V2"/>
    <mergeCell ref="U3:V3"/>
    <mergeCell ref="U4:V4"/>
    <mergeCell ref="U5:V5"/>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0945-3C3D-43CD-A016-1D8122085215}">
  <dimension ref="A1:AB66"/>
  <sheetViews>
    <sheetView topLeftCell="A15" workbookViewId="0">
      <selection activeCell="E53" sqref="E53"/>
    </sheetView>
  </sheetViews>
  <sheetFormatPr defaultColWidth="8.26953125" defaultRowHeight="12.5" x14ac:dyDescent="0.25"/>
  <cols>
    <col min="1" max="1" width="11.453125" style="509" customWidth="1"/>
    <col min="2" max="2" width="9.54296875" style="509" customWidth="1"/>
    <col min="3" max="3" width="14.81640625" style="509" customWidth="1"/>
    <col min="4" max="4" width="8.81640625" style="509" customWidth="1"/>
    <col min="5" max="5" width="13.7265625" style="509" customWidth="1"/>
    <col min="6" max="6" width="4.1796875" style="509" customWidth="1"/>
    <col min="7" max="7" width="9.81640625" style="509" customWidth="1"/>
    <col min="8" max="8" width="3.81640625" style="509" customWidth="1"/>
    <col min="9" max="9" width="15.81640625" style="509" bestFit="1" customWidth="1"/>
    <col min="10" max="10" width="2.7265625" style="509" customWidth="1"/>
    <col min="11" max="11" width="10.453125" style="509" customWidth="1"/>
    <col min="12" max="12" width="2.26953125" style="509" customWidth="1"/>
    <col min="13" max="13" width="10.453125" style="509" customWidth="1"/>
    <col min="14" max="14" width="0.81640625" style="509" customWidth="1"/>
    <col min="15" max="15" width="1.453125" style="509" customWidth="1"/>
    <col min="16" max="16" width="11.1796875" style="509" customWidth="1"/>
    <col min="17" max="17" width="2.81640625" style="509" customWidth="1"/>
    <col min="18" max="18" width="9.81640625" style="509" bestFit="1" customWidth="1"/>
    <col min="19" max="19" width="2.26953125" style="509" customWidth="1"/>
    <col min="20" max="20" width="9.453125" style="509" customWidth="1"/>
    <col min="21" max="21" width="12.1796875" style="509" bestFit="1" customWidth="1"/>
    <col min="22" max="23" width="9.453125" style="509" customWidth="1"/>
    <col min="24" max="26" width="8.26953125" style="509"/>
    <col min="27" max="27" width="8.54296875" style="509" bestFit="1" customWidth="1"/>
    <col min="28" max="16384" width="8.26953125" style="509"/>
  </cols>
  <sheetData>
    <row r="1" spans="1:28" s="500" customFormat="1" ht="14.5" thickBot="1" x14ac:dyDescent="0.35">
      <c r="A1" s="450" t="s">
        <v>176</v>
      </c>
      <c r="B1" s="495" t="s">
        <v>367</v>
      </c>
      <c r="C1" s="496"/>
      <c r="D1" s="496"/>
      <c r="E1" s="496"/>
      <c r="F1" s="497"/>
      <c r="G1" s="496"/>
      <c r="H1" s="496"/>
      <c r="I1" s="496"/>
      <c r="J1" s="496"/>
      <c r="K1" s="496"/>
      <c r="L1" s="496"/>
      <c r="M1" s="496"/>
      <c r="N1" s="496"/>
      <c r="O1" s="496"/>
      <c r="P1" s="496"/>
      <c r="Q1" s="496"/>
      <c r="R1" s="498" t="s">
        <v>368</v>
      </c>
      <c r="S1" s="499"/>
    </row>
    <row r="2" spans="1:28" s="500" customFormat="1" ht="14" x14ac:dyDescent="0.3">
      <c r="A2" s="450"/>
      <c r="B2" s="501"/>
      <c r="C2" s="501"/>
      <c r="D2" s="501"/>
      <c r="E2" s="501"/>
      <c r="F2" s="502"/>
      <c r="G2" s="501"/>
      <c r="H2" s="501"/>
      <c r="I2" s="501"/>
      <c r="J2" s="501"/>
      <c r="K2" s="501"/>
      <c r="L2" s="501"/>
      <c r="M2" s="501"/>
      <c r="N2" s="501"/>
      <c r="O2" s="501"/>
      <c r="P2" s="501"/>
      <c r="Q2" s="501"/>
      <c r="R2" s="501"/>
      <c r="S2" s="501"/>
      <c r="U2" s="503"/>
    </row>
    <row r="3" spans="1:28" s="500" customFormat="1" ht="14" x14ac:dyDescent="0.3">
      <c r="A3" s="450" t="s">
        <v>178</v>
      </c>
      <c r="B3" s="667" t="s">
        <v>369</v>
      </c>
      <c r="C3" s="668"/>
      <c r="D3" s="668"/>
      <c r="E3" s="668"/>
      <c r="F3" s="668"/>
      <c r="G3" s="668"/>
      <c r="H3" s="668"/>
      <c r="I3" s="668"/>
      <c r="J3" s="668"/>
      <c r="K3" s="668"/>
      <c r="L3" s="668"/>
      <c r="M3" s="668"/>
      <c r="N3" s="668"/>
      <c r="O3" s="668"/>
      <c r="P3" s="668"/>
      <c r="Q3" s="668"/>
      <c r="R3" s="668"/>
      <c r="S3" s="668"/>
      <c r="U3" s="503"/>
    </row>
    <row r="4" spans="1:28" s="500" customFormat="1" ht="14.5" thickBot="1" x14ac:dyDescent="0.35">
      <c r="A4" s="450"/>
      <c r="B4" s="668"/>
      <c r="C4" s="668"/>
      <c r="D4" s="668"/>
      <c r="E4" s="668"/>
      <c r="F4" s="668"/>
      <c r="G4" s="668"/>
      <c r="H4" s="668"/>
      <c r="I4" s="668"/>
      <c r="J4" s="668"/>
      <c r="K4" s="668"/>
      <c r="L4" s="668"/>
      <c r="M4" s="668"/>
      <c r="N4" s="668"/>
      <c r="O4" s="668"/>
      <c r="P4" s="668"/>
      <c r="Q4" s="668"/>
      <c r="R4" s="668"/>
      <c r="S4" s="668"/>
      <c r="U4" s="503"/>
    </row>
    <row r="5" spans="1:28" s="463" customFormat="1" ht="16" x14ac:dyDescent="0.4">
      <c r="A5" s="450" t="s">
        <v>185</v>
      </c>
      <c r="B5" s="669" t="s">
        <v>370</v>
      </c>
      <c r="C5" s="669"/>
      <c r="D5" s="669"/>
      <c r="E5" s="669"/>
      <c r="F5" s="669"/>
      <c r="G5" s="669"/>
      <c r="H5" s="669"/>
      <c r="I5" s="669"/>
      <c r="J5" s="669"/>
      <c r="K5" s="669"/>
      <c r="L5" s="669"/>
      <c r="M5" s="669"/>
      <c r="N5" s="669"/>
      <c r="O5" s="669"/>
      <c r="P5" s="670"/>
      <c r="Q5" s="670"/>
      <c r="R5" s="670"/>
      <c r="S5" s="670"/>
      <c r="T5" s="450" t="s">
        <v>198</v>
      </c>
      <c r="U5" s="504" t="s">
        <v>190</v>
      </c>
      <c r="V5" s="505">
        <v>1</v>
      </c>
      <c r="W5" s="506">
        <v>2</v>
      </c>
      <c r="Y5" s="507"/>
      <c r="Z5" s="508"/>
      <c r="AA5" s="508"/>
      <c r="AB5" s="508"/>
    </row>
    <row r="6" spans="1:28" ht="15.5" x14ac:dyDescent="0.45">
      <c r="A6" s="450" t="s">
        <v>189</v>
      </c>
      <c r="B6" s="671" t="s">
        <v>371</v>
      </c>
      <c r="C6" s="669"/>
      <c r="D6" s="669"/>
      <c r="E6" s="669"/>
      <c r="F6" s="669"/>
      <c r="G6" s="669"/>
      <c r="H6" s="669"/>
      <c r="I6" s="669"/>
      <c r="J6" s="669"/>
      <c r="K6" s="669"/>
      <c r="L6" s="669"/>
      <c r="M6" s="669"/>
      <c r="N6" s="669"/>
      <c r="O6" s="669"/>
      <c r="P6" s="670"/>
      <c r="Q6" s="670"/>
      <c r="R6" s="670"/>
      <c r="S6" s="670"/>
      <c r="U6" s="423">
        <v>0</v>
      </c>
      <c r="V6" s="424">
        <v>0</v>
      </c>
      <c r="W6" s="426">
        <v>0</v>
      </c>
      <c r="Y6" s="507"/>
      <c r="Z6" s="510"/>
      <c r="AA6" s="510"/>
      <c r="AB6" s="510"/>
    </row>
    <row r="7" spans="1:28" ht="16" thickBot="1" x14ac:dyDescent="0.5">
      <c r="B7" s="511"/>
      <c r="C7" s="450"/>
      <c r="D7" s="450"/>
      <c r="E7" s="450"/>
      <c r="F7" s="450"/>
      <c r="G7" s="450"/>
      <c r="H7" s="450"/>
      <c r="I7" s="450"/>
      <c r="J7" s="450"/>
      <c r="K7" s="450"/>
      <c r="L7" s="450"/>
      <c r="M7" s="450"/>
      <c r="N7" s="450"/>
      <c r="O7" s="450"/>
      <c r="P7" s="450"/>
      <c r="Q7" s="450"/>
      <c r="R7" s="450"/>
      <c r="S7" s="450"/>
      <c r="U7" s="423"/>
      <c r="V7" s="424"/>
      <c r="W7" s="426"/>
      <c r="Y7" s="507"/>
      <c r="Z7" s="510"/>
      <c r="AA7" s="512"/>
      <c r="AB7" s="512"/>
    </row>
    <row r="8" spans="1:28" ht="15.5" x14ac:dyDescent="0.45">
      <c r="A8" s="450" t="s">
        <v>372</v>
      </c>
      <c r="B8" s="513"/>
      <c r="C8" s="514" t="s">
        <v>186</v>
      </c>
      <c r="D8" s="515"/>
      <c r="E8" s="514" t="s">
        <v>373</v>
      </c>
      <c r="F8" s="515"/>
      <c r="G8" s="515"/>
      <c r="H8" s="515"/>
      <c r="I8" s="515"/>
      <c r="J8" s="515"/>
      <c r="K8" s="515"/>
      <c r="L8" s="515"/>
      <c r="M8" s="514" t="s">
        <v>374</v>
      </c>
      <c r="N8" s="413"/>
      <c r="O8" s="413"/>
      <c r="P8" s="515"/>
      <c r="Q8" s="515"/>
      <c r="R8" s="515"/>
      <c r="S8" s="516"/>
      <c r="U8" s="423"/>
      <c r="V8" s="424"/>
      <c r="W8" s="426"/>
      <c r="Y8" s="517"/>
      <c r="Z8" s="510"/>
      <c r="AA8" s="512"/>
      <c r="AB8" s="512"/>
    </row>
    <row r="9" spans="1:28" ht="15.5" x14ac:dyDescent="0.45">
      <c r="A9" s="450"/>
      <c r="B9" s="518"/>
      <c r="C9" s="519"/>
      <c r="D9" s="519"/>
      <c r="E9" s="520"/>
      <c r="F9" s="519"/>
      <c r="G9" s="519"/>
      <c r="H9" s="519"/>
      <c r="I9" s="519"/>
      <c r="J9" s="519"/>
      <c r="K9" s="519"/>
      <c r="L9" s="519"/>
      <c r="M9" s="519"/>
      <c r="N9" s="424"/>
      <c r="O9" s="519"/>
      <c r="P9" s="519"/>
      <c r="Q9" s="519"/>
      <c r="R9" s="519"/>
      <c r="S9" s="521"/>
      <c r="U9" s="423"/>
      <c r="V9" s="436"/>
      <c r="W9" s="437"/>
      <c r="Y9" s="522"/>
      <c r="Z9" s="510"/>
      <c r="AA9" s="512"/>
      <c r="AB9" s="512"/>
    </row>
    <row r="10" spans="1:28" ht="16" thickBot="1" x14ac:dyDescent="0.5">
      <c r="A10" s="450"/>
      <c r="B10" s="523" t="s">
        <v>375</v>
      </c>
      <c r="C10" s="524"/>
      <c r="D10" s="524"/>
      <c r="E10" s="524"/>
      <c r="F10" s="525"/>
      <c r="G10" s="524"/>
      <c r="H10" s="525"/>
      <c r="I10" s="524"/>
      <c r="J10" s="525"/>
      <c r="K10" s="524"/>
      <c r="L10" s="525"/>
      <c r="M10" s="525"/>
      <c r="N10" s="525"/>
      <c r="O10" s="525"/>
      <c r="P10" s="525"/>
      <c r="Q10" s="525"/>
      <c r="R10" s="525"/>
      <c r="S10" s="526"/>
      <c r="U10" s="423"/>
      <c r="V10" s="436"/>
      <c r="W10" s="437"/>
      <c r="Y10" s="507"/>
      <c r="Z10" s="510"/>
      <c r="AA10" s="512"/>
      <c r="AB10" s="512"/>
    </row>
    <row r="11" spans="1:28" ht="16" thickBot="1" x14ac:dyDescent="0.5">
      <c r="B11" s="527"/>
      <c r="C11" s="528"/>
      <c r="D11" s="528"/>
      <c r="E11" s="528"/>
      <c r="F11" s="528"/>
      <c r="G11" s="528"/>
      <c r="H11" s="528"/>
      <c r="I11" s="528"/>
      <c r="J11" s="528"/>
      <c r="K11" s="528"/>
      <c r="L11" s="528"/>
      <c r="M11" s="528"/>
      <c r="N11" s="528"/>
      <c r="O11" s="528"/>
      <c r="P11" s="528"/>
      <c r="Q11" s="528"/>
      <c r="R11" s="528"/>
      <c r="S11" s="528"/>
      <c r="U11" s="423">
        <v>9100</v>
      </c>
      <c r="V11" s="436">
        <v>0</v>
      </c>
      <c r="W11" s="437">
        <v>0.13800000000000001</v>
      </c>
      <c r="Y11" s="507"/>
      <c r="Z11" s="529"/>
      <c r="AA11" s="512"/>
      <c r="AB11" s="510"/>
    </row>
    <row r="12" spans="1:28" ht="15.5" x14ac:dyDescent="0.35">
      <c r="A12" s="450" t="s">
        <v>376</v>
      </c>
      <c r="B12" s="469"/>
      <c r="C12" s="530"/>
      <c r="D12" s="530"/>
      <c r="E12" s="531" t="s">
        <v>377</v>
      </c>
      <c r="F12" s="532"/>
      <c r="G12" s="531"/>
      <c r="H12" s="532"/>
      <c r="I12" s="531"/>
      <c r="J12" s="532"/>
      <c r="K12" s="531"/>
      <c r="L12" s="533"/>
      <c r="M12" s="534" t="s">
        <v>378</v>
      </c>
      <c r="N12" s="535"/>
      <c r="O12" s="535"/>
      <c r="P12" s="535"/>
      <c r="Q12" s="535"/>
      <c r="R12" s="535"/>
      <c r="S12" s="475"/>
      <c r="U12" s="423"/>
      <c r="V12" s="436"/>
      <c r="W12" s="437"/>
    </row>
    <row r="13" spans="1:28" ht="16" thickBot="1" x14ac:dyDescent="0.4">
      <c r="A13" s="450"/>
      <c r="B13" s="469"/>
      <c r="C13" s="536" t="s">
        <v>155</v>
      </c>
      <c r="D13" s="536" t="s">
        <v>203</v>
      </c>
      <c r="E13" s="537" t="s">
        <v>379</v>
      </c>
      <c r="F13" s="536"/>
      <c r="G13" s="538" t="s">
        <v>205</v>
      </c>
      <c r="H13" s="536"/>
      <c r="I13" s="537" t="s">
        <v>380</v>
      </c>
      <c r="J13" s="536"/>
      <c r="K13" s="537" t="s">
        <v>240</v>
      </c>
      <c r="L13" s="539"/>
      <c r="M13" s="540" t="s">
        <v>379</v>
      </c>
      <c r="N13" s="536"/>
      <c r="O13" s="536"/>
      <c r="P13" s="538" t="s">
        <v>205</v>
      </c>
      <c r="Q13" s="536"/>
      <c r="R13" s="541" t="s">
        <v>240</v>
      </c>
      <c r="S13" s="475"/>
      <c r="U13" s="542" t="s">
        <v>201</v>
      </c>
      <c r="V13" s="455">
        <v>0.23680000000000001</v>
      </c>
      <c r="W13" s="446"/>
    </row>
    <row r="14" spans="1:28" ht="16" thickBot="1" x14ac:dyDescent="0.4">
      <c r="A14" s="450"/>
      <c r="B14" s="543"/>
      <c r="C14" s="544"/>
      <c r="D14" s="544"/>
      <c r="E14" s="544"/>
      <c r="F14" s="544"/>
      <c r="G14" s="544"/>
      <c r="H14" s="544"/>
      <c r="I14" s="544"/>
      <c r="J14" s="544"/>
      <c r="K14" s="544"/>
      <c r="L14" s="544"/>
      <c r="M14" s="545"/>
      <c r="N14" s="544"/>
      <c r="O14" s="544"/>
      <c r="P14" s="544"/>
      <c r="Q14" s="544"/>
      <c r="R14" s="544"/>
      <c r="S14" s="490"/>
      <c r="U14" s="546"/>
      <c r="V14" s="547"/>
    </row>
    <row r="15" spans="1:28" ht="15.5" x14ac:dyDescent="0.35">
      <c r="A15" s="450"/>
      <c r="B15" s="548"/>
      <c r="C15" s="549"/>
      <c r="D15" s="549"/>
      <c r="E15" s="549"/>
      <c r="F15" s="549"/>
      <c r="G15" s="549"/>
      <c r="H15" s="549"/>
      <c r="I15" s="549"/>
      <c r="J15" s="549"/>
      <c r="K15" s="549"/>
      <c r="L15" s="550"/>
      <c r="M15" s="549"/>
      <c r="N15" s="549"/>
      <c r="O15" s="549"/>
      <c r="P15" s="549"/>
      <c r="Q15" s="549"/>
      <c r="R15" s="549"/>
      <c r="S15" s="550"/>
    </row>
    <row r="16" spans="1:28" ht="15.5" x14ac:dyDescent="0.35">
      <c r="A16" s="450"/>
      <c r="B16" s="469"/>
      <c r="C16" s="530" t="s">
        <v>381</v>
      </c>
      <c r="D16" s="551">
        <v>1</v>
      </c>
      <c r="E16" s="552">
        <v>28000</v>
      </c>
      <c r="F16" s="552"/>
      <c r="G16" s="552">
        <f t="shared" ref="G16:G21" si="0">IF($M16&gt;$U$11,($E16-$U$11)*$W$11,"ERROR")</f>
        <v>2608.2000000000003</v>
      </c>
      <c r="H16" s="552"/>
      <c r="I16" s="552">
        <f t="shared" ref="I16:I21" si="1">$E16*$V$13</f>
        <v>6630.4000000000005</v>
      </c>
      <c r="J16" s="552"/>
      <c r="K16" s="552">
        <f>E16+ROUND(G16,0)+ROUND(I16,0)</f>
        <v>37238</v>
      </c>
      <c r="L16" s="553"/>
      <c r="M16" s="552">
        <f t="shared" ref="M16:M21" si="2">E16</f>
        <v>28000</v>
      </c>
      <c r="N16" s="552"/>
      <c r="O16" s="552"/>
      <c r="P16" s="552">
        <f t="shared" ref="P16:P21" si="3">IF($M16&gt;$U$11,($M16-$U$11)*$W$11,"ERROR")</f>
        <v>2608.2000000000003</v>
      </c>
      <c r="Q16" s="552"/>
      <c r="R16" s="552">
        <f t="shared" ref="R16:R21" si="4">SUM(M16:P16)</f>
        <v>30608.2</v>
      </c>
      <c r="S16" s="475"/>
      <c r="U16" s="554"/>
      <c r="V16" s="555"/>
    </row>
    <row r="17" spans="1:22" ht="15.5" x14ac:dyDescent="0.35">
      <c r="A17" s="450"/>
      <c r="B17" s="478"/>
      <c r="C17" s="556"/>
      <c r="D17" s="551">
        <v>2</v>
      </c>
      <c r="E17" s="552">
        <v>29800</v>
      </c>
      <c r="F17" s="552"/>
      <c r="G17" s="552">
        <f t="shared" si="0"/>
        <v>2856.6000000000004</v>
      </c>
      <c r="H17" s="552"/>
      <c r="I17" s="552">
        <f t="shared" si="1"/>
        <v>7056.64</v>
      </c>
      <c r="J17" s="552"/>
      <c r="K17" s="552">
        <f t="shared" ref="K17:K34" si="5">E17+ROUND(G17,0)+ROUND(I17,0)</f>
        <v>39714</v>
      </c>
      <c r="L17" s="553"/>
      <c r="M17" s="552">
        <f t="shared" si="2"/>
        <v>29800</v>
      </c>
      <c r="N17" s="552"/>
      <c r="O17" s="552"/>
      <c r="P17" s="552">
        <f t="shared" si="3"/>
        <v>2856.6000000000004</v>
      </c>
      <c r="Q17" s="552"/>
      <c r="R17" s="552">
        <f t="shared" si="4"/>
        <v>32656.6</v>
      </c>
      <c r="S17" s="475"/>
      <c r="U17" s="554" t="s">
        <v>382</v>
      </c>
      <c r="V17" s="555"/>
    </row>
    <row r="18" spans="1:22" ht="15.5" x14ac:dyDescent="0.35">
      <c r="A18" s="450"/>
      <c r="B18" s="478"/>
      <c r="C18" s="556"/>
      <c r="D18" s="551">
        <v>3</v>
      </c>
      <c r="E18" s="552">
        <v>31750</v>
      </c>
      <c r="F18" s="552"/>
      <c r="G18" s="552">
        <f t="shared" si="0"/>
        <v>3125.7000000000003</v>
      </c>
      <c r="H18" s="552"/>
      <c r="I18" s="552">
        <f t="shared" si="1"/>
        <v>7518.4000000000005</v>
      </c>
      <c r="J18" s="552"/>
      <c r="K18" s="552">
        <f t="shared" si="5"/>
        <v>42394</v>
      </c>
      <c r="L18" s="553"/>
      <c r="M18" s="552">
        <f t="shared" si="2"/>
        <v>31750</v>
      </c>
      <c r="N18" s="552"/>
      <c r="O18" s="552"/>
      <c r="P18" s="552">
        <f t="shared" si="3"/>
        <v>3125.7000000000003</v>
      </c>
      <c r="Q18" s="552"/>
      <c r="R18" s="552">
        <f t="shared" si="4"/>
        <v>34875.699999999997</v>
      </c>
      <c r="S18" s="475"/>
      <c r="U18" s="554" t="s">
        <v>211</v>
      </c>
      <c r="V18" s="555"/>
    </row>
    <row r="19" spans="1:22" ht="15.5" x14ac:dyDescent="0.35">
      <c r="A19" s="450"/>
      <c r="B19" s="478"/>
      <c r="C19" s="556"/>
      <c r="D19" s="551">
        <v>4</v>
      </c>
      <c r="E19" s="552">
        <v>33850</v>
      </c>
      <c r="F19" s="552"/>
      <c r="G19" s="552">
        <f t="shared" si="0"/>
        <v>3415.5000000000005</v>
      </c>
      <c r="H19" s="552"/>
      <c r="I19" s="552">
        <f t="shared" si="1"/>
        <v>8015.68</v>
      </c>
      <c r="J19" s="552"/>
      <c r="K19" s="552">
        <f t="shared" si="5"/>
        <v>45282</v>
      </c>
      <c r="L19" s="553"/>
      <c r="M19" s="552">
        <f t="shared" si="2"/>
        <v>33850</v>
      </c>
      <c r="N19" s="552"/>
      <c r="O19" s="552"/>
      <c r="P19" s="552">
        <f t="shared" si="3"/>
        <v>3415.5000000000005</v>
      </c>
      <c r="Q19" s="552"/>
      <c r="R19" s="552">
        <f t="shared" si="4"/>
        <v>37265.5</v>
      </c>
      <c r="S19" s="475"/>
      <c r="U19" s="554"/>
      <c r="V19" s="555"/>
    </row>
    <row r="20" spans="1:22" ht="15.5" x14ac:dyDescent="0.35">
      <c r="A20" s="450"/>
      <c r="B20" s="478"/>
      <c r="C20" s="556"/>
      <c r="D20" s="551">
        <v>5</v>
      </c>
      <c r="E20" s="557">
        <f>35990+E53</f>
        <v>38374</v>
      </c>
      <c r="F20" s="552"/>
      <c r="G20" s="552">
        <f>IF($M20&gt;$U$11,($E20-$U$11)*$W$11,"ERROR")</f>
        <v>4039.8120000000004</v>
      </c>
      <c r="H20" s="552"/>
      <c r="I20" s="552">
        <f t="shared" si="1"/>
        <v>9086.9632000000001</v>
      </c>
      <c r="J20" s="552"/>
      <c r="K20" s="558">
        <f t="shared" si="5"/>
        <v>51501</v>
      </c>
      <c r="L20" s="553"/>
      <c r="M20" s="552">
        <f t="shared" si="2"/>
        <v>38374</v>
      </c>
      <c r="N20" s="552"/>
      <c r="O20" s="552"/>
      <c r="P20" s="552">
        <f t="shared" si="3"/>
        <v>4039.8120000000004</v>
      </c>
      <c r="Q20" s="552"/>
      <c r="R20" s="552">
        <f t="shared" si="4"/>
        <v>42413.811999999998</v>
      </c>
      <c r="S20" s="475"/>
      <c r="T20" s="559"/>
      <c r="U20" s="554" t="s">
        <v>212</v>
      </c>
      <c r="V20" s="560"/>
    </row>
    <row r="21" spans="1:22" ht="15.5" x14ac:dyDescent="0.35">
      <c r="A21" s="450"/>
      <c r="B21" s="478"/>
      <c r="C21" s="556"/>
      <c r="D21" s="551">
        <v>6</v>
      </c>
      <c r="E21" s="552">
        <v>38810</v>
      </c>
      <c r="F21" s="552"/>
      <c r="G21" s="552">
        <f t="shared" si="0"/>
        <v>4099.9800000000005</v>
      </c>
      <c r="H21" s="552"/>
      <c r="I21" s="552">
        <f t="shared" si="1"/>
        <v>9190.2080000000005</v>
      </c>
      <c r="J21" s="552"/>
      <c r="K21" s="552">
        <f t="shared" si="5"/>
        <v>52100</v>
      </c>
      <c r="L21" s="553"/>
      <c r="M21" s="552">
        <f t="shared" si="2"/>
        <v>38810</v>
      </c>
      <c r="N21" s="552"/>
      <c r="O21" s="552"/>
      <c r="P21" s="552">
        <f t="shared" si="3"/>
        <v>4099.9800000000005</v>
      </c>
      <c r="Q21" s="552"/>
      <c r="R21" s="552">
        <f t="shared" si="4"/>
        <v>42909.98</v>
      </c>
      <c r="S21" s="475"/>
      <c r="T21" s="559"/>
      <c r="U21" s="554" t="s">
        <v>383</v>
      </c>
      <c r="V21" s="560"/>
    </row>
    <row r="22" spans="1:22" ht="15.5" x14ac:dyDescent="0.35">
      <c r="A22" s="450"/>
      <c r="B22" s="561" t="s">
        <v>384</v>
      </c>
      <c r="C22" s="556"/>
      <c r="D22" s="551"/>
      <c r="E22" s="552"/>
      <c r="F22" s="552"/>
      <c r="G22" s="552"/>
      <c r="H22" s="552"/>
      <c r="I22" s="552"/>
      <c r="J22" s="552"/>
      <c r="K22" s="552"/>
      <c r="L22" s="553"/>
      <c r="M22" s="562" t="s">
        <v>385</v>
      </c>
      <c r="N22" s="552"/>
      <c r="O22" s="552"/>
      <c r="P22" s="552"/>
      <c r="Q22" s="552"/>
      <c r="R22" s="552"/>
      <c r="S22" s="475"/>
      <c r="U22" s="554"/>
      <c r="V22" s="560"/>
    </row>
    <row r="23" spans="1:22" ht="15.5" x14ac:dyDescent="0.35">
      <c r="A23" s="450"/>
      <c r="B23" s="478"/>
      <c r="C23" s="556" t="s">
        <v>386</v>
      </c>
      <c r="D23" s="551">
        <v>1</v>
      </c>
      <c r="E23" s="552">
        <v>40625</v>
      </c>
      <c r="F23" s="552"/>
      <c r="G23" s="552">
        <f>IF($M23&gt;$U$11,($E23-$U$11)*$W$11,"ERROR")</f>
        <v>4350.4500000000007</v>
      </c>
      <c r="H23" s="552"/>
      <c r="I23" s="552">
        <f>$E23*$V$13</f>
        <v>9620</v>
      </c>
      <c r="J23" s="552"/>
      <c r="K23" s="552">
        <f t="shared" si="5"/>
        <v>54595</v>
      </c>
      <c r="L23" s="553"/>
      <c r="M23" s="552">
        <f>E23</f>
        <v>40625</v>
      </c>
      <c r="N23" s="552"/>
      <c r="O23" s="552"/>
      <c r="P23" s="552">
        <f>IF($M23&gt;$U$11,($M23-$U$11)*$W$11,"ERROR")</f>
        <v>4350.4500000000007</v>
      </c>
      <c r="Q23" s="552"/>
      <c r="R23" s="552">
        <f>SUM(M23:P23)</f>
        <v>44975.45</v>
      </c>
      <c r="S23" s="475"/>
      <c r="T23" s="559"/>
      <c r="U23" s="554" t="s">
        <v>216</v>
      </c>
      <c r="V23" s="560"/>
    </row>
    <row r="24" spans="1:22" ht="15.5" x14ac:dyDescent="0.35">
      <c r="A24" s="450"/>
      <c r="B24" s="478"/>
      <c r="C24" s="556" t="s">
        <v>387</v>
      </c>
      <c r="D24" s="551">
        <v>2</v>
      </c>
      <c r="E24" s="552">
        <v>42131</v>
      </c>
      <c r="F24" s="552"/>
      <c r="G24" s="552">
        <f>IF($M24&gt;$U$11,($E24-$U$11)*$W$11,"ERROR")</f>
        <v>4558.2780000000002</v>
      </c>
      <c r="H24" s="552"/>
      <c r="I24" s="552">
        <f>$E24*$V$13</f>
        <v>9976.6208000000006</v>
      </c>
      <c r="J24" s="552"/>
      <c r="K24" s="552">
        <f t="shared" si="5"/>
        <v>56666</v>
      </c>
      <c r="L24" s="553"/>
      <c r="M24" s="552">
        <f>E24</f>
        <v>42131</v>
      </c>
      <c r="N24" s="552"/>
      <c r="O24" s="552"/>
      <c r="P24" s="552">
        <f>IF($M24&gt;$U$11,($M24-$U$11)*$W$11,"ERROR")</f>
        <v>4558.2780000000002</v>
      </c>
      <c r="Q24" s="552"/>
      <c r="R24" s="552">
        <f>SUM(M24:P24)</f>
        <v>46689.277999999998</v>
      </c>
      <c r="S24" s="475"/>
      <c r="T24" s="559"/>
      <c r="U24" s="554" t="s">
        <v>388</v>
      </c>
      <c r="V24" s="560"/>
    </row>
    <row r="25" spans="1:22" ht="15.5" x14ac:dyDescent="0.35">
      <c r="A25" s="450"/>
      <c r="B25" s="478"/>
      <c r="C25" s="556"/>
      <c r="D25" s="551">
        <v>3</v>
      </c>
      <c r="E25" s="552">
        <v>43685</v>
      </c>
      <c r="F25" s="552"/>
      <c r="G25" s="552">
        <f>IF($M25&gt;$U$11,($E25-$U$11)*$W$11,"ERROR")</f>
        <v>4772.7300000000005</v>
      </c>
      <c r="H25" s="552"/>
      <c r="I25" s="552">
        <f>$E25*$V$13</f>
        <v>10344.608</v>
      </c>
      <c r="J25" s="552"/>
      <c r="K25" s="552">
        <f t="shared" si="5"/>
        <v>58803</v>
      </c>
      <c r="L25" s="553"/>
      <c r="M25" s="552">
        <f>E25</f>
        <v>43685</v>
      </c>
      <c r="N25" s="552"/>
      <c r="O25" s="552"/>
      <c r="P25" s="552">
        <f>IF($M25&gt;$U$11,($M25-$U$11)*$W$11,"ERROR")</f>
        <v>4772.7300000000005</v>
      </c>
      <c r="Q25" s="552"/>
      <c r="R25" s="552">
        <f>SUM(M25:P25)</f>
        <v>48457.73</v>
      </c>
      <c r="S25" s="475"/>
      <c r="T25" s="559"/>
      <c r="U25" s="554"/>
      <c r="V25" s="560"/>
    </row>
    <row r="26" spans="1:22" ht="15.5" x14ac:dyDescent="0.35">
      <c r="A26" s="450"/>
      <c r="B26" s="478"/>
      <c r="C26" s="556"/>
      <c r="D26" s="551"/>
      <c r="E26" s="552"/>
      <c r="F26" s="552"/>
      <c r="G26" s="552"/>
      <c r="H26" s="552"/>
      <c r="I26" s="552"/>
      <c r="J26" s="552"/>
      <c r="K26" s="552"/>
      <c r="L26" s="553"/>
      <c r="M26" s="552"/>
      <c r="N26" s="552"/>
      <c r="O26" s="552"/>
      <c r="P26" s="552"/>
      <c r="Q26" s="552"/>
      <c r="R26" s="552"/>
      <c r="S26" s="475"/>
      <c r="T26" s="559"/>
      <c r="U26" s="554" t="s">
        <v>219</v>
      </c>
    </row>
    <row r="27" spans="1:22" ht="15.5" x14ac:dyDescent="0.35">
      <c r="A27" s="450"/>
      <c r="B27" s="561" t="s">
        <v>389</v>
      </c>
      <c r="C27" s="556"/>
      <c r="D27" s="551"/>
      <c r="E27" s="552"/>
      <c r="F27" s="552"/>
      <c r="G27" s="552"/>
      <c r="H27" s="552"/>
      <c r="I27" s="552"/>
      <c r="J27" s="552"/>
      <c r="K27" s="552"/>
      <c r="L27" s="553"/>
      <c r="M27" s="562" t="s">
        <v>385</v>
      </c>
      <c r="N27" s="552"/>
      <c r="O27" s="552"/>
      <c r="P27" s="552"/>
      <c r="Q27" s="552"/>
      <c r="R27" s="552"/>
      <c r="S27" s="475"/>
      <c r="T27" s="559"/>
      <c r="U27" s="554" t="s">
        <v>221</v>
      </c>
      <c r="V27" s="560"/>
    </row>
    <row r="28" spans="1:22" ht="15.5" x14ac:dyDescent="0.35">
      <c r="A28" s="450"/>
      <c r="B28" s="563"/>
      <c r="C28" s="556"/>
      <c r="D28" s="533"/>
      <c r="E28" s="552"/>
      <c r="F28" s="552"/>
      <c r="G28" s="552"/>
      <c r="H28" s="552"/>
      <c r="I28" s="552"/>
      <c r="J28" s="552"/>
      <c r="K28" s="552"/>
      <c r="L28" s="553"/>
      <c r="M28" s="552"/>
      <c r="N28" s="552"/>
      <c r="O28" s="552"/>
      <c r="P28" s="552"/>
      <c r="Q28" s="552"/>
      <c r="R28" s="552"/>
      <c r="S28" s="475"/>
      <c r="T28" s="559"/>
      <c r="U28" s="554" t="s">
        <v>390</v>
      </c>
      <c r="V28" s="560"/>
    </row>
    <row r="29" spans="1:22" ht="15.5" x14ac:dyDescent="0.35">
      <c r="A29" s="450"/>
      <c r="B29" s="564" t="s">
        <v>391</v>
      </c>
      <c r="C29" s="556" t="s">
        <v>392</v>
      </c>
      <c r="D29" s="565">
        <v>1</v>
      </c>
      <c r="E29" s="552">
        <v>19340</v>
      </c>
      <c r="F29" s="552"/>
      <c r="G29" s="552">
        <f t="shared" ref="G29:G34" si="6">IF($M29&gt;$U$11,($E29-$U$11)*$W$11,"ERROR")</f>
        <v>1413.1200000000001</v>
      </c>
      <c r="H29" s="552"/>
      <c r="I29" s="552">
        <f t="shared" ref="I29:I34" si="7">$E29*$V$13</f>
        <v>4579.7120000000004</v>
      </c>
      <c r="J29" s="552"/>
      <c r="K29" s="552">
        <f t="shared" si="5"/>
        <v>25333</v>
      </c>
      <c r="L29" s="553"/>
      <c r="M29" s="552">
        <f t="shared" ref="M29:M34" si="8">E29</f>
        <v>19340</v>
      </c>
      <c r="N29" s="552"/>
      <c r="O29" s="552"/>
      <c r="P29" s="552">
        <f t="shared" ref="P29:P36" si="9">IF($M29&gt;$U$11,($M29-$U$11)*$W$11,"ERROR")</f>
        <v>1413.1200000000001</v>
      </c>
      <c r="Q29" s="552"/>
      <c r="R29" s="552">
        <f t="shared" ref="R29:R34" si="10">SUM(M29:P29)</f>
        <v>20753.12</v>
      </c>
      <c r="S29" s="475"/>
      <c r="T29" s="559"/>
      <c r="U29" s="554"/>
      <c r="V29" s="560"/>
    </row>
    <row r="30" spans="1:22" ht="15.5" x14ac:dyDescent="0.35">
      <c r="A30" s="450"/>
      <c r="B30" s="564" t="s">
        <v>393</v>
      </c>
      <c r="C30" s="556" t="s">
        <v>394</v>
      </c>
      <c r="D30" s="565">
        <v>2</v>
      </c>
      <c r="E30" s="552">
        <v>21559</v>
      </c>
      <c r="F30" s="552"/>
      <c r="G30" s="552">
        <f t="shared" si="6"/>
        <v>1719.3420000000001</v>
      </c>
      <c r="H30" s="552"/>
      <c r="I30" s="552">
        <f t="shared" si="7"/>
        <v>5105.1711999999998</v>
      </c>
      <c r="J30" s="552"/>
      <c r="K30" s="552">
        <f t="shared" si="5"/>
        <v>28383</v>
      </c>
      <c r="L30" s="553"/>
      <c r="M30" s="552">
        <f t="shared" si="8"/>
        <v>21559</v>
      </c>
      <c r="N30" s="552"/>
      <c r="O30" s="552"/>
      <c r="P30" s="552">
        <f t="shared" si="9"/>
        <v>1719.3420000000001</v>
      </c>
      <c r="Q30" s="552"/>
      <c r="R30" s="552">
        <f t="shared" si="10"/>
        <v>23278.342000000001</v>
      </c>
      <c r="S30" s="475"/>
      <c r="T30" s="559"/>
      <c r="U30" s="554"/>
      <c r="V30" s="560"/>
    </row>
    <row r="31" spans="1:22" ht="15.5" x14ac:dyDescent="0.35">
      <c r="A31" s="450"/>
      <c r="B31" s="566"/>
      <c r="C31" s="556"/>
      <c r="D31" s="565">
        <v>3</v>
      </c>
      <c r="E31" s="552">
        <v>23777</v>
      </c>
      <c r="F31" s="552"/>
      <c r="G31" s="552">
        <f t="shared" si="6"/>
        <v>2025.4260000000002</v>
      </c>
      <c r="H31" s="552"/>
      <c r="I31" s="552">
        <f t="shared" si="7"/>
        <v>5630.3936000000003</v>
      </c>
      <c r="J31" s="552"/>
      <c r="K31" s="552">
        <f t="shared" si="5"/>
        <v>31432</v>
      </c>
      <c r="L31" s="553"/>
      <c r="M31" s="552">
        <f t="shared" si="8"/>
        <v>23777</v>
      </c>
      <c r="N31" s="552"/>
      <c r="O31" s="552"/>
      <c r="P31" s="552">
        <f t="shared" si="9"/>
        <v>2025.4260000000002</v>
      </c>
      <c r="Q31" s="552"/>
      <c r="R31" s="552">
        <f t="shared" si="10"/>
        <v>25802.425999999999</v>
      </c>
      <c r="S31" s="475"/>
      <c r="T31" s="559"/>
      <c r="U31" s="554"/>
    </row>
    <row r="32" spans="1:22" ht="15.5" x14ac:dyDescent="0.35">
      <c r="A32" s="450"/>
      <c r="B32" s="566"/>
      <c r="C32" s="556"/>
      <c r="D32" s="565">
        <v>4</v>
      </c>
      <c r="E32" s="552">
        <v>25733</v>
      </c>
      <c r="F32" s="552"/>
      <c r="G32" s="552">
        <f t="shared" si="6"/>
        <v>2295.3540000000003</v>
      </c>
      <c r="H32" s="552"/>
      <c r="I32" s="552">
        <f t="shared" si="7"/>
        <v>6093.5744000000004</v>
      </c>
      <c r="J32" s="552"/>
      <c r="K32" s="552">
        <f t="shared" si="5"/>
        <v>34122</v>
      </c>
      <c r="L32" s="553"/>
      <c r="M32" s="552">
        <f t="shared" si="8"/>
        <v>25733</v>
      </c>
      <c r="N32" s="552"/>
      <c r="O32" s="552"/>
      <c r="P32" s="552">
        <f t="shared" si="9"/>
        <v>2295.3540000000003</v>
      </c>
      <c r="Q32" s="552"/>
      <c r="R32" s="552">
        <f t="shared" si="10"/>
        <v>28028.353999999999</v>
      </c>
      <c r="S32" s="475"/>
      <c r="T32" s="559"/>
      <c r="U32" s="554"/>
    </row>
    <row r="33" spans="1:22" ht="15.5" x14ac:dyDescent="0.35">
      <c r="A33" s="450"/>
      <c r="B33" s="563"/>
      <c r="C33" s="556"/>
      <c r="D33" s="565">
        <v>5</v>
      </c>
      <c r="E33" s="552">
        <v>27954</v>
      </c>
      <c r="F33" s="552"/>
      <c r="G33" s="552">
        <f t="shared" si="6"/>
        <v>2601.8520000000003</v>
      </c>
      <c r="H33" s="552"/>
      <c r="I33" s="552">
        <f t="shared" si="7"/>
        <v>6619.5072</v>
      </c>
      <c r="J33" s="552"/>
      <c r="K33" s="552">
        <f t="shared" si="5"/>
        <v>37176</v>
      </c>
      <c r="L33" s="553"/>
      <c r="M33" s="552">
        <f t="shared" si="8"/>
        <v>27954</v>
      </c>
      <c r="N33" s="552"/>
      <c r="O33" s="552"/>
      <c r="P33" s="552">
        <f t="shared" si="9"/>
        <v>2601.8520000000003</v>
      </c>
      <c r="Q33" s="552"/>
      <c r="R33" s="552">
        <f t="shared" si="10"/>
        <v>30555.851999999999</v>
      </c>
      <c r="S33" s="475"/>
      <c r="T33" s="559"/>
      <c r="U33" s="554"/>
      <c r="V33" s="560"/>
    </row>
    <row r="34" spans="1:22" ht="15.5" x14ac:dyDescent="0.35">
      <c r="A34" s="450"/>
      <c r="B34" s="563"/>
      <c r="C34" s="556"/>
      <c r="D34" s="565">
        <v>6</v>
      </c>
      <c r="E34" s="552">
        <v>30172</v>
      </c>
      <c r="F34" s="552"/>
      <c r="G34" s="552">
        <f t="shared" si="6"/>
        <v>2907.9360000000001</v>
      </c>
      <c r="H34" s="552"/>
      <c r="I34" s="552">
        <f t="shared" si="7"/>
        <v>7144.7296000000006</v>
      </c>
      <c r="J34" s="552"/>
      <c r="K34" s="552">
        <f t="shared" si="5"/>
        <v>40225</v>
      </c>
      <c r="L34" s="553"/>
      <c r="M34" s="552">
        <f t="shared" si="8"/>
        <v>30172</v>
      </c>
      <c r="N34" s="552"/>
      <c r="O34" s="552"/>
      <c r="P34" s="552">
        <f t="shared" si="9"/>
        <v>2907.9360000000001</v>
      </c>
      <c r="Q34" s="552"/>
      <c r="R34" s="552">
        <f t="shared" si="10"/>
        <v>33079.936000000002</v>
      </c>
      <c r="S34" s="475"/>
      <c r="T34" s="559"/>
      <c r="U34" s="554"/>
      <c r="V34" s="560"/>
    </row>
    <row r="35" spans="1:22" ht="15.5" x14ac:dyDescent="0.35">
      <c r="A35" s="450"/>
      <c r="B35" s="563"/>
      <c r="C35" s="556"/>
      <c r="D35" s="565"/>
      <c r="E35" s="567"/>
      <c r="F35" s="567"/>
      <c r="G35" s="567"/>
      <c r="H35" s="567"/>
      <c r="I35" s="567"/>
      <c r="J35" s="567"/>
      <c r="K35" s="567"/>
      <c r="L35" s="568"/>
      <c r="M35" s="567"/>
      <c r="N35" s="567"/>
      <c r="O35" s="567"/>
      <c r="P35" s="567"/>
      <c r="Q35" s="567"/>
      <c r="R35" s="567"/>
      <c r="S35" s="475"/>
      <c r="T35" s="559"/>
      <c r="U35" s="554"/>
      <c r="V35" s="560"/>
    </row>
    <row r="36" spans="1:22" ht="15.5" x14ac:dyDescent="0.35">
      <c r="A36" s="450"/>
      <c r="B36" s="563"/>
      <c r="C36" s="556"/>
      <c r="D36" s="551">
        <v>5</v>
      </c>
      <c r="E36" s="557">
        <f>35990</f>
        <v>35990</v>
      </c>
      <c r="F36" s="552"/>
      <c r="G36" s="552">
        <f>IF($M36&gt;$U$11,($E36-$U$11)*$W$11,"ERROR")</f>
        <v>3710.82</v>
      </c>
      <c r="H36" s="552"/>
      <c r="I36" s="552">
        <f t="shared" ref="I36" si="11">$E36*$V$13</f>
        <v>8522.4320000000007</v>
      </c>
      <c r="J36" s="552"/>
      <c r="K36" s="558">
        <f t="shared" ref="K36" si="12">E36+ROUND(G36,0)+ROUND(I36,0)</f>
        <v>48223</v>
      </c>
      <c r="L36" s="568"/>
      <c r="M36" s="552">
        <f t="shared" ref="M36" si="13">E36</f>
        <v>35990</v>
      </c>
      <c r="N36" s="552"/>
      <c r="O36" s="552"/>
      <c r="P36" s="552">
        <f t="shared" si="9"/>
        <v>3710.82</v>
      </c>
      <c r="Q36" s="552"/>
      <c r="R36" s="552">
        <f t="shared" ref="R36" si="14">SUM(M36:P36)</f>
        <v>39700.82</v>
      </c>
      <c r="S36" s="475"/>
      <c r="T36" s="559"/>
      <c r="U36" s="554"/>
      <c r="V36" s="560"/>
    </row>
    <row r="37" spans="1:22" ht="16" thickBot="1" x14ac:dyDescent="0.4">
      <c r="A37" s="450"/>
      <c r="B37" s="569"/>
      <c r="C37" s="486"/>
      <c r="D37" s="570"/>
      <c r="E37" s="488"/>
      <c r="F37" s="488"/>
      <c r="G37" s="488"/>
      <c r="H37" s="488"/>
      <c r="I37" s="488"/>
      <c r="J37" s="488"/>
      <c r="K37" s="488"/>
      <c r="L37" s="571"/>
      <c r="M37" s="572"/>
      <c r="N37" s="488"/>
      <c r="O37" s="488"/>
      <c r="P37" s="488"/>
      <c r="Q37" s="488"/>
      <c r="R37" s="488"/>
      <c r="S37" s="490"/>
      <c r="T37" s="559"/>
      <c r="U37" s="554"/>
    </row>
    <row r="38" spans="1:22" ht="13.5" thickBot="1" x14ac:dyDescent="0.35">
      <c r="B38" s="573"/>
      <c r="C38" s="546"/>
      <c r="D38" s="574"/>
      <c r="E38" s="575"/>
      <c r="F38" s="575"/>
      <c r="G38" s="575"/>
      <c r="H38" s="575"/>
      <c r="I38" s="575"/>
      <c r="J38" s="575"/>
      <c r="K38" s="575"/>
      <c r="L38" s="575"/>
      <c r="M38" s="575"/>
      <c r="N38" s="575"/>
      <c r="O38" s="575"/>
      <c r="P38" s="575"/>
      <c r="Q38" s="575"/>
      <c r="R38" s="575"/>
      <c r="T38" s="559"/>
    </row>
    <row r="39" spans="1:22" ht="13" x14ac:dyDescent="0.3">
      <c r="A39" s="450" t="s">
        <v>395</v>
      </c>
      <c r="B39" s="412" t="s">
        <v>396</v>
      </c>
      <c r="C39" s="414"/>
      <c r="D39" s="576"/>
      <c r="E39" s="577"/>
      <c r="F39" s="577"/>
      <c r="G39" s="578"/>
      <c r="H39" s="575"/>
      <c r="I39" s="575"/>
      <c r="J39" s="575"/>
      <c r="K39" s="575"/>
      <c r="L39" s="575"/>
      <c r="M39" s="575"/>
      <c r="N39" s="575"/>
      <c r="O39" s="575"/>
      <c r="P39" s="575"/>
      <c r="Q39" s="575"/>
      <c r="R39" s="575"/>
      <c r="T39" s="559"/>
    </row>
    <row r="40" spans="1:22" x14ac:dyDescent="0.25">
      <c r="B40" s="423"/>
      <c r="C40" s="579"/>
      <c r="D40" s="580"/>
      <c r="E40" s="581"/>
      <c r="F40" s="581"/>
      <c r="G40" s="582"/>
      <c r="T40" s="559"/>
    </row>
    <row r="41" spans="1:22" x14ac:dyDescent="0.25">
      <c r="B41" s="423" t="s">
        <v>397</v>
      </c>
      <c r="C41" s="579"/>
      <c r="D41" s="580"/>
      <c r="E41" s="581"/>
      <c r="F41" s="581"/>
      <c r="G41" s="582"/>
      <c r="H41" s="509" t="s">
        <v>398</v>
      </c>
      <c r="T41" s="559"/>
    </row>
    <row r="42" spans="1:22" x14ac:dyDescent="0.25">
      <c r="B42" s="423" t="s">
        <v>399</v>
      </c>
      <c r="C42" s="579"/>
      <c r="D42" s="580"/>
      <c r="E42" s="583">
        <v>600</v>
      </c>
      <c r="F42" s="581"/>
      <c r="G42" s="582"/>
      <c r="T42" s="559"/>
    </row>
    <row r="43" spans="1:22" x14ac:dyDescent="0.25">
      <c r="B43" s="423" t="s">
        <v>400</v>
      </c>
      <c r="C43" s="579"/>
      <c r="D43" s="580"/>
      <c r="E43" s="583">
        <v>2975</v>
      </c>
      <c r="F43" s="581"/>
      <c r="G43" s="582"/>
    </row>
    <row r="44" spans="1:22" x14ac:dyDescent="0.25">
      <c r="B44" s="423"/>
      <c r="C44" s="579"/>
      <c r="D44" s="580"/>
      <c r="E44" s="583"/>
      <c r="F44" s="581"/>
      <c r="G44" s="582"/>
    </row>
    <row r="45" spans="1:22" x14ac:dyDescent="0.25">
      <c r="B45" s="423" t="s">
        <v>401</v>
      </c>
      <c r="C45" s="584"/>
      <c r="D45" s="424"/>
      <c r="E45" s="583"/>
      <c r="F45" s="584"/>
      <c r="G45" s="585"/>
      <c r="H45" s="509" t="s">
        <v>402</v>
      </c>
    </row>
    <row r="46" spans="1:22" x14ac:dyDescent="0.25">
      <c r="B46" s="423" t="s">
        <v>399</v>
      </c>
      <c r="C46" s="584"/>
      <c r="D46" s="424"/>
      <c r="E46" s="583">
        <v>3017</v>
      </c>
      <c r="F46" s="584"/>
      <c r="G46" s="582"/>
    </row>
    <row r="47" spans="1:22" x14ac:dyDescent="0.25">
      <c r="B47" s="423" t="s">
        <v>400</v>
      </c>
      <c r="C47" s="584"/>
      <c r="D47" s="424"/>
      <c r="E47" s="583">
        <v>7368</v>
      </c>
      <c r="F47" s="584"/>
      <c r="G47" s="582"/>
    </row>
    <row r="48" spans="1:22" x14ac:dyDescent="0.25">
      <c r="B48" s="423"/>
      <c r="C48" s="584"/>
      <c r="D48" s="424"/>
      <c r="E48" s="583"/>
      <c r="F48" s="584"/>
      <c r="G48" s="582"/>
    </row>
    <row r="49" spans="2:22" x14ac:dyDescent="0.25">
      <c r="B49" s="423" t="s">
        <v>403</v>
      </c>
      <c r="C49" s="584"/>
      <c r="D49" s="424"/>
      <c r="E49" s="583"/>
      <c r="F49" s="584"/>
      <c r="G49" s="582"/>
      <c r="H49" s="509" t="s">
        <v>404</v>
      </c>
    </row>
    <row r="50" spans="2:22" x14ac:dyDescent="0.25">
      <c r="B50" s="586" t="s">
        <v>399</v>
      </c>
      <c r="C50" s="424"/>
      <c r="D50" s="424"/>
      <c r="E50" s="583">
        <v>8706</v>
      </c>
      <c r="F50" s="584"/>
      <c r="G50" s="582"/>
      <c r="V50" s="560"/>
    </row>
    <row r="51" spans="2:22" x14ac:dyDescent="0.25">
      <c r="B51" s="586" t="s">
        <v>400</v>
      </c>
      <c r="C51" s="424"/>
      <c r="D51" s="424"/>
      <c r="E51" s="583">
        <v>14732</v>
      </c>
      <c r="F51" s="584"/>
      <c r="G51" s="582"/>
      <c r="V51" s="560"/>
    </row>
    <row r="52" spans="2:22" x14ac:dyDescent="0.25">
      <c r="B52" s="586"/>
      <c r="C52" s="424"/>
      <c r="D52" s="424"/>
      <c r="E52" s="583"/>
      <c r="F52" s="584"/>
      <c r="G52" s="582"/>
    </row>
    <row r="53" spans="2:22" x14ac:dyDescent="0.25">
      <c r="B53" s="586" t="s">
        <v>405</v>
      </c>
      <c r="C53" s="424"/>
      <c r="D53" s="424"/>
      <c r="E53" s="587">
        <v>2384</v>
      </c>
      <c r="F53" s="584"/>
      <c r="G53" s="582"/>
    </row>
    <row r="54" spans="2:22" ht="13" thickBot="1" x14ac:dyDescent="0.3">
      <c r="B54" s="542" t="s">
        <v>406</v>
      </c>
      <c r="C54" s="439"/>
      <c r="D54" s="439"/>
      <c r="E54" s="588">
        <v>4703</v>
      </c>
      <c r="F54" s="589"/>
      <c r="G54" s="590"/>
      <c r="V54" s="560"/>
    </row>
    <row r="55" spans="2:22" x14ac:dyDescent="0.25">
      <c r="V55" s="560"/>
    </row>
    <row r="57" spans="2:22" ht="13" x14ac:dyDescent="0.3">
      <c r="B57" s="450"/>
      <c r="V57" s="560"/>
    </row>
    <row r="58" spans="2:22" x14ac:dyDescent="0.25">
      <c r="V58" s="560"/>
    </row>
    <row r="59" spans="2:22" ht="14.5" x14ac:dyDescent="0.35">
      <c r="B59" s="591"/>
      <c r="C59"/>
      <c r="E59" s="575"/>
      <c r="F59"/>
      <c r="G59"/>
    </row>
    <row r="60" spans="2:22" ht="14.5" x14ac:dyDescent="0.35">
      <c r="C60"/>
      <c r="E60" s="575"/>
      <c r="F60"/>
      <c r="G60"/>
    </row>
    <row r="61" spans="2:22" x14ac:dyDescent="0.25">
      <c r="D61" s="592"/>
    </row>
    <row r="62" spans="2:22" x14ac:dyDescent="0.25">
      <c r="D62" s="592"/>
    </row>
    <row r="63" spans="2:22" x14ac:dyDescent="0.25">
      <c r="D63" s="592"/>
    </row>
    <row r="64" spans="2:22" x14ac:dyDescent="0.25">
      <c r="D64" s="592"/>
    </row>
    <row r="65" spans="4:4" x14ac:dyDescent="0.25">
      <c r="D65" s="592"/>
    </row>
    <row r="66" spans="4:4" x14ac:dyDescent="0.25">
      <c r="D66" s="592"/>
    </row>
  </sheetData>
  <mergeCells count="3">
    <mergeCell ref="B3:S4"/>
    <mergeCell ref="B5:S5"/>
    <mergeCell ref="B6:S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FDE0-660A-45DF-8E0D-B8721FA9179C}">
  <dimension ref="A2:G92"/>
  <sheetViews>
    <sheetView topLeftCell="A9" workbookViewId="0">
      <selection activeCell="B9" sqref="B9"/>
    </sheetView>
  </sheetViews>
  <sheetFormatPr defaultColWidth="9.1796875" defaultRowHeight="14" x14ac:dyDescent="0.3"/>
  <cols>
    <col min="1" max="1" width="66" style="9" customWidth="1"/>
    <col min="2" max="2" width="46.453125" style="9" customWidth="1"/>
    <col min="3" max="3" width="6.54296875" style="9" customWidth="1"/>
    <col min="4" max="4" width="52.7265625" style="10" customWidth="1"/>
    <col min="5" max="5" width="11.81640625" style="9" customWidth="1"/>
    <col min="6" max="6" width="9.1796875" style="9"/>
    <col min="7" max="7" width="12.453125" style="9" bestFit="1" customWidth="1"/>
    <col min="8" max="16384" width="9.1796875" style="9"/>
  </cols>
  <sheetData>
    <row r="2" spans="1:7" x14ac:dyDescent="0.3">
      <c r="A2" s="8" t="s">
        <v>0</v>
      </c>
      <c r="B2" s="10">
        <v>9257012</v>
      </c>
    </row>
    <row r="4" spans="1:7" x14ac:dyDescent="0.3">
      <c r="A4" s="1" t="s">
        <v>1</v>
      </c>
      <c r="B4" s="2" t="s">
        <v>66</v>
      </c>
      <c r="D4" s="2"/>
    </row>
    <row r="5" spans="1:7" x14ac:dyDescent="0.3">
      <c r="A5" s="9" t="s">
        <v>3</v>
      </c>
      <c r="B5" s="10">
        <v>80</v>
      </c>
    </row>
    <row r="6" spans="1:7" x14ac:dyDescent="0.3">
      <c r="A6" s="9" t="s">
        <v>4</v>
      </c>
      <c r="B6" s="10">
        <f>B5*C6</f>
        <v>8</v>
      </c>
      <c r="C6" s="215">
        <v>0.1</v>
      </c>
      <c r="D6" s="9"/>
    </row>
    <row r="7" spans="1:7" x14ac:dyDescent="0.3">
      <c r="A7" s="9" t="s">
        <v>5</v>
      </c>
      <c r="B7" s="10">
        <f>B5*C7</f>
        <v>72</v>
      </c>
      <c r="C7" s="215">
        <v>0.9</v>
      </c>
      <c r="D7" s="10" t="s">
        <v>6</v>
      </c>
    </row>
    <row r="8" spans="1:7" ht="28" x14ac:dyDescent="0.3">
      <c r="A8" s="9" t="s">
        <v>7</v>
      </c>
      <c r="B8" s="11">
        <v>9790</v>
      </c>
      <c r="D8" s="20" t="s">
        <v>8</v>
      </c>
      <c r="G8" s="88"/>
    </row>
    <row r="9" spans="1:7" ht="28" x14ac:dyDescent="0.3">
      <c r="A9" s="9" t="s">
        <v>10</v>
      </c>
      <c r="B9" s="11">
        <v>12431</v>
      </c>
      <c r="D9" s="20" t="s">
        <v>11</v>
      </c>
    </row>
    <row r="10" spans="1:7" x14ac:dyDescent="0.3">
      <c r="B10" s="11"/>
      <c r="D10" s="20"/>
    </row>
    <row r="11" spans="1:7" x14ac:dyDescent="0.3">
      <c r="A11" s="19" t="s">
        <v>12</v>
      </c>
      <c r="B11" s="11"/>
      <c r="D11" s="20"/>
    </row>
    <row r="12" spans="1:7" x14ac:dyDescent="0.3">
      <c r="A12" s="9" t="s">
        <v>13</v>
      </c>
      <c r="B12" s="11">
        <f>(B6*B8)+(B7*B9)</f>
        <v>973352</v>
      </c>
      <c r="D12" s="20"/>
      <c r="F12" s="270"/>
    </row>
    <row r="13" spans="1:7" x14ac:dyDescent="0.3">
      <c r="A13" s="9" t="s">
        <v>14</v>
      </c>
      <c r="B13" s="11">
        <f>(('[14]TEACHING ASSISTANT 2023-24'!L42+490)*6)*1.03</f>
        <v>191782.1831528387</v>
      </c>
      <c r="D13" s="20" t="s">
        <v>15</v>
      </c>
      <c r="E13" s="11"/>
      <c r="F13" s="11"/>
    </row>
    <row r="14" spans="1:7" x14ac:dyDescent="0.3">
      <c r="A14" s="35" t="s">
        <v>16</v>
      </c>
      <c r="B14" s="36">
        <f>SUM(B12:B13)</f>
        <v>1165134.1831528386</v>
      </c>
      <c r="C14" s="11"/>
      <c r="D14" s="11"/>
    </row>
    <row r="15" spans="1:7" x14ac:dyDescent="0.3">
      <c r="A15" s="35" t="s">
        <v>20</v>
      </c>
      <c r="B15" s="36">
        <f>28*190*2.53</f>
        <v>13459.599999999999</v>
      </c>
      <c r="C15" s="11"/>
      <c r="D15" s="11" t="s">
        <v>357</v>
      </c>
    </row>
    <row r="16" spans="1:7" x14ac:dyDescent="0.3">
      <c r="A16" s="3"/>
      <c r="B16" s="11"/>
      <c r="C16" s="11"/>
      <c r="D16" s="11"/>
    </row>
    <row r="17" spans="1:7" x14ac:dyDescent="0.3">
      <c r="A17" s="3" t="s">
        <v>24</v>
      </c>
      <c r="B17" s="4" t="s">
        <v>25</v>
      </c>
      <c r="C17" s="4"/>
      <c r="D17" s="4" t="s">
        <v>358</v>
      </c>
    </row>
    <row r="18" spans="1:7" x14ac:dyDescent="0.3">
      <c r="A18" s="1"/>
      <c r="B18" s="2"/>
    </row>
    <row r="19" spans="1:7" ht="28" x14ac:dyDescent="0.3">
      <c r="A19" s="35" t="s">
        <v>27</v>
      </c>
      <c r="B19" s="37">
        <f>SUM('[14]Special Funding Summary'!B59-(20500*1.03))</f>
        <v>417603.2</v>
      </c>
      <c r="C19" s="10"/>
      <c r="D19" s="261" t="s">
        <v>325</v>
      </c>
      <c r="F19" s="269"/>
    </row>
    <row r="20" spans="1:7" x14ac:dyDescent="0.3">
      <c r="A20" s="35" t="s">
        <v>28</v>
      </c>
      <c r="B20" s="37">
        <f>'[14]Special Funding Summary'!D59</f>
        <v>122003.5</v>
      </c>
      <c r="D20" s="12"/>
    </row>
    <row r="22" spans="1:7" x14ac:dyDescent="0.3">
      <c r="A22" s="5" t="s">
        <v>67</v>
      </c>
      <c r="B22" s="13">
        <f>B14+B15+B19+B20</f>
        <v>1718200.4831528387</v>
      </c>
      <c r="D22" s="11"/>
    </row>
    <row r="23" spans="1:7" x14ac:dyDescent="0.3">
      <c r="A23" s="5"/>
      <c r="B23" s="13"/>
      <c r="D23" s="13"/>
    </row>
    <row r="24" spans="1:7" x14ac:dyDescent="0.3">
      <c r="A24" s="1" t="s">
        <v>37</v>
      </c>
    </row>
    <row r="25" spans="1:7" x14ac:dyDescent="0.3">
      <c r="D25" s="260"/>
    </row>
    <row r="26" spans="1:7" x14ac:dyDescent="0.3">
      <c r="A26" s="3" t="s">
        <v>38</v>
      </c>
      <c r="B26" s="11">
        <f>ROUND(((144556+56084)*1.03),-1)</f>
        <v>206660</v>
      </c>
      <c r="D26" s="11" t="s">
        <v>68</v>
      </c>
    </row>
    <row r="27" spans="1:7" x14ac:dyDescent="0.3">
      <c r="A27" s="3" t="s">
        <v>39</v>
      </c>
      <c r="B27" s="11">
        <f>ROUND(('[14]ASD Unit'!D22),-1)</f>
        <v>68750</v>
      </c>
      <c r="D27" s="11" t="s">
        <v>327</v>
      </c>
    </row>
    <row r="28" spans="1:7" x14ac:dyDescent="0.3">
      <c r="A28" s="6" t="s">
        <v>40</v>
      </c>
      <c r="B28" s="41">
        <f>ROUND(124440,-1)</f>
        <v>124440</v>
      </c>
      <c r="C28" s="15"/>
      <c r="D28" s="11" t="s">
        <v>326</v>
      </c>
    </row>
    <row r="29" spans="1:7" ht="14.5" x14ac:dyDescent="0.35">
      <c r="A29" s="6" t="s">
        <v>69</v>
      </c>
      <c r="B29" s="42">
        <v>400000</v>
      </c>
      <c r="C29" s="11"/>
      <c r="D29" s="20" t="s">
        <v>320</v>
      </c>
      <c r="G29" s="15"/>
    </row>
    <row r="30" spans="1:7" x14ac:dyDescent="0.3">
      <c r="A30" s="6"/>
      <c r="B30" s="41"/>
      <c r="C30" s="11"/>
      <c r="D30" s="11"/>
      <c r="G30" s="15"/>
    </row>
    <row r="31" spans="1:7" x14ac:dyDescent="0.3">
      <c r="B31" s="16">
        <f>SUM(B26:B30)</f>
        <v>799850</v>
      </c>
      <c r="C31" s="11"/>
      <c r="D31" s="16"/>
    </row>
    <row r="32" spans="1:7" x14ac:dyDescent="0.3">
      <c r="B32" s="13"/>
      <c r="C32" s="11"/>
      <c r="D32" s="13"/>
      <c r="G32" s="15"/>
    </row>
    <row r="33" spans="1:7" x14ac:dyDescent="0.3">
      <c r="A33" s="5" t="s">
        <v>318</v>
      </c>
      <c r="B33" s="13">
        <f>B22+B31</f>
        <v>2518050.4831528384</v>
      </c>
      <c r="C33" s="11"/>
      <c r="D33" s="11" t="s">
        <v>330</v>
      </c>
      <c r="G33" s="15"/>
    </row>
    <row r="34" spans="1:7" x14ac:dyDescent="0.3">
      <c r="B34" s="13"/>
      <c r="C34" s="11"/>
      <c r="D34" s="13"/>
      <c r="G34" s="15"/>
    </row>
    <row r="35" spans="1:7" x14ac:dyDescent="0.3">
      <c r="A35" s="366" t="s">
        <v>296</v>
      </c>
      <c r="B35" s="493">
        <v>65447</v>
      </c>
      <c r="D35" s="13"/>
    </row>
    <row r="36" spans="1:7" x14ac:dyDescent="0.3">
      <c r="A36" s="5"/>
      <c r="B36" s="13"/>
      <c r="D36" s="13"/>
    </row>
    <row r="37" spans="1:7" x14ac:dyDescent="0.3">
      <c r="A37" s="5" t="s">
        <v>328</v>
      </c>
      <c r="B37" s="13">
        <f>B33+B35</f>
        <v>2583497.4831528384</v>
      </c>
      <c r="C37" s="11"/>
      <c r="D37" s="13"/>
    </row>
    <row r="38" spans="1:7" x14ac:dyDescent="0.3">
      <c r="A38" s="8"/>
      <c r="B38" s="13"/>
      <c r="C38" s="11"/>
      <c r="D38" s="13"/>
    </row>
    <row r="39" spans="1:7" x14ac:dyDescent="0.3">
      <c r="A39" s="263"/>
      <c r="B39" s="264"/>
      <c r="C39" s="265"/>
      <c r="D39" s="264"/>
    </row>
    <row r="40" spans="1:7" x14ac:dyDescent="0.3">
      <c r="A40" s="8" t="s">
        <v>70</v>
      </c>
      <c r="B40" s="13"/>
      <c r="C40" s="11"/>
      <c r="D40" s="13"/>
    </row>
    <row r="41" spans="1:7" x14ac:dyDescent="0.3">
      <c r="A41" s="3" t="s">
        <v>34</v>
      </c>
      <c r="B41" s="13">
        <v>10000</v>
      </c>
      <c r="C41" s="11"/>
      <c r="D41" s="13"/>
    </row>
    <row r="42" spans="1:7" x14ac:dyDescent="0.3">
      <c r="A42" s="3" t="s">
        <v>35</v>
      </c>
      <c r="B42" s="13">
        <f>(B22-(B5*B41))/B5</f>
        <v>11477.506039410484</v>
      </c>
      <c r="C42" s="11"/>
      <c r="D42" s="13"/>
    </row>
    <row r="43" spans="1:7" x14ac:dyDescent="0.3">
      <c r="A43" s="3" t="s">
        <v>36</v>
      </c>
      <c r="B43" s="11">
        <f>SUM(B41:B42)</f>
        <v>21477.506039410484</v>
      </c>
      <c r="C43" s="11"/>
    </row>
    <row r="44" spans="1:7" x14ac:dyDescent="0.3">
      <c r="A44" s="8"/>
      <c r="B44" s="13"/>
      <c r="C44" s="11"/>
    </row>
    <row r="45" spans="1:7" x14ac:dyDescent="0.3">
      <c r="A45" s="5" t="s">
        <v>329</v>
      </c>
      <c r="B45" s="10"/>
    </row>
    <row r="46" spans="1:7" ht="28" x14ac:dyDescent="0.3">
      <c r="A46" s="9" t="s">
        <v>46</v>
      </c>
      <c r="B46" s="11">
        <f>'[14]Pilgrim Formula - 2021'!B28-'[14]Pilgrim Formula - 2021'!B48</f>
        <v>1551765.2496760718</v>
      </c>
      <c r="D46" s="365" t="s">
        <v>331</v>
      </c>
    </row>
    <row r="47" spans="1:7" x14ac:dyDescent="0.3">
      <c r="B47" s="11"/>
      <c r="D47" s="365"/>
    </row>
    <row r="48" spans="1:7" ht="28" x14ac:dyDescent="0.3">
      <c r="A48" s="9" t="s">
        <v>71</v>
      </c>
      <c r="B48" s="11">
        <f>B22-'[14]Pilgrim Formula - 2021'!B48</f>
        <v>1651082.7618028386</v>
      </c>
      <c r="D48" s="365" t="s">
        <v>332</v>
      </c>
    </row>
    <row r="49" spans="1:6" ht="28" x14ac:dyDescent="0.3">
      <c r="A49" s="8" t="s">
        <v>317</v>
      </c>
      <c r="B49" s="262">
        <f>(B48-B46)/B46</f>
        <v>6.4002923217606006E-2</v>
      </c>
      <c r="D49" s="365" t="s">
        <v>324</v>
      </c>
    </row>
    <row r="50" spans="1:6" x14ac:dyDescent="0.3">
      <c r="A50" s="8"/>
      <c r="B50" s="262"/>
      <c r="D50" s="261"/>
    </row>
    <row r="51" spans="1:6" ht="14.5" thickBot="1" x14ac:dyDescent="0.35">
      <c r="A51" s="266"/>
      <c r="B51" s="265"/>
      <c r="C51" s="265"/>
      <c r="D51" s="265"/>
    </row>
    <row r="52" spans="1:6" x14ac:dyDescent="0.3">
      <c r="A52" s="27" t="s">
        <v>72</v>
      </c>
      <c r="B52" s="28" t="s">
        <v>49</v>
      </c>
      <c r="C52" s="11"/>
      <c r="D52" s="11"/>
    </row>
    <row r="53" spans="1:6" ht="14.5" x14ac:dyDescent="0.35">
      <c r="A53" s="29"/>
      <c r="B53" s="30"/>
    </row>
    <row r="54" spans="1:6" x14ac:dyDescent="0.3">
      <c r="A54" s="31" t="s">
        <v>73</v>
      </c>
      <c r="B54" s="32">
        <v>80</v>
      </c>
    </row>
    <row r="55" spans="1:6" x14ac:dyDescent="0.3">
      <c r="A55" s="31" t="s">
        <v>74</v>
      </c>
      <c r="B55" s="32">
        <v>80</v>
      </c>
      <c r="C55" s="13"/>
      <c r="D55" s="13"/>
    </row>
    <row r="56" spans="1:6" x14ac:dyDescent="0.3">
      <c r="A56" s="31"/>
      <c r="B56" s="32"/>
      <c r="C56" s="13"/>
      <c r="D56" s="13"/>
    </row>
    <row r="57" spans="1:6" x14ac:dyDescent="0.3">
      <c r="A57" s="31" t="s">
        <v>75</v>
      </c>
      <c r="B57" s="32">
        <v>0</v>
      </c>
      <c r="C57" s="11"/>
      <c r="D57" s="11"/>
    </row>
    <row r="58" spans="1:6" ht="14.5" thickBot="1" x14ac:dyDescent="0.35">
      <c r="A58" s="33" t="s">
        <v>76</v>
      </c>
      <c r="B58" s="34">
        <v>0</v>
      </c>
      <c r="C58" s="11"/>
      <c r="D58" s="11"/>
      <c r="F58" s="15"/>
    </row>
    <row r="59" spans="1:6" x14ac:dyDescent="0.3">
      <c r="A59" s="3"/>
      <c r="B59" s="11"/>
      <c r="C59" s="11"/>
      <c r="D59" s="11"/>
    </row>
    <row r="60" spans="1:6" x14ac:dyDescent="0.3">
      <c r="A60" s="1"/>
      <c r="B60" s="11"/>
      <c r="C60" s="11"/>
      <c r="D60" s="11"/>
    </row>
    <row r="61" spans="1:6" ht="14.25" customHeight="1" x14ac:dyDescent="0.3">
      <c r="A61" s="672" t="s">
        <v>77</v>
      </c>
      <c r="B61" s="672"/>
      <c r="C61" s="672"/>
      <c r="D61" s="11"/>
    </row>
    <row r="62" spans="1:6" x14ac:dyDescent="0.3">
      <c r="A62" s="672"/>
      <c r="B62" s="672"/>
      <c r="C62" s="672"/>
    </row>
    <row r="63" spans="1:6" ht="14.25" customHeight="1" x14ac:dyDescent="0.3">
      <c r="A63" s="672" t="s">
        <v>78</v>
      </c>
      <c r="B63" s="672"/>
      <c r="C63" s="672"/>
    </row>
    <row r="64" spans="1:6" x14ac:dyDescent="0.3">
      <c r="A64" s="672"/>
      <c r="B64" s="672"/>
      <c r="C64" s="672"/>
    </row>
    <row r="65" spans="1:3" x14ac:dyDescent="0.3">
      <c r="A65" s="673" t="s">
        <v>321</v>
      </c>
      <c r="B65" s="673"/>
      <c r="C65" s="673"/>
    </row>
    <row r="66" spans="1:3" x14ac:dyDescent="0.3">
      <c r="A66" s="672" t="s">
        <v>79</v>
      </c>
      <c r="B66" s="672"/>
      <c r="C66" s="672"/>
    </row>
    <row r="67" spans="1:3" x14ac:dyDescent="0.3">
      <c r="A67" s="672"/>
      <c r="B67" s="672"/>
      <c r="C67" s="672"/>
    </row>
    <row r="68" spans="1:3" ht="14.25" customHeight="1" x14ac:dyDescent="0.3">
      <c r="A68" s="672" t="s">
        <v>322</v>
      </c>
      <c r="B68" s="672"/>
      <c r="C68" s="672"/>
    </row>
    <row r="69" spans="1:3" x14ac:dyDescent="0.3">
      <c r="A69" s="672"/>
      <c r="B69" s="672"/>
      <c r="C69" s="672"/>
    </row>
    <row r="70" spans="1:3" x14ac:dyDescent="0.3">
      <c r="A70" s="672"/>
      <c r="B70" s="672"/>
      <c r="C70" s="672"/>
    </row>
    <row r="71" spans="1:3" x14ac:dyDescent="0.3">
      <c r="A71" s="672"/>
      <c r="B71" s="672"/>
      <c r="C71" s="672"/>
    </row>
    <row r="72" spans="1:3" x14ac:dyDescent="0.3">
      <c r="A72" s="672"/>
      <c r="B72" s="672"/>
      <c r="C72" s="672"/>
    </row>
    <row r="73" spans="1:3" x14ac:dyDescent="0.3">
      <c r="A73" s="672" t="s">
        <v>323</v>
      </c>
      <c r="B73" s="672"/>
      <c r="C73" s="672"/>
    </row>
    <row r="74" spans="1:3" x14ac:dyDescent="0.3">
      <c r="A74" s="672"/>
      <c r="B74" s="672"/>
      <c r="C74" s="672"/>
    </row>
    <row r="75" spans="1:3" x14ac:dyDescent="0.3">
      <c r="A75" s="672"/>
      <c r="B75" s="672"/>
      <c r="C75" s="672"/>
    </row>
    <row r="76" spans="1:3" x14ac:dyDescent="0.3">
      <c r="A76" s="672"/>
      <c r="B76" s="672"/>
      <c r="C76" s="672"/>
    </row>
    <row r="77" spans="1:3" x14ac:dyDescent="0.3">
      <c r="A77" s="365"/>
      <c r="B77" s="365"/>
      <c r="C77" s="365"/>
    </row>
    <row r="78" spans="1:3" ht="14.25" customHeight="1" x14ac:dyDescent="0.3">
      <c r="A78" s="672" t="s">
        <v>319</v>
      </c>
      <c r="B78" s="672"/>
      <c r="C78" s="672"/>
    </row>
    <row r="83" spans="1:3" ht="14.25" customHeight="1" x14ac:dyDescent="0.3">
      <c r="A83" s="353"/>
      <c r="B83" s="353"/>
      <c r="C83" s="353"/>
    </row>
    <row r="84" spans="1:3" x14ac:dyDescent="0.3">
      <c r="A84" s="353"/>
      <c r="B84" s="353"/>
      <c r="C84" s="353"/>
    </row>
    <row r="85" spans="1:3" x14ac:dyDescent="0.3">
      <c r="A85" s="353"/>
      <c r="B85" s="353"/>
      <c r="C85" s="353"/>
    </row>
    <row r="86" spans="1:3" x14ac:dyDescent="0.3">
      <c r="A86" s="353"/>
      <c r="B86" s="353"/>
      <c r="C86" s="353"/>
    </row>
    <row r="87" spans="1:3" x14ac:dyDescent="0.3">
      <c r="A87" s="353"/>
      <c r="B87" s="353"/>
      <c r="C87" s="353"/>
    </row>
    <row r="88" spans="1:3" ht="5.15" customHeight="1" x14ac:dyDescent="0.3">
      <c r="A88" s="353"/>
      <c r="B88" s="353"/>
      <c r="C88" s="353"/>
    </row>
    <row r="89" spans="1:3" ht="28" customHeight="1" x14ac:dyDescent="0.3"/>
    <row r="90" spans="1:3" x14ac:dyDescent="0.3">
      <c r="A90" s="353"/>
      <c r="B90" s="353"/>
      <c r="C90" s="353"/>
    </row>
    <row r="91" spans="1:3" x14ac:dyDescent="0.3">
      <c r="A91" s="353"/>
      <c r="B91" s="353"/>
      <c r="C91" s="353"/>
    </row>
    <row r="92" spans="1:3" x14ac:dyDescent="0.3">
      <c r="A92" s="360"/>
      <c r="B92" s="353"/>
      <c r="C92" s="353"/>
    </row>
  </sheetData>
  <mergeCells count="7">
    <mergeCell ref="A78:C78"/>
    <mergeCell ref="A61:C62"/>
    <mergeCell ref="A63:C64"/>
    <mergeCell ref="A65:C65"/>
    <mergeCell ref="A66:C67"/>
    <mergeCell ref="A68:C72"/>
    <mergeCell ref="A73:C76"/>
  </mergeCells>
  <conditionalFormatting sqref="B49:B50">
    <cfRule type="cellIs" dxfId="3" priority="1" operator="greaterThan">
      <formula>0</formula>
    </cfRule>
    <cfRule type="cellIs" dxfId="2" priority="2"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087E-72B5-4BF6-8AAC-C9A4EF803F80}">
  <dimension ref="A2:G83"/>
  <sheetViews>
    <sheetView topLeftCell="A14" workbookViewId="0">
      <selection activeCell="B28" sqref="B28"/>
    </sheetView>
  </sheetViews>
  <sheetFormatPr defaultColWidth="9.1796875" defaultRowHeight="14" x14ac:dyDescent="0.3"/>
  <cols>
    <col min="1" max="1" width="53.453125" style="9" customWidth="1"/>
    <col min="2" max="2" width="46.453125" style="9" customWidth="1"/>
    <col min="3" max="3" width="6.54296875" style="9" customWidth="1"/>
    <col min="4" max="4" width="46.453125" style="10" customWidth="1"/>
    <col min="5" max="5" width="11.81640625" style="9" customWidth="1"/>
    <col min="6" max="6" width="9.1796875" style="9"/>
    <col min="7" max="7" width="12.453125" style="9" bestFit="1" customWidth="1"/>
    <col min="8" max="16384" width="9.1796875" style="9"/>
  </cols>
  <sheetData>
    <row r="2" spans="1:7" x14ac:dyDescent="0.3">
      <c r="A2" s="8" t="s">
        <v>0</v>
      </c>
      <c r="B2" s="10">
        <v>9257012</v>
      </c>
    </row>
    <row r="4" spans="1:7" x14ac:dyDescent="0.3">
      <c r="A4" s="1" t="s">
        <v>1</v>
      </c>
      <c r="B4" s="2" t="s">
        <v>2</v>
      </c>
      <c r="D4" s="2"/>
    </row>
    <row r="5" spans="1:7" x14ac:dyDescent="0.3">
      <c r="A5" s="9" t="s">
        <v>3</v>
      </c>
      <c r="B5" s="10">
        <v>80</v>
      </c>
    </row>
    <row r="6" spans="1:7" x14ac:dyDescent="0.3">
      <c r="A6" s="9" t="s">
        <v>4</v>
      </c>
      <c r="B6" s="10">
        <f>B5*C6</f>
        <v>8</v>
      </c>
      <c r="C6" s="215">
        <v>0.1</v>
      </c>
      <c r="D6" s="9"/>
    </row>
    <row r="7" spans="1:7" x14ac:dyDescent="0.3">
      <c r="A7" s="9" t="s">
        <v>5</v>
      </c>
      <c r="B7" s="10">
        <f>B5*C7</f>
        <v>72</v>
      </c>
      <c r="C7" s="215">
        <v>0.9</v>
      </c>
      <c r="D7" s="10" t="s">
        <v>6</v>
      </c>
    </row>
    <row r="8" spans="1:7" ht="28" x14ac:dyDescent="0.3">
      <c r="A8" s="9" t="s">
        <v>7</v>
      </c>
      <c r="B8" s="11">
        <f>'2122 Band Values'!N29</f>
        <v>9279.875359714546</v>
      </c>
      <c r="D8" s="20" t="s">
        <v>8</v>
      </c>
      <c r="G8" s="88" t="s">
        <v>9</v>
      </c>
    </row>
    <row r="9" spans="1:7" ht="28" x14ac:dyDescent="0.3">
      <c r="A9" s="9" t="s">
        <v>10</v>
      </c>
      <c r="B9" s="11">
        <f>'2122 Band Values'!N26</f>
        <v>11749.273926854283</v>
      </c>
      <c r="D9" s="20" t="s">
        <v>11</v>
      </c>
    </row>
    <row r="10" spans="1:7" x14ac:dyDescent="0.3">
      <c r="B10" s="11"/>
      <c r="D10" s="20"/>
    </row>
    <row r="11" spans="1:7" x14ac:dyDescent="0.3">
      <c r="A11" s="19" t="s">
        <v>12</v>
      </c>
      <c r="B11" s="11"/>
      <c r="D11" s="20"/>
    </row>
    <row r="12" spans="1:7" x14ac:dyDescent="0.3">
      <c r="A12" s="9" t="s">
        <v>13</v>
      </c>
      <c r="B12" s="11">
        <f>(B6*B8)+(B7*B9)</f>
        <v>920186.72561122465</v>
      </c>
      <c r="D12" s="20"/>
    </row>
    <row r="13" spans="1:7" x14ac:dyDescent="0.3">
      <c r="A13" s="9" t="s">
        <v>14</v>
      </c>
      <c r="B13" s="11">
        <f>('TEACHING ASSISTANT 2023-24'!L31+490)*6</f>
        <v>181128.44541484717</v>
      </c>
      <c r="D13" s="20" t="s">
        <v>15</v>
      </c>
      <c r="E13" s="11"/>
      <c r="F13" s="11"/>
    </row>
    <row r="14" spans="1:7" x14ac:dyDescent="0.3">
      <c r="A14" s="35" t="s">
        <v>16</v>
      </c>
      <c r="B14" s="36">
        <f>SUM(B12:B13)</f>
        <v>1101315.1710260718</v>
      </c>
      <c r="C14" s="11"/>
      <c r="D14" s="11"/>
    </row>
    <row r="15" spans="1:7" x14ac:dyDescent="0.3">
      <c r="A15" s="3"/>
      <c r="B15" s="11"/>
      <c r="C15" s="11"/>
      <c r="D15" s="11"/>
    </row>
    <row r="16" spans="1:7" ht="14.5" x14ac:dyDescent="0.35">
      <c r="A16" s="21" t="s">
        <v>17</v>
      </c>
      <c r="B16" s="22"/>
      <c r="C16" s="11"/>
      <c r="D16" s="11"/>
    </row>
    <row r="17" spans="1:5" ht="14.5" x14ac:dyDescent="0.35">
      <c r="A17" s="23" t="s">
        <v>18</v>
      </c>
      <c r="B17" s="24">
        <f>(B6*'2122 Band Values'!Q29)+('Pilgrim Formula - 2021'!B7*'2122 Band Values'!Q26)</f>
        <v>55036.721349999978</v>
      </c>
      <c r="C17" s="11"/>
      <c r="D17" s="11"/>
    </row>
    <row r="18" spans="1:5" ht="14.5" x14ac:dyDescent="0.35">
      <c r="A18" s="25" t="s">
        <v>19</v>
      </c>
      <c r="B18" s="217">
        <f>(B6*'2122 Band Values'!R29)+('Pilgrim Formula - 2021'!B7*'2122 Band Values'!R26)</f>
        <v>13386.261244541496</v>
      </c>
      <c r="C18" s="11"/>
      <c r="D18" s="11"/>
    </row>
    <row r="19" spans="1:5" ht="14.5" x14ac:dyDescent="0.35">
      <c r="A19" s="7"/>
      <c r="B19" s="18"/>
      <c r="C19" s="11"/>
      <c r="D19" s="11"/>
    </row>
    <row r="20" spans="1:5" x14ac:dyDescent="0.3">
      <c r="A20" s="35" t="s">
        <v>20</v>
      </c>
      <c r="B20" s="36">
        <f>28*191*2.35</f>
        <v>12567.800000000001</v>
      </c>
      <c r="C20" s="11"/>
      <c r="D20" s="11" t="s">
        <v>21</v>
      </c>
    </row>
    <row r="21" spans="1:5" x14ac:dyDescent="0.3">
      <c r="A21" s="3" t="s">
        <v>22</v>
      </c>
      <c r="B21" s="11">
        <f>B14-B17-B18</f>
        <v>1032892.1884315303</v>
      </c>
      <c r="C21" s="11"/>
      <c r="D21" s="11" t="s">
        <v>23</v>
      </c>
      <c r="E21" s="15"/>
    </row>
    <row r="22" spans="1:5" x14ac:dyDescent="0.3">
      <c r="A22" s="3"/>
      <c r="B22" s="11"/>
      <c r="C22" s="11"/>
      <c r="D22" s="11"/>
    </row>
    <row r="23" spans="1:5" x14ac:dyDescent="0.3">
      <c r="A23" s="3" t="s">
        <v>24</v>
      </c>
      <c r="B23" s="4" t="s">
        <v>25</v>
      </c>
      <c r="C23" s="4"/>
      <c r="D23" s="4" t="s">
        <v>26</v>
      </c>
    </row>
    <row r="24" spans="1:5" x14ac:dyDescent="0.3">
      <c r="A24" s="1"/>
      <c r="B24" s="2"/>
    </row>
    <row r="25" spans="1:5" x14ac:dyDescent="0.3">
      <c r="A25" s="35" t="s">
        <v>27</v>
      </c>
      <c r="B25" s="37">
        <v>390000</v>
      </c>
      <c r="D25" s="12"/>
    </row>
    <row r="26" spans="1:5" x14ac:dyDescent="0.3">
      <c r="A26" s="35" t="s">
        <v>28</v>
      </c>
      <c r="B26" s="37">
        <v>115000</v>
      </c>
      <c r="D26" s="12"/>
    </row>
    <row r="28" spans="1:5" x14ac:dyDescent="0.3">
      <c r="A28" s="5" t="s">
        <v>29</v>
      </c>
      <c r="B28" s="13">
        <f>B14+B20+B25+B26</f>
        <v>1618882.9710260718</v>
      </c>
      <c r="D28" s="11" t="s">
        <v>30</v>
      </c>
    </row>
    <row r="29" spans="1:5" x14ac:dyDescent="0.3">
      <c r="A29" s="5"/>
      <c r="B29" s="13"/>
      <c r="D29" s="13"/>
    </row>
    <row r="30" spans="1:5" ht="14.5" x14ac:dyDescent="0.35">
      <c r="A30" s="7" t="s">
        <v>31</v>
      </c>
      <c r="B30" s="18">
        <v>1443045</v>
      </c>
      <c r="D30" s="11" t="s">
        <v>32</v>
      </c>
    </row>
    <row r="31" spans="1:5" ht="14.5" x14ac:dyDescent="0.35">
      <c r="A31" s="7" t="s">
        <v>33</v>
      </c>
      <c r="B31" s="18">
        <f>B30+B47</f>
        <v>1491302</v>
      </c>
      <c r="D31" s="11"/>
    </row>
    <row r="32" spans="1:5" x14ac:dyDescent="0.3">
      <c r="A32" s="5"/>
      <c r="B32" s="13"/>
      <c r="D32" s="13"/>
    </row>
    <row r="33" spans="1:7" x14ac:dyDescent="0.3">
      <c r="A33" s="5" t="s">
        <v>34</v>
      </c>
      <c r="B33" s="13">
        <v>10000</v>
      </c>
      <c r="D33" s="13"/>
    </row>
    <row r="34" spans="1:7" x14ac:dyDescent="0.3">
      <c r="A34" s="5" t="s">
        <v>35</v>
      </c>
      <c r="B34" s="13">
        <f>(B28-(B5*B33))/B5</f>
        <v>10236.037137825897</v>
      </c>
      <c r="D34" s="13"/>
    </row>
    <row r="35" spans="1:7" x14ac:dyDescent="0.3">
      <c r="A35" s="3" t="s">
        <v>36</v>
      </c>
      <c r="B35" s="11">
        <f>SUM(B33:B34)</f>
        <v>20236.037137825897</v>
      </c>
      <c r="C35" s="11"/>
      <c r="D35" s="11"/>
    </row>
    <row r="36" spans="1:7" x14ac:dyDescent="0.3">
      <c r="G36" s="14"/>
    </row>
    <row r="37" spans="1:7" x14ac:dyDescent="0.3">
      <c r="A37" s="1" t="s">
        <v>37</v>
      </c>
    </row>
    <row r="38" spans="1:7" x14ac:dyDescent="0.3">
      <c r="A38" s="3" t="s">
        <v>38</v>
      </c>
      <c r="B38" s="11">
        <f>141225+54450</f>
        <v>195675</v>
      </c>
    </row>
    <row r="39" spans="1:7" x14ac:dyDescent="0.3">
      <c r="A39" s="3" t="s">
        <v>39</v>
      </c>
      <c r="B39" s="11">
        <v>120000</v>
      </c>
    </row>
    <row r="40" spans="1:7" x14ac:dyDescent="0.3">
      <c r="A40" s="6" t="s">
        <v>40</v>
      </c>
      <c r="B40" s="41">
        <v>122000</v>
      </c>
      <c r="C40" s="15"/>
      <c r="D40" s="11"/>
    </row>
    <row r="41" spans="1:7" ht="14.5" x14ac:dyDescent="0.35">
      <c r="A41" s="6" t="s">
        <v>41</v>
      </c>
      <c r="B41" s="42">
        <v>200000</v>
      </c>
      <c r="C41" s="11"/>
      <c r="D41" s="11" t="s">
        <v>42</v>
      </c>
      <c r="G41" s="15"/>
    </row>
    <row r="42" spans="1:7" x14ac:dyDescent="0.3">
      <c r="B42" s="16">
        <f>SUM(B38:B41)</f>
        <v>637675</v>
      </c>
      <c r="C42" s="11"/>
      <c r="D42" s="16"/>
    </row>
    <row r="43" spans="1:7" x14ac:dyDescent="0.3">
      <c r="B43" s="13"/>
      <c r="C43" s="11"/>
      <c r="D43" s="13"/>
      <c r="G43" s="15"/>
    </row>
    <row r="44" spans="1:7" x14ac:dyDescent="0.3">
      <c r="A44" s="8" t="s">
        <v>43</v>
      </c>
      <c r="B44" s="13">
        <f>B28+B42</f>
        <v>2256557.9710260718</v>
      </c>
      <c r="C44" s="11"/>
      <c r="D44" s="13"/>
    </row>
    <row r="45" spans="1:7" x14ac:dyDescent="0.3">
      <c r="B45" s="10"/>
    </row>
    <row r="46" spans="1:7" x14ac:dyDescent="0.3">
      <c r="A46" s="1" t="s">
        <v>44</v>
      </c>
      <c r="B46" s="10"/>
    </row>
    <row r="47" spans="1:7" x14ac:dyDescent="0.3">
      <c r="A47" s="3" t="s">
        <v>45</v>
      </c>
      <c r="B47" s="11">
        <f>13002+35255</f>
        <v>48257</v>
      </c>
    </row>
    <row r="48" spans="1:7" x14ac:dyDescent="0.3">
      <c r="A48" s="9" t="s">
        <v>46</v>
      </c>
      <c r="B48" s="11">
        <f>B17+12081</f>
        <v>67117.721349999978</v>
      </c>
      <c r="D48" s="10" t="s">
        <v>47</v>
      </c>
    </row>
    <row r="49" spans="1:6" x14ac:dyDescent="0.3">
      <c r="B49" s="10"/>
    </row>
    <row r="50" spans="1:6" ht="14.5" thickBot="1" x14ac:dyDescent="0.35">
      <c r="A50" s="17"/>
      <c r="B50" s="11"/>
      <c r="C50" s="11"/>
      <c r="D50" s="11"/>
    </row>
    <row r="51" spans="1:6" x14ac:dyDescent="0.3">
      <c r="A51" s="27" t="s">
        <v>48</v>
      </c>
      <c r="B51" s="28" t="s">
        <v>49</v>
      </c>
      <c r="C51" s="11"/>
      <c r="D51" s="11"/>
    </row>
    <row r="52" spans="1:6" ht="14.5" x14ac:dyDescent="0.35">
      <c r="A52" s="29"/>
      <c r="B52" s="30"/>
    </row>
    <row r="53" spans="1:6" x14ac:dyDescent="0.3">
      <c r="A53" s="31" t="s">
        <v>50</v>
      </c>
      <c r="B53" s="32">
        <v>80</v>
      </c>
    </row>
    <row r="54" spans="1:6" x14ac:dyDescent="0.3">
      <c r="A54" s="31" t="s">
        <v>51</v>
      </c>
      <c r="B54" s="32">
        <v>80</v>
      </c>
      <c r="C54" s="13"/>
      <c r="D54" s="13"/>
    </row>
    <row r="55" spans="1:6" x14ac:dyDescent="0.3">
      <c r="A55" s="31"/>
      <c r="B55" s="32"/>
      <c r="C55" s="13"/>
      <c r="D55" s="13"/>
    </row>
    <row r="56" spans="1:6" x14ac:dyDescent="0.3">
      <c r="A56" s="31" t="s">
        <v>52</v>
      </c>
      <c r="B56" s="32">
        <v>0</v>
      </c>
      <c r="C56" s="11"/>
      <c r="D56" s="11"/>
    </row>
    <row r="57" spans="1:6" ht="14.5" thickBot="1" x14ac:dyDescent="0.35">
      <c r="A57" s="33" t="s">
        <v>53</v>
      </c>
      <c r="B57" s="34">
        <v>0</v>
      </c>
      <c r="C57" s="11"/>
      <c r="D57" s="11"/>
      <c r="F57" s="15"/>
    </row>
    <row r="58" spans="1:6" x14ac:dyDescent="0.3">
      <c r="A58" s="3"/>
      <c r="B58" s="11"/>
      <c r="C58" s="11"/>
      <c r="D58" s="11"/>
    </row>
    <row r="59" spans="1:6" x14ac:dyDescent="0.3">
      <c r="A59" s="1"/>
      <c r="B59" s="11"/>
      <c r="C59" s="11"/>
      <c r="D59" s="11"/>
    </row>
    <row r="60" spans="1:6" x14ac:dyDescent="0.3">
      <c r="A60" s="3"/>
      <c r="B60" s="11"/>
      <c r="C60" s="11"/>
      <c r="D60" s="11"/>
    </row>
    <row r="61" spans="1:6" x14ac:dyDescent="0.3">
      <c r="A61" s="3" t="s">
        <v>54</v>
      </c>
      <c r="B61" s="11"/>
      <c r="C61" s="11"/>
      <c r="D61" s="11"/>
    </row>
    <row r="62" spans="1:6" x14ac:dyDescent="0.3">
      <c r="A62" s="3" t="s">
        <v>55</v>
      </c>
      <c r="B62" s="11">
        <v>2234995</v>
      </c>
      <c r="C62" s="11"/>
      <c r="D62" s="13"/>
    </row>
    <row r="63" spans="1:6" x14ac:dyDescent="0.3">
      <c r="A63" s="3" t="s">
        <v>56</v>
      </c>
      <c r="B63" s="11">
        <f>557.86*80</f>
        <v>44628.800000000003</v>
      </c>
      <c r="C63" s="26"/>
      <c r="D63" s="26"/>
    </row>
    <row r="64" spans="1:6" ht="14.5" thickBot="1" x14ac:dyDescent="0.35">
      <c r="A64" s="3"/>
      <c r="B64" s="38">
        <f>SUM(B62:B63)</f>
        <v>2279623.7999999998</v>
      </c>
      <c r="C64" s="11"/>
      <c r="D64" s="13"/>
    </row>
    <row r="65" spans="1:4" x14ac:dyDescent="0.3">
      <c r="A65" s="3"/>
      <c r="B65" s="11"/>
      <c r="C65" s="11"/>
      <c r="D65" s="11"/>
    </row>
    <row r="66" spans="1:4" ht="14.5" x14ac:dyDescent="0.35">
      <c r="A66" s="7"/>
      <c r="B66" s="39">
        <f>B44-B64</f>
        <v>-23065.828973928001</v>
      </c>
      <c r="C66" s="40"/>
      <c r="D66" s="218" t="s">
        <v>57</v>
      </c>
    </row>
    <row r="67" spans="1:4" ht="14.5" x14ac:dyDescent="0.35">
      <c r="A67" s="7"/>
      <c r="B67" s="18"/>
      <c r="C67" s="11"/>
      <c r="D67" s="18"/>
    </row>
    <row r="68" spans="1:4" x14ac:dyDescent="0.3">
      <c r="A68" s="3"/>
      <c r="B68" s="11"/>
      <c r="C68" s="11"/>
      <c r="D68" s="11"/>
    </row>
    <row r="69" spans="1:4" x14ac:dyDescent="0.3">
      <c r="A69" s="3"/>
      <c r="B69" s="216" t="s">
        <v>58</v>
      </c>
      <c r="C69" s="11"/>
      <c r="D69" s="11" t="s">
        <v>59</v>
      </c>
    </row>
    <row r="70" spans="1:4" x14ac:dyDescent="0.3">
      <c r="A70" s="3" t="s">
        <v>60</v>
      </c>
      <c r="B70" s="11">
        <v>2455413</v>
      </c>
      <c r="C70" s="11"/>
      <c r="D70" s="11"/>
    </row>
    <row r="71" spans="1:4" x14ac:dyDescent="0.3">
      <c r="A71" s="9" t="s">
        <v>61</v>
      </c>
      <c r="B71" s="11">
        <v>-20000</v>
      </c>
    </row>
    <row r="72" spans="1:4" x14ac:dyDescent="0.3">
      <c r="B72" s="87">
        <f>SUM(B70:B71)</f>
        <v>2435413</v>
      </c>
    </row>
    <row r="74" spans="1:4" x14ac:dyDescent="0.3">
      <c r="A74" s="88" t="s">
        <v>62</v>
      </c>
      <c r="B74" s="40">
        <f>B44-B72</f>
        <v>-178855.02897392819</v>
      </c>
    </row>
    <row r="77" spans="1:4" x14ac:dyDescent="0.3">
      <c r="B77" s="216" t="s">
        <v>63</v>
      </c>
    </row>
    <row r="78" spans="1:4" x14ac:dyDescent="0.3">
      <c r="A78" s="3" t="s">
        <v>60</v>
      </c>
      <c r="B78" s="11">
        <v>2350286</v>
      </c>
      <c r="D78" s="10" t="s">
        <v>64</v>
      </c>
    </row>
    <row r="79" spans="1:4" x14ac:dyDescent="0.3">
      <c r="A79" s="9" t="s">
        <v>61</v>
      </c>
      <c r="B79" s="11">
        <v>-20000</v>
      </c>
    </row>
    <row r="80" spans="1:4" x14ac:dyDescent="0.3">
      <c r="A80" s="9" t="s">
        <v>65</v>
      </c>
      <c r="B80" s="11">
        <v>17330</v>
      </c>
    </row>
    <row r="81" spans="1:2" x14ac:dyDescent="0.3">
      <c r="B81" s="87">
        <f>SUM(B78:B80)</f>
        <v>2347616</v>
      </c>
    </row>
    <row r="83" spans="1:2" x14ac:dyDescent="0.3">
      <c r="A83" s="88" t="s">
        <v>62</v>
      </c>
      <c r="B83" s="40">
        <f>B44-B81</f>
        <v>-91058.028973928187</v>
      </c>
    </row>
  </sheetData>
  <conditionalFormatting sqref="B48">
    <cfRule type="cellIs" dxfId="1" priority="1" operator="greaterThan">
      <formula>$B$47</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3562-455B-4E7F-9250-6EAD1C0DBC70}">
  <dimension ref="B2:J25"/>
  <sheetViews>
    <sheetView workbookViewId="0">
      <selection activeCell="F24" sqref="F24"/>
    </sheetView>
  </sheetViews>
  <sheetFormatPr defaultColWidth="9.1796875" defaultRowHeight="12.5" x14ac:dyDescent="0.25"/>
  <cols>
    <col min="1" max="1" width="9.1796875" style="369"/>
    <col min="2" max="2" width="19.26953125" style="369" customWidth="1"/>
    <col min="3" max="3" width="20.7265625" style="368" customWidth="1"/>
    <col min="4" max="4" width="9.1796875" style="369"/>
    <col min="5" max="7" width="9.1796875" style="368"/>
    <col min="8" max="9" width="9.1796875" style="369"/>
    <col min="10" max="10" width="12.7265625" style="369" customWidth="1"/>
    <col min="11" max="16384" width="9.1796875" style="369"/>
  </cols>
  <sheetData>
    <row r="2" spans="2:10" ht="13" x14ac:dyDescent="0.3">
      <c r="B2" s="367" t="s">
        <v>231</v>
      </c>
    </row>
    <row r="3" spans="2:10" x14ac:dyDescent="0.25">
      <c r="B3" s="370"/>
    </row>
    <row r="4" spans="2:10" ht="39" x14ac:dyDescent="0.3">
      <c r="B4" s="371" t="s">
        <v>334</v>
      </c>
      <c r="C4" s="371" t="s">
        <v>115</v>
      </c>
      <c r="D4" s="372"/>
      <c r="E4" s="373" t="s">
        <v>335</v>
      </c>
      <c r="F4" s="373" t="s">
        <v>336</v>
      </c>
      <c r="G4" s="373" t="s">
        <v>337</v>
      </c>
      <c r="H4" s="373" t="s">
        <v>338</v>
      </c>
      <c r="J4" s="374" t="s">
        <v>339</v>
      </c>
    </row>
    <row r="5" spans="2:10" x14ac:dyDescent="0.25">
      <c r="B5" s="375"/>
      <c r="C5" s="375"/>
      <c r="D5" s="375"/>
      <c r="E5" s="375"/>
      <c r="F5" s="375"/>
      <c r="G5" s="375"/>
      <c r="H5" s="376"/>
      <c r="J5" s="376"/>
    </row>
    <row r="6" spans="2:10" x14ac:dyDescent="0.25">
      <c r="B6" s="375" t="s">
        <v>105</v>
      </c>
      <c r="C6" s="375" t="s">
        <v>119</v>
      </c>
      <c r="D6" s="375"/>
      <c r="E6" s="377">
        <v>2243.6502192982457</v>
      </c>
      <c r="F6" s="377">
        <v>4291.75</v>
      </c>
      <c r="G6" s="377">
        <v>435.07669220559848</v>
      </c>
      <c r="H6" s="378">
        <v>6733.4806965127136</v>
      </c>
      <c r="J6" s="379">
        <v>1.5647963269263949E-2</v>
      </c>
    </row>
    <row r="7" spans="2:10" x14ac:dyDescent="0.25">
      <c r="B7" s="375" t="s">
        <v>106</v>
      </c>
      <c r="C7" s="375" t="s">
        <v>121</v>
      </c>
      <c r="D7" s="375"/>
      <c r="E7" s="377">
        <v>2692.3802631578947</v>
      </c>
      <c r="F7" s="377">
        <v>5150.1000000000004</v>
      </c>
      <c r="G7" s="377">
        <v>435.07669220559848</v>
      </c>
      <c r="H7" s="378">
        <v>7996.1200188811354</v>
      </c>
      <c r="J7" s="379">
        <v>1.2954081541993625E-2</v>
      </c>
    </row>
    <row r="8" spans="2:10" x14ac:dyDescent="0.25">
      <c r="B8" s="375" t="s">
        <v>107</v>
      </c>
      <c r="C8" s="375" t="s">
        <v>124</v>
      </c>
      <c r="D8" s="375"/>
      <c r="E8" s="377">
        <v>9726.2237006578944</v>
      </c>
      <c r="F8" s="377">
        <v>6437.625</v>
      </c>
      <c r="G8" s="377">
        <v>435.07669220559848</v>
      </c>
      <c r="H8" s="378">
        <v>16034.561929506133</v>
      </c>
      <c r="J8" s="379">
        <v>3.0085612682438333E-2</v>
      </c>
    </row>
    <row r="9" spans="2:10" x14ac:dyDescent="0.25">
      <c r="B9" s="375" t="s">
        <v>108</v>
      </c>
      <c r="C9" s="375" t="s">
        <v>126</v>
      </c>
      <c r="D9" s="375"/>
      <c r="E9" s="377">
        <v>10096.425986842105</v>
      </c>
      <c r="F9" s="377">
        <v>6437.625</v>
      </c>
      <c r="G9" s="377">
        <v>435.07669220559848</v>
      </c>
      <c r="H9" s="378">
        <v>16392.177337960082</v>
      </c>
      <c r="J9" s="379">
        <v>3.1514152731411206E-2</v>
      </c>
    </row>
    <row r="10" spans="2:10" x14ac:dyDescent="0.25">
      <c r="B10" s="375" t="s">
        <v>109</v>
      </c>
      <c r="C10" s="375" t="s">
        <v>126</v>
      </c>
      <c r="D10" s="375"/>
      <c r="E10" s="377">
        <v>10096.425986842105</v>
      </c>
      <c r="F10" s="377">
        <v>6437.625</v>
      </c>
      <c r="G10" s="377">
        <v>435.07669220559848</v>
      </c>
      <c r="H10" s="378">
        <v>16392.177337960082</v>
      </c>
      <c r="J10" s="379">
        <v>3.1514152731411206E-2</v>
      </c>
    </row>
    <row r="11" spans="2:10" x14ac:dyDescent="0.25">
      <c r="B11" s="375" t="s">
        <v>110</v>
      </c>
      <c r="C11" s="375" t="s">
        <v>126</v>
      </c>
      <c r="D11" s="375"/>
      <c r="E11" s="377">
        <v>8974.6008771929828</v>
      </c>
      <c r="F11" s="377">
        <v>8583.5</v>
      </c>
      <c r="G11" s="377">
        <v>435.07669220559848</v>
      </c>
      <c r="H11" s="378">
        <v>17381.40953203903</v>
      </c>
      <c r="J11" s="379">
        <v>2.1359981527164104E-2</v>
      </c>
    </row>
    <row r="12" spans="2:10" x14ac:dyDescent="0.25">
      <c r="B12" s="375" t="s">
        <v>111</v>
      </c>
      <c r="C12" s="375" t="s">
        <v>129</v>
      </c>
      <c r="D12" s="375"/>
      <c r="E12" s="377">
        <v>26923.802631578947</v>
      </c>
      <c r="F12" s="377">
        <v>0</v>
      </c>
      <c r="G12" s="377">
        <v>0</v>
      </c>
      <c r="H12" s="378">
        <v>26008.393342105261</v>
      </c>
      <c r="J12" s="379">
        <v>6.5685996056376428E-2</v>
      </c>
    </row>
    <row r="13" spans="2:10" x14ac:dyDescent="0.25">
      <c r="B13" s="375" t="s">
        <v>4</v>
      </c>
      <c r="C13" s="375"/>
      <c r="D13" s="380"/>
      <c r="E13" s="377">
        <v>3365.4753289473683</v>
      </c>
      <c r="F13" s="377">
        <v>6437.625</v>
      </c>
      <c r="G13" s="377">
        <v>435.07669220559848</v>
      </c>
      <c r="H13" s="378">
        <v>9890.0790024337657</v>
      </c>
      <c r="J13" s="379">
        <v>1.02176700801394E-2</v>
      </c>
    </row>
    <row r="14" spans="2:10" x14ac:dyDescent="0.25">
      <c r="B14" s="375" t="s">
        <v>290</v>
      </c>
      <c r="C14" s="375" t="s">
        <v>251</v>
      </c>
      <c r="D14" s="375"/>
      <c r="E14" s="377">
        <v>6730.9506578947367</v>
      </c>
      <c r="F14" s="377">
        <v>6027.875</v>
      </c>
      <c r="G14" s="377">
        <v>435.07669220559848</v>
      </c>
      <c r="H14" s="378">
        <v>12745.309670196924</v>
      </c>
      <c r="J14" s="379">
        <v>2.5296872879327702E-2</v>
      </c>
    </row>
    <row r="16" spans="2:10" x14ac:dyDescent="0.25">
      <c r="J16" s="381">
        <f>AVERAGE(J6:J12)</f>
        <v>2.9823134362865551E-2</v>
      </c>
    </row>
    <row r="23" spans="5:7" x14ac:dyDescent="0.25">
      <c r="E23" s="382"/>
      <c r="F23" s="383"/>
      <c r="G23" s="383"/>
    </row>
    <row r="25" spans="5:7" x14ac:dyDescent="0.25">
      <c r="F25" s="383"/>
      <c r="G25" s="383"/>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120"/>
  <sheetViews>
    <sheetView topLeftCell="A25" zoomScale="80" zoomScaleNormal="80" workbookViewId="0">
      <selection activeCell="A19" sqref="A19"/>
    </sheetView>
  </sheetViews>
  <sheetFormatPr defaultColWidth="9.1796875" defaultRowHeight="15.75" customHeight="1" x14ac:dyDescent="0.35"/>
  <cols>
    <col min="1" max="1" width="63.54296875" style="273" customWidth="1"/>
    <col min="2" max="2" width="32.26953125" style="273" customWidth="1"/>
    <col min="3" max="3" width="3.1796875" style="273" bestFit="1" customWidth="1"/>
    <col min="4" max="4" width="42.81640625" style="273" bestFit="1" customWidth="1"/>
    <col min="5" max="5" width="8" style="273" customWidth="1"/>
    <col min="6" max="6" width="63" style="273" bestFit="1" customWidth="1"/>
    <col min="7" max="7" width="41.81640625" style="273" customWidth="1"/>
    <col min="8" max="8" width="4.1796875" style="273" bestFit="1" customWidth="1"/>
    <col min="9" max="9" width="3" style="273" customWidth="1"/>
    <col min="10" max="10" width="19.1796875" style="273" customWidth="1"/>
    <col min="11" max="11" width="10.26953125" style="273" bestFit="1" customWidth="1"/>
    <col min="12" max="16384" width="9.1796875" style="273"/>
  </cols>
  <sheetData>
    <row r="1" spans="1:13" ht="15.75" customHeight="1" x14ac:dyDescent="0.35">
      <c r="A1" s="359" t="s">
        <v>80</v>
      </c>
      <c r="B1" s="359"/>
      <c r="C1" s="359"/>
      <c r="D1" s="43"/>
      <c r="E1" s="359"/>
      <c r="F1" s="43"/>
      <c r="G1" s="359"/>
      <c r="H1" s="43"/>
      <c r="I1" s="43"/>
      <c r="J1" s="43"/>
      <c r="K1" s="43"/>
      <c r="L1" s="43"/>
      <c r="M1" s="43"/>
    </row>
    <row r="2" spans="1:13" ht="15.75" customHeight="1" x14ac:dyDescent="0.35">
      <c r="A2" s="359"/>
      <c r="B2" s="359"/>
      <c r="C2" s="359"/>
      <c r="D2" s="43"/>
      <c r="E2" s="359"/>
      <c r="F2" s="43"/>
      <c r="G2" s="43"/>
      <c r="H2" s="43"/>
      <c r="I2" s="43"/>
      <c r="J2" s="43"/>
      <c r="K2" s="43"/>
      <c r="L2" s="43"/>
      <c r="M2" s="43"/>
    </row>
    <row r="3" spans="1:13" ht="15.75" customHeight="1" x14ac:dyDescent="0.35">
      <c r="A3" s="274" t="s">
        <v>81</v>
      </c>
      <c r="B3" s="45"/>
      <c r="C3" s="43"/>
      <c r="D3" s="359" t="e">
        <v>#N/A</v>
      </c>
      <c r="E3" s="275"/>
      <c r="F3" s="359"/>
      <c r="G3" s="44"/>
      <c r="H3" s="43"/>
      <c r="I3" s="43"/>
      <c r="J3" s="43"/>
      <c r="K3" s="359"/>
      <c r="L3" s="43"/>
      <c r="M3" s="43"/>
    </row>
    <row r="4" spans="1:13" ht="15.75" customHeight="1" x14ac:dyDescent="0.35">
      <c r="A4" s="274"/>
      <c r="B4" s="43"/>
      <c r="C4" s="43"/>
      <c r="D4" s="359"/>
      <c r="E4" s="275"/>
      <c r="F4" s="359"/>
      <c r="G4" s="44"/>
      <c r="H4" s="43"/>
      <c r="I4" s="43"/>
      <c r="J4" s="43"/>
      <c r="K4" s="359"/>
      <c r="L4" s="43"/>
      <c r="M4" s="43"/>
    </row>
    <row r="5" spans="1:13" ht="15.75" customHeight="1" x14ac:dyDescent="0.35">
      <c r="A5" s="43"/>
      <c r="B5" s="46"/>
      <c r="C5" s="46"/>
      <c r="D5" s="46"/>
      <c r="E5" s="43"/>
      <c r="F5" s="680" t="s">
        <v>66</v>
      </c>
      <c r="G5" s="680"/>
      <c r="H5" s="43"/>
      <c r="I5" s="43"/>
      <c r="J5" s="47"/>
      <c r="K5" s="43"/>
      <c r="L5" s="43"/>
      <c r="M5" s="43"/>
    </row>
    <row r="6" spans="1:13" ht="15.75" customHeight="1" x14ac:dyDescent="0.35">
      <c r="A6" s="43"/>
      <c r="B6" s="359"/>
      <c r="C6" s="359"/>
      <c r="D6" s="359"/>
      <c r="E6" s="43"/>
      <c r="F6" s="43"/>
      <c r="G6" s="43"/>
      <c r="H6" s="43"/>
      <c r="I6" s="43"/>
      <c r="J6" s="47"/>
      <c r="K6" s="43"/>
      <c r="L6" s="43"/>
      <c r="M6" s="43"/>
    </row>
    <row r="7" spans="1:13" ht="15.75" customHeight="1" x14ac:dyDescent="0.35">
      <c r="A7" s="48" t="s">
        <v>1</v>
      </c>
      <c r="B7" s="359" t="s">
        <v>82</v>
      </c>
      <c r="C7" s="43"/>
      <c r="D7" s="359" t="s">
        <v>66</v>
      </c>
      <c r="E7" s="43"/>
      <c r="F7" s="48" t="s">
        <v>1</v>
      </c>
      <c r="G7" s="359" t="s">
        <v>66</v>
      </c>
      <c r="H7" s="43"/>
      <c r="I7" s="43"/>
      <c r="J7" s="47"/>
      <c r="K7" s="43"/>
      <c r="L7" s="43"/>
      <c r="M7" s="43"/>
    </row>
    <row r="8" spans="1:13" ht="15.75" customHeight="1" x14ac:dyDescent="0.35">
      <c r="A8" s="43" t="s">
        <v>27</v>
      </c>
      <c r="B8" s="276" t="e">
        <v>#N/A</v>
      </c>
      <c r="C8" s="49"/>
      <c r="D8" s="276" t="e">
        <v>#N/A</v>
      </c>
      <c r="F8" s="43" t="s">
        <v>27</v>
      </c>
      <c r="G8" s="276" t="e">
        <v>#N/A</v>
      </c>
      <c r="H8" s="50"/>
      <c r="I8" s="43"/>
      <c r="J8" s="47"/>
      <c r="K8" s="43"/>
      <c r="L8" s="43"/>
      <c r="M8" s="43"/>
    </row>
    <row r="9" spans="1:13" ht="15.75" customHeight="1" x14ac:dyDescent="0.35">
      <c r="A9" s="43" t="s">
        <v>83</v>
      </c>
      <c r="B9" s="276" t="e">
        <v>#N/A</v>
      </c>
      <c r="C9" s="49"/>
      <c r="D9" s="276" t="e">
        <v>#N/A</v>
      </c>
      <c r="F9" s="43" t="s">
        <v>83</v>
      </c>
      <c r="G9" s="276" t="e">
        <v>#N/A</v>
      </c>
      <c r="H9" s="50"/>
      <c r="I9" s="43"/>
      <c r="J9" s="47"/>
      <c r="K9" s="43"/>
      <c r="L9" s="43"/>
      <c r="M9" s="43"/>
    </row>
    <row r="10" spans="1:13" ht="15.75" customHeight="1" x14ac:dyDescent="0.35">
      <c r="A10" s="43" t="s">
        <v>84</v>
      </c>
      <c r="B10" s="276" t="e">
        <v>#N/A</v>
      </c>
      <c r="C10" s="49"/>
      <c r="D10" s="276" t="e">
        <v>#N/A</v>
      </c>
      <c r="E10" s="43">
        <v>2</v>
      </c>
      <c r="F10" s="43" t="s">
        <v>84</v>
      </c>
      <c r="G10" s="276" t="e">
        <v>#N/A</v>
      </c>
      <c r="H10" s="50"/>
      <c r="I10" s="43"/>
      <c r="J10" s="47"/>
      <c r="K10" s="43"/>
      <c r="L10" s="43"/>
      <c r="M10" s="43"/>
    </row>
    <row r="11" spans="1:13" ht="15.75" customHeight="1" x14ac:dyDescent="0.35">
      <c r="A11" s="43" t="s">
        <v>85</v>
      </c>
      <c r="B11" s="276" t="e">
        <v>#N/A</v>
      </c>
      <c r="C11" s="49"/>
      <c r="D11" s="276" t="e">
        <v>#N/A</v>
      </c>
      <c r="E11" s="43"/>
      <c r="F11" s="43" t="s">
        <v>85</v>
      </c>
      <c r="G11" s="276" t="e">
        <v>#N/A</v>
      </c>
      <c r="H11" s="50"/>
      <c r="I11" s="43"/>
      <c r="J11" s="47"/>
      <c r="K11" s="43"/>
      <c r="L11" s="43"/>
      <c r="M11" s="43"/>
    </row>
    <row r="12" spans="1:13" ht="15.75" customHeight="1" x14ac:dyDescent="0.35">
      <c r="A12" s="43" t="s">
        <v>86</v>
      </c>
      <c r="B12" s="276" t="e">
        <v>#N/A</v>
      </c>
      <c r="C12" s="49"/>
      <c r="D12" s="276" t="e">
        <v>#N/A</v>
      </c>
      <c r="E12" s="43"/>
      <c r="F12" s="43" t="s">
        <v>86</v>
      </c>
      <c r="G12" s="276" t="e">
        <v>#N/A</v>
      </c>
      <c r="H12" s="50"/>
      <c r="I12" s="43"/>
      <c r="J12" s="47"/>
      <c r="K12" s="43"/>
      <c r="L12" s="43"/>
      <c r="M12" s="43"/>
    </row>
    <row r="13" spans="1:13" ht="15.75" customHeight="1" x14ac:dyDescent="0.35">
      <c r="A13" s="43" t="s">
        <v>295</v>
      </c>
      <c r="B13" s="276" t="e">
        <v>#N/A</v>
      </c>
      <c r="C13" s="49"/>
      <c r="D13" s="51"/>
      <c r="E13" s="43"/>
      <c r="F13" s="43" t="s">
        <v>295</v>
      </c>
      <c r="G13" s="277" t="e">
        <v>#N/A</v>
      </c>
      <c r="H13" s="50"/>
      <c r="I13" s="43"/>
      <c r="J13" s="47"/>
      <c r="K13" s="43"/>
      <c r="L13" s="43"/>
      <c r="M13" s="43"/>
    </row>
    <row r="14" spans="1:13" ht="15.75" customHeight="1" x14ac:dyDescent="0.35">
      <c r="A14" s="43" t="s">
        <v>87</v>
      </c>
      <c r="B14" s="278" t="e">
        <v>#N/A</v>
      </c>
      <c r="C14" s="47">
        <v>1</v>
      </c>
      <c r="D14" s="52" t="e">
        <v>#N/A</v>
      </c>
      <c r="E14" s="43"/>
      <c r="H14" s="50"/>
      <c r="I14" s="43"/>
      <c r="J14" s="47"/>
      <c r="K14" s="43"/>
      <c r="L14" s="43"/>
      <c r="M14" s="43"/>
    </row>
    <row r="15" spans="1:13" ht="15.75" customHeight="1" x14ac:dyDescent="0.35">
      <c r="E15" s="43">
        <v>3</v>
      </c>
      <c r="F15" s="359" t="s">
        <v>88</v>
      </c>
      <c r="G15" s="279" t="e">
        <v>#N/A</v>
      </c>
      <c r="H15" s="43">
        <v>9</v>
      </c>
      <c r="I15" s="43"/>
      <c r="J15" s="276"/>
      <c r="K15" s="49"/>
      <c r="L15" s="43"/>
      <c r="M15" s="43"/>
    </row>
    <row r="16" spans="1:13" ht="15.75" customHeight="1" x14ac:dyDescent="0.35">
      <c r="A16" s="43"/>
      <c r="B16" s="53" t="s">
        <v>89</v>
      </c>
      <c r="C16" s="49"/>
      <c r="D16" s="53" t="s">
        <v>90</v>
      </c>
      <c r="E16" s="43"/>
      <c r="I16" s="43"/>
      <c r="J16" s="280"/>
      <c r="K16" s="49"/>
      <c r="L16" s="43"/>
      <c r="M16" s="43"/>
    </row>
    <row r="17" spans="1:13" ht="15.75" customHeight="1" x14ac:dyDescent="0.35">
      <c r="A17" s="43"/>
      <c r="B17" s="53"/>
      <c r="C17" s="49"/>
      <c r="D17" s="53"/>
      <c r="E17" s="43"/>
      <c r="F17" s="273" t="s">
        <v>296</v>
      </c>
      <c r="G17" s="361" t="e">
        <v>#N/A</v>
      </c>
      <c r="H17" s="273">
        <v>10</v>
      </c>
      <c r="I17" s="43"/>
      <c r="J17" s="280"/>
      <c r="K17" s="43"/>
      <c r="L17" s="43"/>
      <c r="M17" s="43"/>
    </row>
    <row r="18" spans="1:13" ht="15.75" customHeight="1" x14ac:dyDescent="0.35">
      <c r="A18" s="43" t="s">
        <v>91</v>
      </c>
      <c r="B18" s="281" t="e">
        <v>#N/A</v>
      </c>
      <c r="C18" s="47"/>
      <c r="D18" s="47" t="e">
        <v>#N/A</v>
      </c>
      <c r="E18" s="43"/>
      <c r="I18" s="43"/>
      <c r="K18" s="43"/>
      <c r="L18" s="43"/>
      <c r="M18" s="43"/>
    </row>
    <row r="19" spans="1:13" ht="15.75" customHeight="1" x14ac:dyDescent="0.35">
      <c r="A19" s="43"/>
      <c r="B19" s="49"/>
      <c r="C19" s="49"/>
      <c r="D19" s="49"/>
      <c r="E19" s="43">
        <v>4</v>
      </c>
      <c r="F19" s="362" t="s">
        <v>297</v>
      </c>
      <c r="G19" s="279" t="e">
        <v>#N/A</v>
      </c>
      <c r="H19" s="273">
        <v>11</v>
      </c>
      <c r="I19" s="43"/>
      <c r="J19" s="47"/>
      <c r="K19" s="56"/>
      <c r="L19" s="43"/>
      <c r="M19" s="43"/>
    </row>
    <row r="20" spans="1:13" ht="15.75" customHeight="1" x14ac:dyDescent="0.35">
      <c r="A20" s="57" t="s">
        <v>298</v>
      </c>
      <c r="B20" s="58" t="e">
        <v>#N/A</v>
      </c>
      <c r="C20" s="47"/>
      <c r="D20" s="49"/>
      <c r="E20" s="43"/>
      <c r="I20" s="43"/>
      <c r="J20" s="47"/>
      <c r="K20" s="56"/>
      <c r="L20" s="43"/>
      <c r="M20" s="43"/>
    </row>
    <row r="21" spans="1:13" ht="15.75" customHeight="1" x14ac:dyDescent="0.35">
      <c r="A21" s="43"/>
      <c r="E21" s="43">
        <v>5</v>
      </c>
      <c r="F21" s="282" t="s">
        <v>92</v>
      </c>
      <c r="G21" s="49"/>
      <c r="H21" s="43"/>
      <c r="I21" s="43"/>
      <c r="J21" s="47"/>
      <c r="K21" s="49"/>
      <c r="L21" s="43"/>
      <c r="M21" s="43"/>
    </row>
    <row r="22" spans="1:13" ht="15.75" customHeight="1" x14ac:dyDescent="0.35">
      <c r="A22" s="284"/>
      <c r="F22" s="283" t="s">
        <v>93</v>
      </c>
      <c r="G22" s="49"/>
      <c r="H22" s="54"/>
      <c r="I22" s="43"/>
      <c r="J22" s="47"/>
      <c r="K22" s="43"/>
      <c r="L22" s="43"/>
      <c r="M22" s="43"/>
    </row>
    <row r="23" spans="1:13" ht="15.75" customHeight="1" x14ac:dyDescent="0.35">
      <c r="A23" s="43"/>
      <c r="F23" s="276" t="s">
        <v>94</v>
      </c>
      <c r="G23" s="49" t="e">
        <v>#N/A</v>
      </c>
      <c r="H23" s="55">
        <v>12</v>
      </c>
      <c r="J23" s="285"/>
      <c r="K23" s="49"/>
      <c r="L23" s="43"/>
      <c r="M23" s="43"/>
    </row>
    <row r="24" spans="1:13" ht="15.75" customHeight="1" x14ac:dyDescent="0.35">
      <c r="A24" s="286"/>
      <c r="B24" s="287"/>
      <c r="C24" s="287"/>
      <c r="D24" s="287"/>
      <c r="F24" s="276" t="s">
        <v>95</v>
      </c>
      <c r="G24" s="49" t="e">
        <v>#N/A</v>
      </c>
      <c r="H24" s="55">
        <v>13</v>
      </c>
      <c r="I24" s="43"/>
      <c r="J24" s="285"/>
      <c r="K24" s="43"/>
      <c r="L24" s="43"/>
      <c r="M24" s="43"/>
    </row>
    <row r="25" spans="1:13" ht="15.75" customHeight="1" x14ac:dyDescent="0.35">
      <c r="A25" s="43"/>
      <c r="B25" s="289"/>
      <c r="C25" s="289"/>
      <c r="D25" s="289"/>
      <c r="G25" s="276"/>
      <c r="H25" s="43"/>
      <c r="I25" s="43"/>
      <c r="J25" s="285"/>
      <c r="K25" s="43"/>
      <c r="L25" s="43"/>
      <c r="M25" s="43"/>
    </row>
    <row r="26" spans="1:13" ht="15.75" customHeight="1" x14ac:dyDescent="0.35">
      <c r="A26" s="43"/>
      <c r="B26" s="290"/>
      <c r="C26" s="290"/>
      <c r="D26" s="291"/>
      <c r="F26" s="288" t="s">
        <v>96</v>
      </c>
      <c r="G26" s="49"/>
      <c r="H26" s="55"/>
      <c r="I26" s="43"/>
      <c r="J26" s="285"/>
      <c r="K26" s="43"/>
      <c r="L26" s="43"/>
      <c r="M26" s="43"/>
    </row>
    <row r="27" spans="1:13" ht="15.75" customHeight="1" x14ac:dyDescent="0.35">
      <c r="A27" s="43"/>
      <c r="B27" s="276"/>
      <c r="C27" s="276"/>
      <c r="D27" s="276"/>
      <c r="F27" s="276" t="s">
        <v>97</v>
      </c>
      <c r="G27" s="49" t="e">
        <v>#N/A</v>
      </c>
      <c r="H27" s="55">
        <v>14</v>
      </c>
      <c r="I27" s="43"/>
      <c r="J27" s="285"/>
      <c r="K27" s="43"/>
      <c r="L27" s="43"/>
      <c r="M27" s="43"/>
    </row>
    <row r="28" spans="1:13" ht="15.75" customHeight="1" x14ac:dyDescent="0.35">
      <c r="A28" s="43"/>
      <c r="B28" s="292"/>
      <c r="C28" s="276"/>
      <c r="D28" s="293"/>
      <c r="F28" s="276" t="s">
        <v>98</v>
      </c>
      <c r="G28" s="49" t="e">
        <v>#N/A</v>
      </c>
      <c r="H28" s="55">
        <v>15</v>
      </c>
      <c r="I28" s="43"/>
      <c r="J28" s="285"/>
      <c r="K28" s="43"/>
      <c r="L28" s="43"/>
      <c r="M28" s="43"/>
    </row>
    <row r="29" spans="1:13" ht="15.75" customHeight="1" thickBot="1" x14ac:dyDescent="0.4">
      <c r="A29" s="43"/>
      <c r="E29" s="43">
        <v>6</v>
      </c>
      <c r="F29" s="276" t="s">
        <v>99</v>
      </c>
      <c r="G29" s="59" t="e">
        <v>#N/A</v>
      </c>
      <c r="H29" s="55">
        <v>16</v>
      </c>
      <c r="I29" s="43"/>
      <c r="J29" s="276"/>
      <c r="K29" s="49"/>
      <c r="L29" s="43"/>
      <c r="M29" s="43"/>
    </row>
    <row r="30" spans="1:13" ht="15.75" customHeight="1" thickBot="1" x14ac:dyDescent="0.4">
      <c r="A30" s="43"/>
      <c r="B30" s="61" t="s">
        <v>101</v>
      </c>
      <c r="C30" s="294"/>
      <c r="D30" s="62" t="e">
        <v>#N/A</v>
      </c>
      <c r="E30" s="43"/>
      <c r="F30" s="276" t="s">
        <v>100</v>
      </c>
      <c r="G30" s="60" t="e">
        <v>#N/A</v>
      </c>
      <c r="H30" s="43">
        <v>17</v>
      </c>
      <c r="I30" s="43"/>
      <c r="J30" s="276"/>
      <c r="K30" s="43"/>
      <c r="L30" s="43"/>
      <c r="M30" s="43"/>
    </row>
    <row r="31" spans="1:13" ht="15.75" customHeight="1" thickBot="1" x14ac:dyDescent="0.4">
      <c r="A31" s="57"/>
      <c r="B31" s="359"/>
      <c r="D31" s="359"/>
      <c r="E31" s="43">
        <v>7</v>
      </c>
      <c r="F31" s="276"/>
      <c r="G31" s="49"/>
      <c r="H31" s="43"/>
      <c r="I31" s="43"/>
      <c r="J31" s="276"/>
      <c r="K31" s="43"/>
      <c r="L31" s="43"/>
      <c r="M31" s="43"/>
    </row>
    <row r="32" spans="1:13" ht="15.75" customHeight="1" x14ac:dyDescent="0.35">
      <c r="A32" s="43"/>
      <c r="B32" s="63" t="s">
        <v>103</v>
      </c>
      <c r="C32" s="64"/>
      <c r="D32" s="65" t="s">
        <v>104</v>
      </c>
      <c r="E32" s="43"/>
      <c r="F32" s="292" t="s">
        <v>102</v>
      </c>
      <c r="G32" s="363" t="e">
        <v>#N/A</v>
      </c>
      <c r="H32" s="43">
        <v>18</v>
      </c>
      <c r="I32" s="43"/>
      <c r="J32" s="276"/>
      <c r="K32" s="43"/>
      <c r="L32" s="43"/>
      <c r="M32" s="43"/>
    </row>
    <row r="33" spans="1:14" ht="15.75" customHeight="1" x14ac:dyDescent="0.35">
      <c r="A33" s="57"/>
      <c r="B33" s="66" t="s">
        <v>105</v>
      </c>
      <c r="C33" s="67"/>
      <c r="D33" s="68" t="e">
        <v>#N/A</v>
      </c>
      <c r="E33" s="43"/>
      <c r="I33" s="43"/>
      <c r="K33" s="43"/>
      <c r="L33" s="43"/>
      <c r="M33" s="43"/>
    </row>
    <row r="34" spans="1:14" ht="15.75" customHeight="1" x14ac:dyDescent="0.35">
      <c r="A34" s="43"/>
      <c r="B34" s="66" t="s">
        <v>106</v>
      </c>
      <c r="C34" s="67"/>
      <c r="D34" s="68" t="e">
        <v>#N/A</v>
      </c>
      <c r="E34" s="43"/>
      <c r="I34" s="43"/>
      <c r="J34" s="283"/>
      <c r="K34" s="43"/>
      <c r="L34" s="43"/>
      <c r="M34" s="57"/>
      <c r="N34" s="296"/>
    </row>
    <row r="35" spans="1:14" ht="15.75" customHeight="1" x14ac:dyDescent="0.35">
      <c r="B35" s="66" t="s">
        <v>107</v>
      </c>
      <c r="C35" s="67"/>
      <c r="D35" s="68" t="e">
        <v>#N/A</v>
      </c>
      <c r="E35" s="43"/>
      <c r="I35" s="43"/>
      <c r="J35" s="283"/>
      <c r="K35" s="43"/>
      <c r="L35" s="43"/>
      <c r="M35" s="57"/>
      <c r="N35" s="69"/>
    </row>
    <row r="36" spans="1:14" ht="15.75" customHeight="1" thickBot="1" x14ac:dyDescent="0.4">
      <c r="A36" s="57"/>
      <c r="B36" s="66" t="s">
        <v>108</v>
      </c>
      <c r="C36" s="67"/>
      <c r="D36" s="68" t="e">
        <v>#N/A</v>
      </c>
      <c r="E36" s="43"/>
      <c r="G36" s="295"/>
      <c r="I36" s="43"/>
      <c r="J36" s="47"/>
      <c r="K36" s="43"/>
      <c r="L36" s="43"/>
      <c r="M36" s="57"/>
      <c r="N36" s="296"/>
    </row>
    <row r="37" spans="1:14" ht="15.75" customHeight="1" x14ac:dyDescent="0.35">
      <c r="B37" s="66" t="s">
        <v>109</v>
      </c>
      <c r="C37" s="67"/>
      <c r="D37" s="68" t="e">
        <v>#N/A</v>
      </c>
      <c r="E37" s="43"/>
      <c r="F37" s="63" t="s">
        <v>72</v>
      </c>
      <c r="G37" s="297" t="s">
        <v>49</v>
      </c>
      <c r="H37" s="56"/>
      <c r="I37" s="43"/>
      <c r="J37" s="47"/>
      <c r="K37" s="43"/>
      <c r="L37" s="43"/>
      <c r="M37" s="43"/>
    </row>
    <row r="38" spans="1:14" ht="15.75" customHeight="1" x14ac:dyDescent="0.35">
      <c r="A38" s="43"/>
      <c r="B38" s="72" t="s">
        <v>110</v>
      </c>
      <c r="C38" s="73"/>
      <c r="D38" s="74" t="e">
        <v>#N/A</v>
      </c>
      <c r="E38" s="43"/>
      <c r="F38" s="70" t="s">
        <v>73</v>
      </c>
      <c r="G38" s="71" t="e">
        <v>#N/A</v>
      </c>
      <c r="H38" s="43">
        <v>19</v>
      </c>
      <c r="I38" s="43"/>
      <c r="J38" s="47"/>
      <c r="K38" s="43"/>
      <c r="L38" s="43"/>
      <c r="M38" s="43"/>
    </row>
    <row r="39" spans="1:14" ht="15.75" customHeight="1" thickBot="1" x14ac:dyDescent="0.4">
      <c r="A39" s="43"/>
      <c r="B39" s="75" t="s">
        <v>111</v>
      </c>
      <c r="C39" s="76"/>
      <c r="D39" s="77" t="e">
        <v>#N/A</v>
      </c>
      <c r="E39" s="43"/>
      <c r="F39" s="70" t="s">
        <v>74</v>
      </c>
      <c r="G39" s="71" t="e">
        <v>#N/A</v>
      </c>
      <c r="H39" s="43"/>
      <c r="I39" s="43"/>
      <c r="J39" s="47"/>
      <c r="K39" s="43"/>
      <c r="L39" s="43"/>
      <c r="M39" s="43"/>
    </row>
    <row r="40" spans="1:14" ht="15.75" customHeight="1" thickTop="1" thickBot="1" x14ac:dyDescent="0.4">
      <c r="A40" s="43"/>
      <c r="B40" s="49"/>
      <c r="C40" s="49"/>
      <c r="D40" s="78"/>
      <c r="E40" s="43">
        <v>8</v>
      </c>
      <c r="F40" s="70"/>
      <c r="G40" s="71"/>
      <c r="H40" s="43"/>
      <c r="I40" s="43"/>
      <c r="J40" s="47"/>
      <c r="K40" s="43"/>
      <c r="L40" s="43"/>
      <c r="M40" s="43"/>
    </row>
    <row r="41" spans="1:14" ht="15.75" customHeight="1" x14ac:dyDescent="0.35">
      <c r="A41" s="43"/>
      <c r="B41" s="79" t="s">
        <v>112</v>
      </c>
      <c r="C41" s="64"/>
      <c r="D41" s="80" t="s">
        <v>113</v>
      </c>
      <c r="E41" s="43"/>
      <c r="F41" s="70" t="s">
        <v>75</v>
      </c>
      <c r="G41" s="71" t="e">
        <v>#N/A</v>
      </c>
      <c r="H41" s="43">
        <v>20</v>
      </c>
      <c r="I41" s="43"/>
      <c r="J41" s="47"/>
      <c r="K41" s="43"/>
      <c r="L41" s="43"/>
      <c r="M41" s="43"/>
    </row>
    <row r="42" spans="1:14" ht="15.75" customHeight="1" thickBot="1" x14ac:dyDescent="0.4">
      <c r="A42" s="43"/>
      <c r="B42" s="83" t="s">
        <v>114</v>
      </c>
      <c r="C42" s="84"/>
      <c r="D42" s="85" t="e">
        <v>#N/A</v>
      </c>
      <c r="E42" s="43"/>
      <c r="F42" s="81" t="s">
        <v>76</v>
      </c>
      <c r="G42" s="82" t="e">
        <v>#N/A</v>
      </c>
      <c r="H42" s="43"/>
    </row>
    <row r="43" spans="1:14" ht="15.75" customHeight="1" x14ac:dyDescent="0.35">
      <c r="A43" s="43"/>
      <c r="B43" s="49"/>
      <c r="C43" s="49"/>
      <c r="D43" s="53"/>
      <c r="E43" s="43"/>
    </row>
    <row r="44" spans="1:14" ht="15.75" customHeight="1" thickBot="1" x14ac:dyDescent="0.4">
      <c r="A44" s="43"/>
      <c r="B44" s="49"/>
      <c r="C44" s="49"/>
      <c r="D44" s="53"/>
      <c r="E44" s="43"/>
      <c r="F44" s="43"/>
      <c r="G44" s="49"/>
    </row>
    <row r="45" spans="1:14" ht="15.75" customHeight="1" x14ac:dyDescent="0.35">
      <c r="A45" s="298" t="s">
        <v>299</v>
      </c>
      <c r="B45" s="681" t="s">
        <v>115</v>
      </c>
      <c r="C45" s="299"/>
      <c r="D45" s="681" t="s">
        <v>116</v>
      </c>
      <c r="E45" s="300" t="s">
        <v>117</v>
      </c>
      <c r="F45" s="301"/>
      <c r="G45" s="302"/>
    </row>
    <row r="46" spans="1:14" ht="15.75" customHeight="1" x14ac:dyDescent="0.35">
      <c r="A46" s="303" t="s">
        <v>118</v>
      </c>
      <c r="B46" s="682"/>
      <c r="C46" s="304"/>
      <c r="D46" s="682"/>
      <c r="E46" s="305"/>
      <c r="F46" s="306"/>
      <c r="G46" s="307"/>
      <c r="H46" s="276"/>
    </row>
    <row r="47" spans="1:14" ht="15.75" customHeight="1" x14ac:dyDescent="0.35">
      <c r="A47" s="66" t="s">
        <v>105</v>
      </c>
      <c r="B47" s="308" t="s">
        <v>119</v>
      </c>
      <c r="C47" s="308"/>
      <c r="D47" s="309">
        <v>6630</v>
      </c>
      <c r="E47" s="310" t="s">
        <v>120</v>
      </c>
      <c r="F47" s="311"/>
      <c r="G47" s="312"/>
      <c r="H47" s="281">
        <v>21</v>
      </c>
    </row>
    <row r="48" spans="1:14" ht="15.75" customHeight="1" x14ac:dyDescent="0.35">
      <c r="A48" s="66" t="s">
        <v>106</v>
      </c>
      <c r="B48" s="308" t="s">
        <v>121</v>
      </c>
      <c r="C48" s="308"/>
      <c r="D48" s="309">
        <v>7894</v>
      </c>
      <c r="E48" s="310" t="s">
        <v>122</v>
      </c>
      <c r="F48" s="311"/>
      <c r="G48" s="312"/>
      <c r="H48" s="276"/>
    </row>
    <row r="49" spans="1:16" ht="15.75" customHeight="1" x14ac:dyDescent="0.35">
      <c r="A49" s="66" t="s">
        <v>123</v>
      </c>
      <c r="B49" s="313" t="s">
        <v>124</v>
      </c>
      <c r="C49" s="308"/>
      <c r="D49" s="309">
        <v>15567</v>
      </c>
      <c r="E49" s="310" t="s">
        <v>125</v>
      </c>
      <c r="F49" s="311"/>
      <c r="G49" s="312"/>
      <c r="H49" s="276"/>
    </row>
    <row r="50" spans="1:16" ht="15.75" customHeight="1" x14ac:dyDescent="0.35">
      <c r="A50" s="66" t="s">
        <v>108</v>
      </c>
      <c r="B50" s="310" t="s">
        <v>126</v>
      </c>
      <c r="C50" s="308"/>
      <c r="D50" s="309">
        <v>15892</v>
      </c>
      <c r="E50" s="310" t="s">
        <v>127</v>
      </c>
      <c r="F50" s="311"/>
      <c r="G50" s="312"/>
    </row>
    <row r="51" spans="1:16" ht="15.75" customHeight="1" x14ac:dyDescent="0.35">
      <c r="A51" s="66" t="s">
        <v>109</v>
      </c>
      <c r="B51" s="308" t="s">
        <v>126</v>
      </c>
      <c r="C51" s="308"/>
      <c r="D51" s="309">
        <v>15892</v>
      </c>
      <c r="E51" s="310" t="s">
        <v>127</v>
      </c>
      <c r="F51" s="311"/>
      <c r="G51" s="312"/>
    </row>
    <row r="52" spans="1:16" ht="15.75" customHeight="1" x14ac:dyDescent="0.35">
      <c r="A52" s="72" t="s">
        <v>110</v>
      </c>
      <c r="B52" s="310" t="s">
        <v>126</v>
      </c>
      <c r="C52" s="308"/>
      <c r="D52" s="309">
        <v>17018</v>
      </c>
      <c r="E52" s="314" t="s">
        <v>128</v>
      </c>
      <c r="F52" s="315"/>
      <c r="G52" s="316"/>
    </row>
    <row r="53" spans="1:16" ht="15.75" customHeight="1" thickBot="1" x14ac:dyDescent="0.4">
      <c r="A53" s="83" t="s">
        <v>111</v>
      </c>
      <c r="B53" s="317" t="s">
        <v>129</v>
      </c>
      <c r="C53" s="317"/>
      <c r="D53" s="318">
        <v>24406</v>
      </c>
      <c r="E53" s="319" t="s">
        <v>130</v>
      </c>
      <c r="F53" s="320"/>
      <c r="G53" s="321"/>
    </row>
    <row r="54" spans="1:16" ht="15.75" customHeight="1" thickBot="1" x14ac:dyDescent="0.4">
      <c r="P54" s="276"/>
    </row>
    <row r="55" spans="1:16" ht="15.75" customHeight="1" x14ac:dyDescent="0.35">
      <c r="A55" s="322" t="s">
        <v>131</v>
      </c>
      <c r="B55" s="323" t="s">
        <v>27</v>
      </c>
      <c r="C55" s="324"/>
      <c r="D55" s="325" t="s">
        <v>28</v>
      </c>
      <c r="E55" s="324"/>
      <c r="F55" s="297" t="s">
        <v>132</v>
      </c>
      <c r="G55" s="273">
        <v>22</v>
      </c>
      <c r="P55" s="276"/>
    </row>
    <row r="56" spans="1:16" ht="15.75" customHeight="1" x14ac:dyDescent="0.35">
      <c r="A56" s="326" t="s">
        <v>133</v>
      </c>
      <c r="B56" s="309">
        <v>325943.5</v>
      </c>
      <c r="C56" s="308"/>
      <c r="D56" s="309">
        <v>106090</v>
      </c>
      <c r="E56" s="327"/>
      <c r="F56" s="328">
        <v>679800</v>
      </c>
      <c r="G56" s="329"/>
      <c r="P56" s="276"/>
    </row>
    <row r="57" spans="1:16" ht="15.75" customHeight="1" x14ac:dyDescent="0.35">
      <c r="A57" s="326" t="s">
        <v>134</v>
      </c>
      <c r="B57" s="309">
        <v>362699.05000000005</v>
      </c>
      <c r="C57" s="308"/>
      <c r="D57" s="309">
        <v>111394.5</v>
      </c>
      <c r="E57" s="327"/>
      <c r="F57" s="328">
        <v>793100.00000000012</v>
      </c>
      <c r="G57" s="86"/>
      <c r="P57" s="276"/>
    </row>
    <row r="58" spans="1:16" ht="15.75" customHeight="1" x14ac:dyDescent="0.35">
      <c r="A58" s="326" t="s">
        <v>135</v>
      </c>
      <c r="B58" s="309">
        <v>399454.60000000003</v>
      </c>
      <c r="C58" s="308"/>
      <c r="D58" s="309">
        <v>116699</v>
      </c>
      <c r="E58" s="327"/>
      <c r="F58" s="328">
        <v>1076350.0000000002</v>
      </c>
      <c r="G58" s="86"/>
      <c r="P58" s="276"/>
    </row>
    <row r="59" spans="1:16" ht="15.75" customHeight="1" x14ac:dyDescent="0.35">
      <c r="A59" s="326" t="s">
        <v>136</v>
      </c>
      <c r="B59" s="309">
        <v>438718.2</v>
      </c>
      <c r="C59" s="308"/>
      <c r="D59" s="309">
        <v>122003.5</v>
      </c>
      <c r="E59" s="327"/>
      <c r="F59" s="328">
        <v>1246300</v>
      </c>
      <c r="G59" s="86"/>
      <c r="P59" s="276"/>
    </row>
    <row r="60" spans="1:16" ht="15.75" customHeight="1" x14ac:dyDescent="0.35">
      <c r="A60" s="326" t="s">
        <v>137</v>
      </c>
      <c r="B60" s="309">
        <v>477981.8</v>
      </c>
      <c r="C60" s="308"/>
      <c r="D60" s="309">
        <v>127308</v>
      </c>
      <c r="E60" s="327"/>
      <c r="F60" s="328">
        <v>1586200.0000000002</v>
      </c>
      <c r="G60" s="86"/>
      <c r="P60" s="276"/>
    </row>
    <row r="61" spans="1:16" ht="15.75" customHeight="1" x14ac:dyDescent="0.35">
      <c r="A61" s="326" t="s">
        <v>138</v>
      </c>
      <c r="B61" s="309">
        <v>522601.4</v>
      </c>
      <c r="C61" s="308"/>
      <c r="D61" s="309">
        <v>137917</v>
      </c>
      <c r="E61" s="327"/>
      <c r="F61" s="328">
        <v>1812800.0000000002</v>
      </c>
      <c r="G61" s="86"/>
      <c r="P61" s="276"/>
    </row>
    <row r="62" spans="1:16" ht="15.75" customHeight="1" x14ac:dyDescent="0.35">
      <c r="A62" s="326" t="s">
        <v>139</v>
      </c>
      <c r="B62" s="309">
        <v>567221</v>
      </c>
      <c r="C62" s="308"/>
      <c r="D62" s="309">
        <v>148526</v>
      </c>
      <c r="E62" s="327"/>
      <c r="F62" s="328">
        <v>2209350</v>
      </c>
      <c r="G62" s="86"/>
      <c r="P62" s="276"/>
    </row>
    <row r="63" spans="1:16" ht="15.75" customHeight="1" x14ac:dyDescent="0.35">
      <c r="A63" s="326" t="s">
        <v>140</v>
      </c>
      <c r="B63" s="309">
        <v>615208.69999999995</v>
      </c>
      <c r="C63" s="308"/>
      <c r="D63" s="309">
        <v>153830.5</v>
      </c>
      <c r="E63" s="327"/>
      <c r="F63" s="328">
        <v>2492600</v>
      </c>
      <c r="G63" s="86"/>
    </row>
    <row r="64" spans="1:16" ht="15.75" customHeight="1" x14ac:dyDescent="0.35">
      <c r="A64" s="326" t="s">
        <v>141</v>
      </c>
      <c r="B64" s="309">
        <v>663196.4</v>
      </c>
      <c r="C64" s="308"/>
      <c r="D64" s="309">
        <v>159135</v>
      </c>
      <c r="E64" s="327"/>
      <c r="F64" s="328">
        <v>2945800</v>
      </c>
      <c r="G64" s="86"/>
    </row>
    <row r="65" spans="1:10" ht="15.75" customHeight="1" x14ac:dyDescent="0.35">
      <c r="A65" s="330"/>
      <c r="B65" s="331"/>
      <c r="C65" s="332"/>
      <c r="D65" s="331"/>
      <c r="E65" s="332"/>
      <c r="F65" s="333"/>
      <c r="G65" s="86"/>
    </row>
    <row r="66" spans="1:10" ht="15.75" customHeight="1" x14ac:dyDescent="0.35">
      <c r="A66" s="326" t="s">
        <v>142</v>
      </c>
      <c r="B66" s="334">
        <v>285600.46000000002</v>
      </c>
      <c r="C66" s="308"/>
      <c r="D66" s="309">
        <v>91206.5</v>
      </c>
      <c r="E66" s="308"/>
      <c r="F66" s="328">
        <v>679800</v>
      </c>
      <c r="G66" s="273">
        <v>23</v>
      </c>
    </row>
    <row r="67" spans="1:10" ht="15.75" customHeight="1" x14ac:dyDescent="0.35">
      <c r="A67" s="326" t="s">
        <v>143</v>
      </c>
      <c r="B67" s="334">
        <v>330775.23</v>
      </c>
      <c r="C67" s="308"/>
      <c r="D67" s="309">
        <v>91206.5</v>
      </c>
      <c r="E67" s="308"/>
      <c r="F67" s="328">
        <v>793100.00000000012</v>
      </c>
    </row>
    <row r="68" spans="1:10" ht="15.75" customHeight="1" x14ac:dyDescent="0.35">
      <c r="A68" s="326" t="s">
        <v>144</v>
      </c>
      <c r="B68" s="334">
        <v>375950</v>
      </c>
      <c r="C68" s="308"/>
      <c r="D68" s="309">
        <v>91206.5</v>
      </c>
      <c r="E68" s="308"/>
      <c r="F68" s="328">
        <v>1076350.0000000002</v>
      </c>
    </row>
    <row r="69" spans="1:10" ht="15.75" customHeight="1" x14ac:dyDescent="0.35">
      <c r="A69" s="326" t="s">
        <v>145</v>
      </c>
      <c r="B69" s="334">
        <v>394773.25</v>
      </c>
      <c r="C69" s="308"/>
      <c r="D69" s="309">
        <v>91206.5</v>
      </c>
      <c r="E69" s="308"/>
      <c r="F69" s="328">
        <v>1246300</v>
      </c>
    </row>
    <row r="70" spans="1:10" ht="15.75" customHeight="1" thickBot="1" x14ac:dyDescent="0.4">
      <c r="A70" s="335" t="s">
        <v>146</v>
      </c>
      <c r="B70" s="336">
        <v>413596.5</v>
      </c>
      <c r="C70" s="317"/>
      <c r="D70" s="318">
        <v>91206.5</v>
      </c>
      <c r="E70" s="317"/>
      <c r="F70" s="337">
        <v>1586200.0000000002</v>
      </c>
    </row>
    <row r="73" spans="1:10" ht="15.75" customHeight="1" x14ac:dyDescent="0.35">
      <c r="H73" s="338"/>
    </row>
    <row r="74" spans="1:10" ht="15.75" customHeight="1" x14ac:dyDescent="0.35">
      <c r="H74" s="338"/>
      <c r="I74" s="339"/>
      <c r="J74" s="339"/>
    </row>
    <row r="75" spans="1:10" ht="15.75" customHeight="1" x14ac:dyDescent="0.35">
      <c r="H75" s="338"/>
    </row>
    <row r="76" spans="1:10" ht="15.5" x14ac:dyDescent="0.35">
      <c r="A76" s="676" t="s">
        <v>147</v>
      </c>
      <c r="B76" s="677"/>
      <c r="C76" s="677"/>
      <c r="D76" s="677"/>
      <c r="E76" s="677"/>
      <c r="F76" s="677"/>
      <c r="G76" s="343"/>
      <c r="H76" s="338"/>
    </row>
    <row r="77" spans="1:10" ht="15.75" customHeight="1" x14ac:dyDescent="0.35">
      <c r="A77" s="356"/>
      <c r="B77" s="356"/>
      <c r="C77" s="356"/>
      <c r="D77" s="356"/>
      <c r="E77" s="356"/>
      <c r="F77" s="356"/>
      <c r="G77" s="356"/>
      <c r="H77" s="338"/>
    </row>
    <row r="78" spans="1:10" ht="298.5" customHeight="1" x14ac:dyDescent="0.35">
      <c r="A78" s="674" t="s">
        <v>300</v>
      </c>
      <c r="B78" s="675"/>
      <c r="C78" s="675"/>
      <c r="D78" s="675"/>
      <c r="E78" s="675"/>
      <c r="F78" s="675"/>
      <c r="G78" s="340"/>
    </row>
    <row r="79" spans="1:10" ht="15.75" customHeight="1" x14ac:dyDescent="0.35">
      <c r="A79" s="341"/>
      <c r="B79" s="341"/>
      <c r="C79" s="341"/>
      <c r="D79" s="341"/>
      <c r="E79" s="341"/>
      <c r="F79" s="341"/>
      <c r="G79" s="341"/>
      <c r="H79" s="338"/>
    </row>
    <row r="80" spans="1:10" ht="31.5" customHeight="1" x14ac:dyDescent="0.35">
      <c r="A80" s="676" t="s">
        <v>301</v>
      </c>
      <c r="B80" s="677"/>
      <c r="C80" s="677"/>
      <c r="D80" s="677"/>
      <c r="E80" s="677"/>
      <c r="F80" s="677"/>
      <c r="G80" s="343"/>
      <c r="H80" s="338"/>
    </row>
    <row r="81" spans="1:8" ht="15.75" customHeight="1" x14ac:dyDescent="0.35">
      <c r="A81" s="341"/>
      <c r="B81" s="341"/>
      <c r="C81" s="341"/>
      <c r="D81" s="341"/>
      <c r="E81" s="341"/>
      <c r="F81" s="341"/>
      <c r="G81" s="341"/>
      <c r="H81" s="342"/>
    </row>
    <row r="82" spans="1:8" ht="42.75" customHeight="1" x14ac:dyDescent="0.35">
      <c r="A82" s="679" t="s">
        <v>148</v>
      </c>
      <c r="B82" s="679"/>
      <c r="C82" s="679"/>
      <c r="D82" s="679"/>
      <c r="E82" s="679"/>
      <c r="F82" s="679"/>
      <c r="G82" s="344"/>
      <c r="H82" s="342"/>
    </row>
    <row r="83" spans="1:8" ht="15.75" customHeight="1" x14ac:dyDescent="0.35">
      <c r="A83" s="356"/>
      <c r="B83" s="355"/>
      <c r="C83" s="355"/>
      <c r="D83" s="355"/>
      <c r="E83" s="355"/>
      <c r="F83" s="355"/>
      <c r="G83" s="355"/>
      <c r="H83" s="342"/>
    </row>
    <row r="84" spans="1:8" ht="90.75" customHeight="1" x14ac:dyDescent="0.35">
      <c r="A84" s="674" t="s">
        <v>302</v>
      </c>
      <c r="B84" s="675"/>
      <c r="C84" s="675"/>
      <c r="D84" s="675"/>
      <c r="E84" s="675"/>
      <c r="F84" s="675"/>
      <c r="G84" s="340"/>
      <c r="H84" s="342"/>
    </row>
    <row r="85" spans="1:8" ht="15.75" customHeight="1" x14ac:dyDescent="0.35">
      <c r="A85" s="356"/>
      <c r="B85" s="356"/>
      <c r="C85" s="356"/>
      <c r="D85" s="356"/>
      <c r="E85" s="356"/>
      <c r="F85" s="356"/>
      <c r="G85" s="356"/>
      <c r="H85" s="342"/>
    </row>
    <row r="86" spans="1:8" ht="31.5" customHeight="1" x14ac:dyDescent="0.35">
      <c r="A86" s="676" t="s">
        <v>149</v>
      </c>
      <c r="B86" s="677"/>
      <c r="C86" s="677"/>
      <c r="D86" s="677"/>
      <c r="E86" s="677"/>
      <c r="F86" s="677"/>
      <c r="G86" s="343"/>
      <c r="H86" s="342"/>
    </row>
    <row r="87" spans="1:8" ht="15.75" customHeight="1" x14ac:dyDescent="0.35">
      <c r="A87" s="356"/>
      <c r="B87" s="356"/>
      <c r="C87" s="356"/>
      <c r="D87" s="356"/>
      <c r="E87" s="356"/>
      <c r="F87" s="356"/>
      <c r="G87" s="356"/>
      <c r="H87" s="342"/>
    </row>
    <row r="88" spans="1:8" ht="43.5" customHeight="1" x14ac:dyDescent="0.35">
      <c r="A88" s="674" t="s">
        <v>150</v>
      </c>
      <c r="B88" s="675"/>
      <c r="C88" s="675"/>
      <c r="D88" s="675"/>
      <c r="E88" s="675"/>
      <c r="F88" s="675"/>
      <c r="G88" s="340"/>
    </row>
    <row r="89" spans="1:8" ht="15.75" customHeight="1" x14ac:dyDescent="0.35">
      <c r="A89" s="356"/>
      <c r="B89" s="356"/>
      <c r="C89" s="356"/>
      <c r="D89" s="356"/>
      <c r="E89" s="356"/>
      <c r="F89" s="356"/>
      <c r="G89" s="356"/>
    </row>
    <row r="90" spans="1:8" ht="89.25" customHeight="1" x14ac:dyDescent="0.35">
      <c r="A90" s="678" t="s">
        <v>151</v>
      </c>
      <c r="B90" s="679"/>
      <c r="C90" s="679"/>
      <c r="D90" s="679"/>
      <c r="E90" s="679"/>
      <c r="F90" s="679"/>
      <c r="G90" s="344"/>
    </row>
    <row r="91" spans="1:8" ht="15.75" customHeight="1" x14ac:dyDescent="0.35">
      <c r="A91" s="357"/>
      <c r="B91" s="358"/>
      <c r="C91" s="358"/>
      <c r="D91" s="358"/>
      <c r="E91" s="358"/>
      <c r="F91" s="358"/>
      <c r="G91" s="344"/>
    </row>
    <row r="92" spans="1:8" ht="36.75" customHeight="1" x14ac:dyDescent="0.35">
      <c r="A92" s="674" t="s">
        <v>152</v>
      </c>
      <c r="B92" s="675"/>
      <c r="C92" s="675"/>
      <c r="D92" s="675"/>
      <c r="E92" s="675"/>
      <c r="F92" s="675"/>
      <c r="G92" s="340"/>
    </row>
    <row r="93" spans="1:8" ht="15.75" customHeight="1" x14ac:dyDescent="0.35">
      <c r="A93" s="356"/>
      <c r="B93" s="356"/>
      <c r="C93" s="356"/>
      <c r="D93" s="356"/>
      <c r="E93" s="356"/>
      <c r="F93" s="356"/>
      <c r="G93" s="356"/>
    </row>
    <row r="94" spans="1:8" ht="15.75" customHeight="1" x14ac:dyDescent="0.35">
      <c r="A94" s="356" t="s">
        <v>303</v>
      </c>
      <c r="B94" s="356"/>
      <c r="C94" s="356"/>
      <c r="D94" s="356"/>
      <c r="E94" s="356"/>
      <c r="F94" s="356"/>
      <c r="G94" s="356"/>
    </row>
    <row r="95" spans="1:8" ht="15.75" customHeight="1" x14ac:dyDescent="0.35">
      <c r="A95" s="356"/>
      <c r="B95" s="356"/>
      <c r="C95" s="356"/>
      <c r="D95" s="356"/>
      <c r="E95" s="356"/>
      <c r="F95" s="356"/>
      <c r="G95" s="356"/>
    </row>
    <row r="96" spans="1:8" ht="15.75" customHeight="1" x14ac:dyDescent="0.35">
      <c r="A96" s="677" t="s">
        <v>304</v>
      </c>
      <c r="B96" s="677"/>
      <c r="C96" s="677"/>
      <c r="D96" s="677"/>
      <c r="E96" s="677"/>
      <c r="F96" s="677"/>
      <c r="G96" s="356"/>
    </row>
    <row r="97" spans="1:8" ht="15.75" customHeight="1" x14ac:dyDescent="0.35">
      <c r="A97" s="356"/>
      <c r="B97" s="356"/>
      <c r="C97" s="356"/>
      <c r="D97" s="356"/>
      <c r="E97" s="356"/>
      <c r="F97" s="356"/>
      <c r="G97" s="356"/>
    </row>
    <row r="98" spans="1:8" ht="39.75" customHeight="1" x14ac:dyDescent="0.35">
      <c r="A98" s="674" t="s">
        <v>305</v>
      </c>
      <c r="B98" s="675"/>
      <c r="C98" s="675"/>
      <c r="D98" s="675"/>
      <c r="E98" s="675"/>
      <c r="F98" s="675"/>
      <c r="G98" s="340"/>
      <c r="H98" s="342"/>
    </row>
    <row r="99" spans="1:8" ht="15.75" customHeight="1" x14ac:dyDescent="0.35">
      <c r="A99" s="356"/>
      <c r="B99" s="356"/>
      <c r="C99" s="356"/>
      <c r="D99" s="356"/>
      <c r="E99" s="356"/>
      <c r="F99" s="356"/>
      <c r="G99" s="356"/>
      <c r="H99" s="342"/>
    </row>
    <row r="100" spans="1:8" ht="33" customHeight="1" x14ac:dyDescent="0.35">
      <c r="A100" s="674" t="s">
        <v>306</v>
      </c>
      <c r="B100" s="675"/>
      <c r="C100" s="675"/>
      <c r="D100" s="675"/>
      <c r="E100" s="675"/>
      <c r="F100" s="675"/>
      <c r="G100" s="340"/>
      <c r="H100" s="342"/>
    </row>
    <row r="101" spans="1:8" ht="15.75" customHeight="1" x14ac:dyDescent="0.35">
      <c r="A101" s="356"/>
      <c r="B101" s="356"/>
      <c r="C101" s="356"/>
      <c r="D101" s="356"/>
      <c r="E101" s="356"/>
      <c r="F101" s="356"/>
      <c r="G101" s="356"/>
      <c r="H101" s="342"/>
    </row>
    <row r="102" spans="1:8" ht="52.5" customHeight="1" x14ac:dyDescent="0.35">
      <c r="A102" s="674" t="s">
        <v>307</v>
      </c>
      <c r="B102" s="675"/>
      <c r="C102" s="675"/>
      <c r="D102" s="675"/>
      <c r="E102" s="675"/>
      <c r="F102" s="675"/>
      <c r="G102" s="340"/>
      <c r="H102" s="338"/>
    </row>
    <row r="103" spans="1:8" ht="15.75" customHeight="1" x14ac:dyDescent="0.35">
      <c r="A103" s="356"/>
      <c r="B103" s="356"/>
      <c r="C103" s="356"/>
      <c r="D103" s="356"/>
      <c r="E103" s="356"/>
      <c r="F103" s="356"/>
      <c r="G103" s="356"/>
      <c r="H103" s="338"/>
    </row>
    <row r="104" spans="1:8" ht="37.5" customHeight="1" x14ac:dyDescent="0.35">
      <c r="A104" s="674" t="s">
        <v>308</v>
      </c>
      <c r="B104" s="675"/>
      <c r="C104" s="675"/>
      <c r="D104" s="675"/>
      <c r="E104" s="675"/>
      <c r="F104" s="675"/>
      <c r="G104" s="340"/>
      <c r="H104" s="338"/>
    </row>
    <row r="105" spans="1:8" ht="15.75" customHeight="1" x14ac:dyDescent="0.35">
      <c r="A105" s="356"/>
      <c r="B105" s="356"/>
      <c r="C105" s="356"/>
      <c r="D105" s="356"/>
      <c r="E105" s="356"/>
      <c r="F105" s="356"/>
      <c r="G105" s="356"/>
      <c r="H105" s="338"/>
    </row>
    <row r="106" spans="1:8" ht="20.25" customHeight="1" x14ac:dyDescent="0.35">
      <c r="A106" s="674" t="s">
        <v>309</v>
      </c>
      <c r="B106" s="675"/>
      <c r="C106" s="675"/>
      <c r="D106" s="675"/>
      <c r="E106" s="675"/>
      <c r="F106" s="675"/>
      <c r="G106" s="340"/>
      <c r="H106" s="338"/>
    </row>
    <row r="107" spans="1:8" ht="15.75" customHeight="1" x14ac:dyDescent="0.35">
      <c r="A107" s="356"/>
      <c r="B107" s="356"/>
      <c r="C107" s="356"/>
      <c r="D107" s="356"/>
      <c r="E107" s="356"/>
      <c r="F107" s="356"/>
      <c r="G107" s="356"/>
      <c r="H107" s="338"/>
    </row>
    <row r="108" spans="1:8" ht="21.75" customHeight="1" x14ac:dyDescent="0.35">
      <c r="A108" s="676" t="s">
        <v>310</v>
      </c>
      <c r="B108" s="677"/>
      <c r="C108" s="677"/>
      <c r="D108" s="677"/>
      <c r="E108" s="677"/>
      <c r="F108" s="677"/>
      <c r="G108" s="343"/>
      <c r="H108" s="338"/>
    </row>
    <row r="109" spans="1:8" ht="15.75" customHeight="1" x14ac:dyDescent="0.35">
      <c r="A109" s="356"/>
      <c r="B109" s="356"/>
      <c r="C109" s="356"/>
      <c r="D109" s="356"/>
      <c r="E109" s="356"/>
      <c r="F109" s="356"/>
      <c r="G109" s="356"/>
    </row>
    <row r="110" spans="1:8" ht="29.25" customHeight="1" x14ac:dyDescent="0.35">
      <c r="A110" s="674" t="s">
        <v>311</v>
      </c>
      <c r="B110" s="675"/>
      <c r="C110" s="675"/>
      <c r="D110" s="675"/>
      <c r="E110" s="675"/>
      <c r="F110" s="675"/>
      <c r="G110" s="340"/>
    </row>
    <row r="111" spans="1:8" ht="15.75" customHeight="1" x14ac:dyDescent="0.35">
      <c r="A111" s="341"/>
      <c r="B111" s="341"/>
      <c r="C111" s="341"/>
      <c r="D111" s="341"/>
      <c r="E111" s="341"/>
      <c r="F111" s="341"/>
      <c r="G111" s="341"/>
    </row>
    <row r="112" spans="1:8" ht="54.75" customHeight="1" x14ac:dyDescent="0.35">
      <c r="A112" s="674" t="s">
        <v>312</v>
      </c>
      <c r="B112" s="675"/>
      <c r="C112" s="675"/>
      <c r="D112" s="675"/>
      <c r="E112" s="675"/>
      <c r="F112" s="675"/>
      <c r="G112" s="340"/>
    </row>
    <row r="113" spans="1:7" ht="15.75" customHeight="1" x14ac:dyDescent="0.35">
      <c r="A113" s="356"/>
      <c r="B113" s="356"/>
      <c r="C113" s="356"/>
      <c r="D113" s="356"/>
      <c r="E113" s="356"/>
      <c r="F113" s="356"/>
      <c r="G113" s="356"/>
    </row>
    <row r="114" spans="1:7" ht="36" customHeight="1" x14ac:dyDescent="0.35">
      <c r="A114" s="674" t="s">
        <v>313</v>
      </c>
      <c r="B114" s="675"/>
      <c r="C114" s="675"/>
      <c r="D114" s="675"/>
      <c r="E114" s="675"/>
      <c r="F114" s="675"/>
      <c r="G114" s="340"/>
    </row>
    <row r="116" spans="1:7" ht="42.75" customHeight="1" x14ac:dyDescent="0.35">
      <c r="A116" s="674" t="s">
        <v>314</v>
      </c>
      <c r="B116" s="675"/>
      <c r="C116" s="675"/>
      <c r="D116" s="675"/>
      <c r="E116" s="675"/>
      <c r="F116" s="675"/>
      <c r="G116" s="340"/>
    </row>
    <row r="118" spans="1:7" ht="107.25" customHeight="1" x14ac:dyDescent="0.35">
      <c r="A118" s="674" t="s">
        <v>315</v>
      </c>
      <c r="B118" s="675"/>
      <c r="C118" s="675"/>
      <c r="D118" s="675"/>
      <c r="E118" s="675"/>
      <c r="F118" s="675"/>
      <c r="G118" s="340"/>
    </row>
    <row r="119" spans="1:7" ht="15.75" customHeight="1" x14ac:dyDescent="0.35">
      <c r="B119" s="364"/>
      <c r="C119" s="364"/>
      <c r="D119" s="364"/>
      <c r="E119" s="364"/>
      <c r="F119" s="364"/>
      <c r="G119" s="364"/>
    </row>
    <row r="120" spans="1:7" ht="54" customHeight="1" x14ac:dyDescent="0.35">
      <c r="A120" s="674" t="s">
        <v>316</v>
      </c>
      <c r="B120" s="675"/>
      <c r="C120" s="675"/>
      <c r="D120" s="675"/>
      <c r="E120" s="675"/>
      <c r="F120" s="675"/>
      <c r="G120" s="340"/>
    </row>
  </sheetData>
  <mergeCells count="25">
    <mergeCell ref="A90:F90"/>
    <mergeCell ref="A92:F92"/>
    <mergeCell ref="A96:F96"/>
    <mergeCell ref="F5:G5"/>
    <mergeCell ref="A78:F78"/>
    <mergeCell ref="A82:F82"/>
    <mergeCell ref="A84:F84"/>
    <mergeCell ref="A88:F88"/>
    <mergeCell ref="B45:B46"/>
    <mergeCell ref="D45:D46"/>
    <mergeCell ref="A76:F76"/>
    <mergeCell ref="A80:F80"/>
    <mergeCell ref="A86:F86"/>
    <mergeCell ref="A98:F98"/>
    <mergeCell ref="A100:F100"/>
    <mergeCell ref="A102:F102"/>
    <mergeCell ref="A104:F104"/>
    <mergeCell ref="A106:F106"/>
    <mergeCell ref="A118:F118"/>
    <mergeCell ref="A120:F120"/>
    <mergeCell ref="A108:F108"/>
    <mergeCell ref="A110:F110"/>
    <mergeCell ref="A112:F112"/>
    <mergeCell ref="A114:F114"/>
    <mergeCell ref="A116:F116"/>
  </mergeCells>
  <conditionalFormatting sqref="D24">
    <cfRule type="cellIs" dxfId="0" priority="1" operator="greaterThan">
      <formula>$B$24</formula>
    </cfRule>
  </conditionalFormatting>
  <pageMargins left="0.70866141732283472" right="0.70866141732283472" top="0.74803149606299213" bottom="0.74803149606299213" header="0.31496062992125984" footer="0.31496062992125984"/>
  <pageSetup paperSize="8" scale="71" orientation="landscape" r:id="rId1"/>
  <headerFooter>
    <oddHeader>&amp;CLincolnshire County Council</oddHeader>
    <oddFooter>&amp;C2021/22 Special School Budget Share Calculation
Funding Summary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0E991-3D60-42D8-91C0-7E229FEBAE27}">
  <dimension ref="B2:F22"/>
  <sheetViews>
    <sheetView workbookViewId="0">
      <selection activeCell="F22" sqref="F22"/>
    </sheetView>
  </sheetViews>
  <sheetFormatPr defaultRowHeight="14.5" x14ac:dyDescent="0.35"/>
  <cols>
    <col min="2" max="2" width="23.7265625" bestFit="1" customWidth="1"/>
    <col min="3" max="3" width="8.54296875" bestFit="1" customWidth="1"/>
    <col min="4" max="4" width="11" style="346" bestFit="1" customWidth="1"/>
    <col min="5" max="5" width="11" customWidth="1"/>
    <col min="9" max="9" width="23.7265625" bestFit="1" customWidth="1"/>
  </cols>
  <sheetData>
    <row r="2" spans="2:6" x14ac:dyDescent="0.35">
      <c r="B2" s="345" t="s">
        <v>153</v>
      </c>
    </row>
    <row r="4" spans="2:6" x14ac:dyDescent="0.35">
      <c r="B4" s="347" t="s">
        <v>154</v>
      </c>
      <c r="C4" s="347" t="s">
        <v>155</v>
      </c>
      <c r="D4" s="347" t="s">
        <v>156</v>
      </c>
    </row>
    <row r="5" spans="2:6" x14ac:dyDescent="0.35">
      <c r="B5" s="348" t="s">
        <v>157</v>
      </c>
      <c r="C5" s="348" t="s">
        <v>158</v>
      </c>
      <c r="D5" s="349">
        <v>48843.789577700001</v>
      </c>
    </row>
    <row r="6" spans="2:6" x14ac:dyDescent="0.35">
      <c r="B6" s="348" t="s">
        <v>159</v>
      </c>
      <c r="C6" s="348" t="s">
        <v>160</v>
      </c>
      <c r="D6" s="349">
        <v>32450.587555309736</v>
      </c>
    </row>
    <row r="7" spans="2:6" x14ac:dyDescent="0.35">
      <c r="B7" s="348" t="s">
        <v>161</v>
      </c>
      <c r="C7" s="348" t="s">
        <v>162</v>
      </c>
      <c r="D7" s="349">
        <v>27334.659388646287</v>
      </c>
    </row>
    <row r="8" spans="2:6" x14ac:dyDescent="0.35">
      <c r="B8" s="348" t="s">
        <v>163</v>
      </c>
      <c r="C8" s="348" t="s">
        <v>164</v>
      </c>
      <c r="D8" s="349">
        <v>41077.53</v>
      </c>
    </row>
    <row r="9" spans="2:6" x14ac:dyDescent="0.35">
      <c r="B9" s="348" t="s">
        <v>165</v>
      </c>
      <c r="C9" s="348"/>
      <c r="D9" s="349">
        <v>293</v>
      </c>
    </row>
    <row r="10" spans="2:6" x14ac:dyDescent="0.35">
      <c r="B10" s="348"/>
      <c r="C10" s="348"/>
      <c r="D10" s="349"/>
    </row>
    <row r="11" spans="2:6" x14ac:dyDescent="0.35">
      <c r="B11" s="348"/>
      <c r="C11" s="348"/>
      <c r="D11" s="350">
        <f>SUM(D5:D10)</f>
        <v>149999.56652165603</v>
      </c>
    </row>
    <row r="13" spans="2:6" x14ac:dyDescent="0.35">
      <c r="B13" s="345" t="s">
        <v>166</v>
      </c>
    </row>
    <row r="15" spans="2:6" x14ac:dyDescent="0.35">
      <c r="B15" s="345"/>
      <c r="C15" s="345" t="s">
        <v>167</v>
      </c>
      <c r="D15" s="345" t="s">
        <v>168</v>
      </c>
      <c r="E15" s="345" t="s">
        <v>169</v>
      </c>
      <c r="F15" s="345" t="s">
        <v>170</v>
      </c>
    </row>
    <row r="16" spans="2:6" x14ac:dyDescent="0.35">
      <c r="B16" s="345"/>
      <c r="C16" s="345"/>
      <c r="D16"/>
      <c r="F16" s="346"/>
    </row>
    <row r="17" spans="2:6" x14ac:dyDescent="0.35">
      <c r="B17" s="346" t="s">
        <v>171</v>
      </c>
      <c r="C17" s="346">
        <v>8</v>
      </c>
      <c r="D17" s="346">
        <v>6</v>
      </c>
      <c r="E17" s="346">
        <v>2</v>
      </c>
      <c r="F17" s="346">
        <v>1</v>
      </c>
    </row>
    <row r="18" spans="2:6" x14ac:dyDescent="0.35">
      <c r="B18" s="346" t="s">
        <v>172</v>
      </c>
      <c r="C18" s="346">
        <f>C17*12</f>
        <v>96</v>
      </c>
      <c r="D18" s="346">
        <f>(4*5)+(2*12)</f>
        <v>44</v>
      </c>
      <c r="E18" s="346">
        <f>(1*12)+(1*5)</f>
        <v>17</v>
      </c>
      <c r="F18" s="346">
        <v>5</v>
      </c>
    </row>
    <row r="19" spans="2:6" x14ac:dyDescent="0.35">
      <c r="B19" s="346"/>
      <c r="C19" s="346"/>
      <c r="E19" s="346"/>
      <c r="F19" s="346"/>
    </row>
    <row r="20" spans="2:6" x14ac:dyDescent="0.35">
      <c r="B20" s="346" t="s">
        <v>173</v>
      </c>
      <c r="C20" s="351">
        <v>1</v>
      </c>
      <c r="D20" s="351">
        <f>D18/C18</f>
        <v>0.45833333333333331</v>
      </c>
      <c r="E20" s="351">
        <f>E18/C18</f>
        <v>0.17708333333333334</v>
      </c>
      <c r="F20" s="351">
        <f>F18/C18</f>
        <v>5.2083333333333336E-2</v>
      </c>
    </row>
    <row r="21" spans="2:6" x14ac:dyDescent="0.35">
      <c r="B21" s="345"/>
      <c r="C21" s="346"/>
      <c r="D21"/>
    </row>
    <row r="22" spans="2:6" x14ac:dyDescent="0.35">
      <c r="B22" s="346" t="s">
        <v>174</v>
      </c>
      <c r="C22" s="352">
        <v>122400</v>
      </c>
      <c r="D22" s="352">
        <f>D11*D20</f>
        <v>68749.801322425672</v>
      </c>
      <c r="E22" s="352">
        <f>E20*D11</f>
        <v>26562.423238209922</v>
      </c>
      <c r="F22" s="352">
        <f>D11*F20</f>
        <v>7812.4774230029188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9362BF6053446B9BDD52D50F95214" ma:contentTypeVersion="15" ma:contentTypeDescription="Create a new document." ma:contentTypeScope="" ma:versionID="a38d04d0be6bb4973f160e3996a09faf">
  <xsd:schema xmlns:xsd="http://www.w3.org/2001/XMLSchema" xmlns:xs="http://www.w3.org/2001/XMLSchema" xmlns:p="http://schemas.microsoft.com/office/2006/metadata/properties" xmlns:ns2="47ecd482-cba3-4a15-8a36-0d066dd3291d" xmlns:ns3="8dc9effd-76e4-4e94-b9b6-2836c4bb60de" targetNamespace="http://schemas.microsoft.com/office/2006/metadata/properties" ma:root="true" ma:fieldsID="b2239c5a7793a88c20d955e384ff6d8b" ns2:_="" ns3:_="">
    <xsd:import namespace="47ecd482-cba3-4a15-8a36-0d066dd3291d"/>
    <xsd:import namespace="8dc9effd-76e4-4e94-b9b6-2836c4bb60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cd482-cba3-4a15-8a36-0d066dd32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c9effd-76e4-4e94-b9b6-2836c4bb60de" xsi:nil="true"/>
    <lcf76f155ced4ddcb4097134ff3c332f xmlns="47ecd482-cba3-4a15-8a36-0d066dd3291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70275-B959-4934-B0C9-ED8887E35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cd482-cba3-4a15-8a36-0d066dd3291d"/>
    <ds:schemaRef ds:uri="8dc9effd-76e4-4e94-b9b6-2836c4bb6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7843B-A8F8-455B-BAA2-2BDF460F2FDC}">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 ds:uri="8dc9effd-76e4-4e94-b9b6-2836c4bb60de"/>
    <ds:schemaRef ds:uri="47ecd482-cba3-4a15-8a36-0d066dd3291d"/>
    <ds:schemaRef ds:uri="http://purl.org/dc/dcmitype/"/>
    <ds:schemaRef ds:uri="http://purl.org/dc/terms/"/>
  </ds:schemaRefs>
</ds:datastoreItem>
</file>

<file path=customXml/itemProps3.xml><?xml version="1.0" encoding="utf-8"?>
<ds:datastoreItem xmlns:ds="http://schemas.openxmlformats.org/officeDocument/2006/customXml" ds:itemID="{DD3A2E9D-6781-4330-A09D-B398E0E5DE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Pilgrim Formula - 202425</vt:lpstr>
      <vt:lpstr>Home Tution Fixed Cost</vt:lpstr>
      <vt:lpstr>2425 GLEA </vt:lpstr>
      <vt:lpstr>2425 Teacher Pay Scales</vt:lpstr>
      <vt:lpstr>Pilgrim Formula - 202324</vt:lpstr>
      <vt:lpstr>Pilgrim Formula - 2021</vt:lpstr>
      <vt:lpstr>2425 Band Values</vt:lpstr>
      <vt:lpstr>Special Funding Summary</vt:lpstr>
      <vt:lpstr>ASD Unit</vt:lpstr>
      <vt:lpstr>TEACHING ASSISTANT 2023-24</vt:lpstr>
      <vt:lpstr>2425 TA Pay Scales</vt:lpstr>
      <vt:lpstr>2122 Band Values</vt:lpstr>
      <vt:lpstr>2324 Band Values (2)</vt:lpstr>
      <vt:lpstr>'Special Funding Summary'!Print_Area</vt:lpstr>
      <vt:lpstr>'TEACHING ASSISTANT 2023-24'!Print_Area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Popplewell</dc:creator>
  <cp:keywords/>
  <dc:description/>
  <cp:lastModifiedBy>David Leonard</cp:lastModifiedBy>
  <cp:revision/>
  <cp:lastPrinted>2024-02-28T15:54:24Z</cp:lastPrinted>
  <dcterms:created xsi:type="dcterms:W3CDTF">2021-02-23T18:18:07Z</dcterms:created>
  <dcterms:modified xsi:type="dcterms:W3CDTF">2024-03-01T09:39:05Z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0x0101006A39362BF6053446B9BDD52D50F95214</vt:lpwstr>
  </property>
  <property fmtid="{D5CDD505-2E9C-101B-9397-08002B2CF9AE}" pid="3" name="MediaServiceImageTags">
    <vt:lpwstr/>
  </property>
</Properties>
</file>